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hidePivotFieldList="1" autoCompressPictures="0"/>
  <bookViews>
    <workbookView xWindow="6780" yWindow="120" windowWidth="19485" windowHeight="13740" tabRatio="500" activeTab="4"/>
  </bookViews>
  <sheets>
    <sheet name="rec" sheetId="1" r:id="rId1"/>
    <sheet name="tips" sheetId="5" r:id="rId2"/>
    <sheet name="tmplt" sheetId="2" r:id="rId3"/>
    <sheet name="sum_tmplt" sheetId="7" r:id="rId4"/>
    <sheet name="tmp_rec_club" sheetId="12" r:id="rId5"/>
    <sheet name="rec_unusual" sheetId="14" r:id="rId6"/>
  </sheets>
  <calcPr calcId="145621" concurrentCalc="0"/>
  <pivotCaches>
    <pivotCache cacheId="0" r:id="rId7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9" i="1" l="1"/>
  <c r="Q20" i="1"/>
  <c r="Q21" i="1"/>
  <c r="N20" i="1"/>
  <c r="N21" i="1"/>
  <c r="N19" i="1"/>
  <c r="Q16" i="1"/>
  <c r="Q17" i="1"/>
  <c r="Q18" i="1"/>
  <c r="N17" i="1"/>
  <c r="N18" i="1"/>
  <c r="N16" i="1"/>
  <c r="Q12" i="1"/>
  <c r="Q13" i="1"/>
  <c r="Q14" i="1"/>
  <c r="Q15" i="1"/>
  <c r="N13" i="1"/>
  <c r="N14" i="1"/>
  <c r="N15" i="1"/>
  <c r="N12" i="1"/>
  <c r="Q10" i="1"/>
  <c r="Q11" i="1"/>
  <c r="N11" i="1"/>
  <c r="N10" i="1"/>
  <c r="Q5" i="1"/>
  <c r="Q6" i="1"/>
  <c r="Q7" i="1"/>
  <c r="Q8" i="1"/>
  <c r="Q9" i="1"/>
  <c r="N6" i="1"/>
  <c r="N7" i="1"/>
  <c r="N8" i="1"/>
  <c r="N9" i="1"/>
  <c r="N5" i="1"/>
  <c r="Q2" i="1"/>
  <c r="Q3" i="1"/>
  <c r="Q4" i="1"/>
  <c r="N3" i="1"/>
  <c r="N4" i="1"/>
  <c r="N2" i="1"/>
  <c r="O6" i="1"/>
  <c r="O5" i="1"/>
  <c r="U19" i="1"/>
  <c r="T19" i="1"/>
  <c r="S19" i="1"/>
  <c r="R19" i="1"/>
  <c r="V19" i="1"/>
  <c r="U20" i="1"/>
  <c r="T20" i="1"/>
  <c r="S20" i="1"/>
  <c r="R20" i="1"/>
  <c r="V20" i="1"/>
  <c r="U21" i="1"/>
  <c r="T21" i="1"/>
  <c r="S21" i="1"/>
  <c r="R21" i="1"/>
  <c r="V21" i="1"/>
  <c r="U18" i="1"/>
  <c r="D20" i="1"/>
  <c r="E20" i="1"/>
  <c r="D19" i="1"/>
  <c r="E19" i="1"/>
  <c r="D21" i="1"/>
  <c r="E21" i="1"/>
  <c r="Y21" i="1"/>
  <c r="P21" i="1"/>
  <c r="X21" i="1"/>
  <c r="W21" i="1"/>
  <c r="O21" i="1"/>
  <c r="Y20" i="1"/>
  <c r="P20" i="1"/>
  <c r="X20" i="1"/>
  <c r="W20" i="1"/>
  <c r="O20" i="1"/>
  <c r="Y19" i="1"/>
  <c r="P19" i="1"/>
  <c r="X19" i="1"/>
  <c r="W19" i="1"/>
  <c r="O19" i="1"/>
  <c r="T17" i="1"/>
  <c r="U17" i="1"/>
  <c r="S17" i="1"/>
  <c r="T18" i="1"/>
  <c r="S18" i="1"/>
  <c r="U16" i="1"/>
  <c r="T16" i="1"/>
  <c r="S16" i="1"/>
  <c r="R17" i="1"/>
  <c r="R18" i="1"/>
  <c r="R16" i="1"/>
  <c r="D17" i="1"/>
  <c r="E17" i="1"/>
  <c r="D16" i="1"/>
  <c r="E16" i="1"/>
  <c r="D18" i="1"/>
  <c r="Y18" i="1"/>
  <c r="P18" i="1"/>
  <c r="X18" i="1"/>
  <c r="W18" i="1"/>
  <c r="V18" i="1"/>
  <c r="O18" i="1"/>
  <c r="Y17" i="1"/>
  <c r="P17" i="1"/>
  <c r="X17" i="1"/>
  <c r="W17" i="1"/>
  <c r="V17" i="1"/>
  <c r="O17" i="1"/>
  <c r="Y16" i="1"/>
  <c r="P16" i="1"/>
  <c r="X16" i="1"/>
  <c r="W16" i="1"/>
  <c r="V16" i="1"/>
  <c r="O16" i="1"/>
  <c r="D2" i="2"/>
  <c r="O2" i="2"/>
  <c r="Q2" i="2"/>
  <c r="Q3" i="2"/>
  <c r="Q4" i="2"/>
  <c r="Q5" i="2"/>
  <c r="N3" i="2"/>
  <c r="N4" i="2"/>
  <c r="N5" i="2"/>
  <c r="N2" i="2"/>
  <c r="Y5" i="2"/>
  <c r="P5" i="2"/>
  <c r="X5" i="2"/>
  <c r="R5" i="2"/>
  <c r="W5" i="2"/>
  <c r="U5" i="2"/>
  <c r="T5" i="2"/>
  <c r="S5" i="2"/>
  <c r="V5" i="2"/>
  <c r="O5" i="2"/>
  <c r="Y4" i="2"/>
  <c r="D4" i="2"/>
  <c r="E4" i="2"/>
  <c r="P4" i="2"/>
  <c r="X4" i="2"/>
  <c r="R4" i="2"/>
  <c r="W4" i="2"/>
  <c r="U4" i="2"/>
  <c r="T4" i="2"/>
  <c r="S4" i="2"/>
  <c r="V4" i="2"/>
  <c r="O4" i="2"/>
  <c r="Y3" i="2"/>
  <c r="D3" i="2"/>
  <c r="E3" i="2"/>
  <c r="P3" i="2"/>
  <c r="X3" i="2"/>
  <c r="R3" i="2"/>
  <c r="W3" i="2"/>
  <c r="U3" i="2"/>
  <c r="T3" i="2"/>
  <c r="S3" i="2"/>
  <c r="V3" i="2"/>
  <c r="O3" i="2"/>
  <c r="Y2" i="2"/>
  <c r="P2" i="2"/>
  <c r="X2" i="2"/>
  <c r="R2" i="2"/>
  <c r="W2" i="2"/>
  <c r="U2" i="2"/>
  <c r="T2" i="2"/>
  <c r="S2" i="2"/>
  <c r="V2" i="2"/>
  <c r="A7" i="7"/>
  <c r="P25" i="14"/>
  <c r="P26" i="14"/>
  <c r="P27" i="14"/>
  <c r="P28" i="14"/>
  <c r="Y28" i="14"/>
  <c r="X28" i="14"/>
  <c r="O28" i="14"/>
  <c r="W28" i="14"/>
  <c r="Q28" i="14"/>
  <c r="V28" i="14"/>
  <c r="T28" i="14"/>
  <c r="S28" i="14"/>
  <c r="R28" i="14"/>
  <c r="U28" i="14"/>
  <c r="N28" i="14"/>
  <c r="Y27" i="14"/>
  <c r="X27" i="14"/>
  <c r="D27" i="14"/>
  <c r="E27" i="14"/>
  <c r="O27" i="14"/>
  <c r="W27" i="14"/>
  <c r="Q27" i="14"/>
  <c r="V27" i="14"/>
  <c r="T27" i="14"/>
  <c r="S27" i="14"/>
  <c r="R27" i="14"/>
  <c r="U27" i="14"/>
  <c r="N27" i="14"/>
  <c r="Y26" i="14"/>
  <c r="X26" i="14"/>
  <c r="D26" i="14"/>
  <c r="E26" i="14"/>
  <c r="O26" i="14"/>
  <c r="W26" i="14"/>
  <c r="Q26" i="14"/>
  <c r="V26" i="14"/>
  <c r="T26" i="14"/>
  <c r="S26" i="14"/>
  <c r="R26" i="14"/>
  <c r="U26" i="14"/>
  <c r="N26" i="14"/>
  <c r="Y25" i="14"/>
  <c r="X25" i="14"/>
  <c r="D25" i="14"/>
  <c r="O25" i="14"/>
  <c r="W25" i="14"/>
  <c r="Q25" i="14"/>
  <c r="V25" i="14"/>
  <c r="T25" i="14"/>
  <c r="S25" i="14"/>
  <c r="R25" i="14"/>
  <c r="U25" i="14"/>
  <c r="N25" i="14"/>
  <c r="P23" i="14"/>
  <c r="P24" i="14"/>
  <c r="Y24" i="14"/>
  <c r="X24" i="14"/>
  <c r="D24" i="14"/>
  <c r="E24" i="14"/>
  <c r="O24" i="14"/>
  <c r="W24" i="14"/>
  <c r="Q24" i="14"/>
  <c r="V24" i="14"/>
  <c r="T24" i="14"/>
  <c r="S24" i="14"/>
  <c r="R24" i="14"/>
  <c r="U24" i="14"/>
  <c r="N24" i="14"/>
  <c r="Y23" i="14"/>
  <c r="X23" i="14"/>
  <c r="D23" i="14"/>
  <c r="E23" i="14"/>
  <c r="O23" i="14"/>
  <c r="W23" i="14"/>
  <c r="Q23" i="14"/>
  <c r="V23" i="14"/>
  <c r="T23" i="14"/>
  <c r="S23" i="14"/>
  <c r="R23" i="14"/>
  <c r="U23" i="14"/>
  <c r="N23" i="14"/>
  <c r="X22" i="14"/>
  <c r="E22" i="14"/>
  <c r="O22" i="14"/>
  <c r="P22" i="14"/>
  <c r="W22" i="14"/>
  <c r="Q22" i="14"/>
  <c r="V22" i="14"/>
  <c r="T22" i="14"/>
  <c r="S22" i="14"/>
  <c r="R22" i="14"/>
  <c r="U22" i="14"/>
  <c r="N22" i="14"/>
  <c r="X21" i="14"/>
  <c r="E21" i="14"/>
  <c r="O21" i="14"/>
  <c r="P21" i="14"/>
  <c r="W21" i="14"/>
  <c r="Q21" i="14"/>
  <c r="V21" i="14"/>
  <c r="T21" i="14"/>
  <c r="S21" i="14"/>
  <c r="R21" i="14"/>
  <c r="U21" i="14"/>
  <c r="N21" i="14"/>
  <c r="X20" i="14"/>
  <c r="D20" i="14"/>
  <c r="E20" i="14"/>
  <c r="O20" i="14"/>
  <c r="P20" i="14"/>
  <c r="W20" i="14"/>
  <c r="Q20" i="14"/>
  <c r="V20" i="14"/>
  <c r="T20" i="14"/>
  <c r="S20" i="14"/>
  <c r="R20" i="14"/>
  <c r="U20" i="14"/>
  <c r="N20" i="14"/>
  <c r="X19" i="14"/>
  <c r="E19" i="14"/>
  <c r="O19" i="14"/>
  <c r="P19" i="14"/>
  <c r="W19" i="14"/>
  <c r="Q19" i="14"/>
  <c r="V19" i="14"/>
  <c r="T19" i="14"/>
  <c r="S19" i="14"/>
  <c r="R19" i="14"/>
  <c r="U19" i="14"/>
  <c r="N19" i="14"/>
  <c r="P18" i="14"/>
  <c r="Y18" i="14" a="1"/>
  <c r="Y18" i="14"/>
  <c r="Y19" i="14"/>
  <c r="Y20" i="14"/>
  <c r="Y21" i="14"/>
  <c r="Y22" i="14"/>
  <c r="X18" i="14"/>
  <c r="D18" i="14"/>
  <c r="E18" i="14"/>
  <c r="O18" i="14"/>
  <c r="W18" i="14"/>
  <c r="Q18" i="14"/>
  <c r="V18" i="14"/>
  <c r="T18" i="14"/>
  <c r="S18" i="14"/>
  <c r="R18" i="14"/>
  <c r="U18" i="14"/>
  <c r="N18" i="14"/>
  <c r="P15" i="14"/>
  <c r="P16" i="14"/>
  <c r="P17" i="14"/>
  <c r="Y17" i="14"/>
  <c r="X17" i="14"/>
  <c r="O17" i="14"/>
  <c r="W17" i="14"/>
  <c r="Q17" i="14"/>
  <c r="V17" i="14"/>
  <c r="T17" i="14"/>
  <c r="S17" i="14"/>
  <c r="R17" i="14"/>
  <c r="U17" i="14"/>
  <c r="N17" i="14"/>
  <c r="Y16" i="14"/>
  <c r="X16" i="14"/>
  <c r="O16" i="14"/>
  <c r="W16" i="14"/>
  <c r="Q16" i="14"/>
  <c r="V16" i="14"/>
  <c r="T16" i="14"/>
  <c r="S16" i="14"/>
  <c r="R16" i="14"/>
  <c r="U16" i="14"/>
  <c r="N16" i="14"/>
  <c r="Y15" i="14"/>
  <c r="X15" i="14"/>
  <c r="D15" i="14"/>
  <c r="E15" i="14"/>
  <c r="O15" i="14"/>
  <c r="W15" i="14"/>
  <c r="Q15" i="14"/>
  <c r="V15" i="14"/>
  <c r="T15" i="14"/>
  <c r="S15" i="14"/>
  <c r="R15" i="14"/>
  <c r="U15" i="14"/>
  <c r="N15" i="14"/>
  <c r="X14" i="14"/>
  <c r="P14" i="14"/>
  <c r="D14" i="14"/>
  <c r="E14" i="14"/>
  <c r="O14" i="14"/>
  <c r="X13" i="14"/>
  <c r="P13" i="14"/>
  <c r="D13" i="14"/>
  <c r="E13" i="14"/>
  <c r="O13" i="14"/>
  <c r="X12" i="14"/>
  <c r="P12" i="14"/>
  <c r="D12" i="14"/>
  <c r="E12" i="14"/>
  <c r="O12" i="14"/>
  <c r="X11" i="14"/>
  <c r="P11" i="14"/>
  <c r="D11" i="14"/>
  <c r="E11" i="14"/>
  <c r="O11" i="14"/>
  <c r="X10" i="14"/>
  <c r="P10" i="14"/>
  <c r="D10" i="14"/>
  <c r="E10" i="14"/>
  <c r="O10" i="14"/>
  <c r="X9" i="14"/>
  <c r="P9" i="14"/>
  <c r="D9" i="14"/>
  <c r="E9" i="14"/>
  <c r="O9" i="14"/>
  <c r="X8" i="14"/>
  <c r="P8" i="14"/>
  <c r="D8" i="14"/>
  <c r="E8" i="14"/>
  <c r="O8" i="14"/>
  <c r="X7" i="14"/>
  <c r="P7" i="14"/>
  <c r="D7" i="14"/>
  <c r="E7" i="14"/>
  <c r="O7" i="14"/>
  <c r="X6" i="14"/>
  <c r="P6" i="14"/>
  <c r="D6" i="14"/>
  <c r="E6" i="14"/>
  <c r="O6" i="14"/>
  <c r="X5" i="14"/>
  <c r="P5" i="14"/>
  <c r="D5" i="14"/>
  <c r="E5" i="14"/>
  <c r="O5" i="14"/>
  <c r="X4" i="14"/>
  <c r="P4" i="14"/>
  <c r="D4" i="14"/>
  <c r="E4" i="14"/>
  <c r="O4" i="14"/>
  <c r="X3" i="14"/>
  <c r="P3" i="14"/>
  <c r="D3" i="14"/>
  <c r="O3" i="14"/>
  <c r="X2" i="14"/>
  <c r="P2" i="14"/>
  <c r="D2" i="14"/>
  <c r="O2" i="14"/>
  <c r="B6" i="7"/>
  <c r="B5" i="7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D14" i="1"/>
  <c r="E14" i="1"/>
  <c r="P14" i="1"/>
  <c r="R14" i="1"/>
  <c r="W14" i="1"/>
  <c r="D13" i="1"/>
  <c r="E13" i="1"/>
  <c r="D12" i="1"/>
  <c r="P15" i="1"/>
  <c r="X15" i="1"/>
  <c r="R15" i="1"/>
  <c r="W15" i="1"/>
  <c r="U15" i="1"/>
  <c r="T15" i="1"/>
  <c r="S15" i="1"/>
  <c r="V15" i="1"/>
  <c r="O15" i="1"/>
  <c r="X14" i="1"/>
  <c r="U14" i="1"/>
  <c r="T14" i="1"/>
  <c r="S14" i="1"/>
  <c r="V14" i="1"/>
  <c r="O14" i="1"/>
  <c r="P13" i="1"/>
  <c r="X13" i="1"/>
  <c r="R13" i="1"/>
  <c r="W13" i="1"/>
  <c r="U13" i="1"/>
  <c r="T13" i="1"/>
  <c r="S13" i="1"/>
  <c r="V13" i="1"/>
  <c r="O13" i="1"/>
  <c r="P12" i="1"/>
  <c r="X12" i="1"/>
  <c r="R12" i="1"/>
  <c r="W12" i="1"/>
  <c r="U12" i="1"/>
  <c r="T12" i="1"/>
  <c r="S12" i="1"/>
  <c r="V12" i="1"/>
  <c r="O12" i="1"/>
  <c r="U11" i="1"/>
  <c r="T11" i="1"/>
  <c r="S11" i="1"/>
  <c r="R11" i="1"/>
  <c r="V11" i="1"/>
  <c r="D11" i="1"/>
  <c r="E11" i="1"/>
  <c r="P3" i="1"/>
  <c r="X3" i="1"/>
  <c r="P4" i="1"/>
  <c r="X4" i="1"/>
  <c r="D5" i="1"/>
  <c r="E5" i="1"/>
  <c r="P5" i="1"/>
  <c r="X5" i="1"/>
  <c r="E6" i="1"/>
  <c r="P6" i="1"/>
  <c r="X6" i="1"/>
  <c r="D7" i="1"/>
  <c r="E7" i="1"/>
  <c r="P7" i="1"/>
  <c r="X7" i="1"/>
  <c r="E8" i="1"/>
  <c r="P8" i="1"/>
  <c r="X8" i="1"/>
  <c r="E9" i="1"/>
  <c r="P9" i="1"/>
  <c r="X9" i="1"/>
  <c r="D10" i="1"/>
  <c r="E10" i="1"/>
  <c r="P10" i="1"/>
  <c r="X10" i="1"/>
  <c r="P11" i="1"/>
  <c r="X11" i="1"/>
  <c r="D2" i="1"/>
  <c r="E2" i="1"/>
  <c r="P2" i="1"/>
  <c r="X2" i="1"/>
  <c r="O10" i="1"/>
  <c r="O11" i="1"/>
  <c r="W11" i="1"/>
  <c r="R10" i="1"/>
  <c r="W10" i="1"/>
  <c r="U10" i="1"/>
  <c r="T10" i="1"/>
  <c r="S10" i="1"/>
  <c r="V10" i="1"/>
  <c r="A6" i="7"/>
  <c r="C6" i="7"/>
  <c r="A5" i="7"/>
  <c r="C5" i="7"/>
  <c r="O9" i="1"/>
  <c r="R9" i="1"/>
  <c r="W9" i="1"/>
  <c r="U9" i="1"/>
  <c r="T9" i="1"/>
  <c r="S9" i="1"/>
  <c r="V9" i="1"/>
  <c r="O8" i="1"/>
  <c r="O7" i="1"/>
  <c r="R8" i="1"/>
  <c r="W8" i="1"/>
  <c r="U8" i="1"/>
  <c r="T8" i="1"/>
  <c r="S8" i="1"/>
  <c r="V8" i="1"/>
  <c r="R7" i="1"/>
  <c r="W7" i="1"/>
  <c r="U7" i="1"/>
  <c r="T7" i="1"/>
  <c r="S7" i="1"/>
  <c r="V7" i="1"/>
  <c r="R6" i="1"/>
  <c r="W6" i="1"/>
  <c r="U6" i="1"/>
  <c r="T6" i="1"/>
  <c r="S6" i="1"/>
  <c r="V6" i="1"/>
  <c r="R5" i="1"/>
  <c r="W5" i="1"/>
  <c r="U5" i="1"/>
  <c r="T5" i="1"/>
  <c r="S5" i="1"/>
  <c r="V5" i="1"/>
  <c r="O3" i="1"/>
  <c r="O4" i="1"/>
  <c r="O2" i="1"/>
  <c r="R4" i="1"/>
  <c r="W4" i="1"/>
  <c r="R3" i="1"/>
  <c r="W3" i="1"/>
  <c r="R2" i="1"/>
  <c r="U3" i="1"/>
  <c r="T3" i="1"/>
  <c r="S3" i="1"/>
  <c r="V3" i="1"/>
  <c r="U4" i="1"/>
  <c r="T4" i="1"/>
  <c r="S4" i="1"/>
  <c r="V4" i="1"/>
  <c r="U2" i="1"/>
  <c r="T2" i="1"/>
  <c r="S2" i="1"/>
  <c r="V2" i="1"/>
  <c r="W2" i="1"/>
</calcChain>
</file>

<file path=xl/sharedStrings.xml><?xml version="1.0" encoding="utf-8"?>
<sst xmlns="http://schemas.openxmlformats.org/spreadsheetml/2006/main" count="569" uniqueCount="281">
  <si>
    <t>user</t>
    <phoneticPr fontId="1" type="noConversion"/>
  </si>
  <si>
    <t>buyin</t>
    <phoneticPr fontId="1" type="noConversion"/>
  </si>
  <si>
    <t>room</t>
    <phoneticPr fontId="1" type="noConversion"/>
  </si>
  <si>
    <t>tel</t>
    <phoneticPr fontId="1" type="noConversion"/>
  </si>
  <si>
    <t>net</t>
    <phoneticPr fontId="1" type="noConversion"/>
  </si>
  <si>
    <t>joan</t>
    <phoneticPr fontId="1" type="noConversion"/>
  </si>
  <si>
    <t>15824140644</t>
    <phoneticPr fontId="1" type="noConversion"/>
  </si>
  <si>
    <t>laughing</t>
    <phoneticPr fontId="1" type="noConversion"/>
  </si>
  <si>
    <t>13735467894</t>
  </si>
  <si>
    <t>虾米</t>
    <phoneticPr fontId="1" type="noConversion"/>
  </si>
  <si>
    <t>星际</t>
    <phoneticPr fontId="1" type="noConversion"/>
  </si>
  <si>
    <t>checkout</t>
    <phoneticPr fontId="1" type="noConversion"/>
  </si>
  <si>
    <t>start</t>
    <phoneticPr fontId="1" type="noConversion"/>
  </si>
  <si>
    <t>end</t>
    <phoneticPr fontId="1" type="noConversion"/>
  </si>
  <si>
    <t>duration</t>
    <phoneticPr fontId="1" type="noConversion"/>
  </si>
  <si>
    <t>vpip1</t>
    <phoneticPr fontId="1" type="noConversion"/>
  </si>
  <si>
    <t>flop1</t>
    <phoneticPr fontId="1" type="noConversion"/>
  </si>
  <si>
    <t>total1</t>
    <phoneticPr fontId="1" type="noConversion"/>
  </si>
  <si>
    <t>vpip2</t>
    <phoneticPr fontId="1" type="noConversion"/>
  </si>
  <si>
    <t>flop2</t>
    <phoneticPr fontId="1" type="noConversion"/>
  </si>
  <si>
    <t>total2</t>
    <phoneticPr fontId="1" type="noConversion"/>
  </si>
  <si>
    <t>hand</t>
    <phoneticPr fontId="1" type="noConversion"/>
  </si>
  <si>
    <t>vpip</t>
    <phoneticPr fontId="1" type="noConversion"/>
  </si>
  <si>
    <t>bigblind</t>
    <phoneticPr fontId="1" type="noConversion"/>
  </si>
  <si>
    <t>BB/100hand</t>
    <phoneticPr fontId="1" type="noConversion"/>
  </si>
  <si>
    <t>BB/hour</t>
    <phoneticPr fontId="1" type="noConversion"/>
  </si>
  <si>
    <t>m4n</t>
    <phoneticPr fontId="1" type="noConversion"/>
  </si>
  <si>
    <t>钓鱼</t>
    <phoneticPr fontId="1" type="noConversion"/>
  </si>
  <si>
    <t>18657183201</t>
    <phoneticPr fontId="1" type="noConversion"/>
  </si>
  <si>
    <t>remark</t>
    <phoneticPr fontId="1" type="noConversion"/>
  </si>
  <si>
    <t>1/2</t>
  </si>
  <si>
    <t>1/2</t>
    <phoneticPr fontId="1" type="noConversion"/>
  </si>
  <si>
    <t>13486124717</t>
  </si>
  <si>
    <t>monoray</t>
    <phoneticPr fontId="1" type="noConversion"/>
  </si>
  <si>
    <t>小文</t>
    <phoneticPr fontId="1" type="noConversion"/>
  </si>
  <si>
    <t>HK</t>
    <phoneticPr fontId="1" type="noConversion"/>
  </si>
  <si>
    <t>KK</t>
    <phoneticPr fontId="1" type="noConversion"/>
  </si>
  <si>
    <t>13516815199</t>
    <phoneticPr fontId="1" type="noConversion"/>
  </si>
  <si>
    <t>鱼宝宝</t>
    <phoneticPr fontId="1" type="noConversion"/>
  </si>
  <si>
    <t>checkflag</t>
    <phoneticPr fontId="1" type="noConversion"/>
  </si>
  <si>
    <t>flop</t>
    <phoneticPr fontId="1" type="noConversion"/>
  </si>
  <si>
    <t>realnet</t>
    <phoneticPr fontId="1" type="noConversion"/>
  </si>
  <si>
    <t>行标签</t>
  </si>
  <si>
    <t>总计</t>
  </si>
  <si>
    <t>starttime</t>
    <phoneticPr fontId="1" type="noConversion"/>
  </si>
  <si>
    <t>tips</t>
    <phoneticPr fontId="1" type="noConversion"/>
  </si>
  <si>
    <t>感觉1/2的桌上，打兆牌的人都弱</t>
    <phoneticPr fontId="1" type="noConversion"/>
  </si>
  <si>
    <t>1/2桌上，遇到加注，基本都是2对以上</t>
    <phoneticPr fontId="1" type="noConversion"/>
  </si>
  <si>
    <t>1/2桌上，河牌下注基本都是价值下注</t>
    <phoneticPr fontId="1" type="noConversion"/>
  </si>
  <si>
    <t>1/2桌上，多人或2人底池咋呼1次不成功，基本对方都有牌</t>
    <phoneticPr fontId="1" type="noConversion"/>
  </si>
  <si>
    <t>rec</t>
    <phoneticPr fontId="1" type="noConversion"/>
  </si>
  <si>
    <t>Axxxxx_rainbowl，翻pot河pot22下注，A7跟注</t>
    <phoneticPr fontId="1" type="noConversion"/>
  </si>
  <si>
    <t>TT，flop459,turnJ_rainbowl，下注被加注,45o</t>
    <phoneticPr fontId="1" type="noConversion"/>
  </si>
  <si>
    <t>K2888,river2/3pot38,被加注115，8x</t>
    <phoneticPr fontId="1" type="noConversion"/>
  </si>
  <si>
    <t>1/2桌上，preflop被3bet基本都是88以上大对子,AK,AQ等强牌</t>
    <phoneticPr fontId="1" type="noConversion"/>
  </si>
  <si>
    <t>heroAKopreflop6,短筹3bet18，JJ，spr1:2,flopJTc2s,check,turn,bet1/2pot,1:4</t>
    <phoneticPr fontId="1" type="noConversion"/>
  </si>
  <si>
    <t>vpip</t>
    <phoneticPr fontId="1" type="noConversion"/>
  </si>
  <si>
    <t>BB/100hand</t>
    <phoneticPr fontId="1" type="noConversion"/>
  </si>
  <si>
    <t>joan</t>
    <phoneticPr fontId="1" type="noConversion"/>
  </si>
  <si>
    <t>虾米</t>
    <phoneticPr fontId="1" type="noConversion"/>
  </si>
  <si>
    <t>1/2/4</t>
    <phoneticPr fontId="1" type="noConversion"/>
  </si>
  <si>
    <t>5环</t>
    <phoneticPr fontId="1" type="noConversion"/>
  </si>
  <si>
    <t>兰桂坊</t>
    <phoneticPr fontId="1" type="noConversion"/>
  </si>
  <si>
    <t>该期视频需要回放，有1/2/4,1/2也有心得</t>
    <phoneticPr fontId="1" type="noConversion"/>
  </si>
  <si>
    <t>1/2桌上，preflop被4bet基本都是高对AA,KK等超强牌</t>
    <phoneticPr fontId="1" type="noConversion"/>
  </si>
  <si>
    <t>raise 6,3bet 17 QQ,4bet allin 200 AA</t>
    <phoneticPr fontId="1" type="noConversion"/>
  </si>
  <si>
    <t>感觉1/2桌上,对激进玩家，中牌（顶对以上）后适当check，有时候比下注更有利润</t>
    <phoneticPr fontId="1" type="noConversion"/>
  </si>
  <si>
    <t>感觉1/2/4桌上,有位置中set且前位下注，适当跟注可能更有利润</t>
    <phoneticPr fontId="1" type="noConversion"/>
  </si>
  <si>
    <t>wx</t>
    <phoneticPr fontId="1" type="noConversion"/>
  </si>
  <si>
    <t>kidlray</t>
    <phoneticPr fontId="1" type="noConversion"/>
  </si>
  <si>
    <t>blind</t>
    <phoneticPr fontId="1" type="noConversion"/>
  </si>
  <si>
    <t>微扑克圆桌俱乐部</t>
    <phoneticPr fontId="1" type="noConversion"/>
  </si>
  <si>
    <t>clubname</t>
    <phoneticPr fontId="1" type="noConversion"/>
  </si>
  <si>
    <t>clubid</t>
    <phoneticPr fontId="1" type="noConversion"/>
  </si>
  <si>
    <t>娱乐圈</t>
    <phoneticPr fontId="1" type="noConversion"/>
  </si>
  <si>
    <t>1/2，2/4</t>
    <phoneticPr fontId="1" type="noConversion"/>
  </si>
  <si>
    <t>money0790</t>
    <phoneticPr fontId="1" type="noConversion"/>
  </si>
  <si>
    <t>rmark</t>
    <phoneticPr fontId="1" type="noConversion"/>
  </si>
  <si>
    <t>wx:pk173328</t>
    <phoneticPr fontId="1" type="noConversion"/>
  </si>
  <si>
    <t>mlderh</t>
    <phoneticPr fontId="1" type="noConversion"/>
  </si>
  <si>
    <t>1/2/4,2/4/8</t>
    <phoneticPr fontId="1" type="noConversion"/>
  </si>
  <si>
    <t>金豹子娱乐</t>
    <phoneticPr fontId="1" type="noConversion"/>
  </si>
  <si>
    <t>dh155864</t>
    <phoneticPr fontId="1" type="noConversion"/>
  </si>
  <si>
    <t>2/4_1</t>
    <phoneticPr fontId="1" type="noConversion"/>
  </si>
  <si>
    <t>德皇</t>
    <phoneticPr fontId="1" type="noConversion"/>
  </si>
  <si>
    <t>flag</t>
    <phoneticPr fontId="1" type="noConversion"/>
  </si>
  <si>
    <t>x</t>
    <phoneticPr fontId="1" type="noConversion"/>
  </si>
  <si>
    <t>q</t>
    <phoneticPr fontId="1" type="noConversion"/>
  </si>
  <si>
    <t>name</t>
    <phoneticPr fontId="1" type="noConversion"/>
  </si>
  <si>
    <t>monoray</t>
    <phoneticPr fontId="1" type="noConversion"/>
  </si>
  <si>
    <t>五环</t>
    <phoneticPr fontId="1" type="noConversion"/>
  </si>
  <si>
    <t>水上漂</t>
    <phoneticPr fontId="1" type="noConversion"/>
  </si>
  <si>
    <t>新濠</t>
    <phoneticPr fontId="1" type="noConversion"/>
  </si>
  <si>
    <t>天府</t>
    <phoneticPr fontId="1" type="noConversion"/>
  </si>
  <si>
    <t>1/2/4</t>
    <phoneticPr fontId="1" type="noConversion"/>
  </si>
  <si>
    <t>2/4/8</t>
    <phoneticPr fontId="1" type="noConversion"/>
  </si>
  <si>
    <t>1/2,4</t>
    <phoneticPr fontId="1" type="noConversion"/>
  </si>
  <si>
    <t>1/2,4</t>
    <phoneticPr fontId="1" type="noConversion"/>
  </si>
  <si>
    <t>鱼宝宝</t>
    <phoneticPr fontId="1" type="noConversion"/>
  </si>
  <si>
    <t>Joan缺1/2</t>
    <phoneticPr fontId="1" type="noConversion"/>
  </si>
  <si>
    <t>x</t>
    <phoneticPr fontId="1" type="noConversion"/>
  </si>
  <si>
    <t>app</t>
    <phoneticPr fontId="1" type="noConversion"/>
  </si>
  <si>
    <t>扑克部落tencent</t>
    <phoneticPr fontId="1" type="noConversion"/>
  </si>
  <si>
    <t>虾米</t>
    <phoneticPr fontId="1" type="noConversion"/>
  </si>
  <si>
    <t>1/2/4</t>
    <phoneticPr fontId="1" type="noConversion"/>
  </si>
  <si>
    <t>钓鱼</t>
    <phoneticPr fontId="1" type="noConversion"/>
  </si>
  <si>
    <t>兰桂坊</t>
    <phoneticPr fontId="1" type="noConversion"/>
  </si>
  <si>
    <t>5环</t>
    <phoneticPr fontId="1" type="noConversion"/>
  </si>
  <si>
    <t>1/2，1/2/4的局最多咋呼1条街，除非有特别理由也最多用强兆牌咋呼2条街</t>
    <phoneticPr fontId="1" type="noConversion"/>
  </si>
  <si>
    <t>flop bet pot,turn pot,river 2/3 pot</t>
    <phoneticPr fontId="1" type="noConversion"/>
  </si>
  <si>
    <t>3次同样打法，1赢一输，第三次被推，应该弃牌</t>
    <phoneticPr fontId="1" type="noConversion"/>
  </si>
  <si>
    <t>感觉1/2/4桌上,当自己当打法多样，对方倾向只看自己牌打</t>
    <phoneticPr fontId="1" type="noConversion"/>
  </si>
  <si>
    <t>1/2，1/2/4桌上几乎全部都是看自己牌打的</t>
    <phoneticPr fontId="1" type="noConversion"/>
  </si>
  <si>
    <t>Faltal</t>
    <phoneticPr fontId="1" type="noConversion"/>
  </si>
  <si>
    <t>1/2，1/2/4除非99%确定弃牌率,不然尽量只咋呼1条街</t>
    <phoneticPr fontId="1" type="noConversion"/>
  </si>
  <si>
    <t>截止今天,1/2桌上翻前全退了大概20次，只有2次AK,其他都是超强对牌</t>
    <phoneticPr fontId="1" type="noConversion"/>
  </si>
  <si>
    <t>point</t>
    <phoneticPr fontId="1" type="noConversion"/>
  </si>
  <si>
    <t>bluff</t>
    <phoneticPr fontId="1" type="noConversion"/>
  </si>
  <si>
    <t>1/2,1/2/4诈唬已经损失近700了</t>
    <phoneticPr fontId="1" type="noConversion"/>
  </si>
  <si>
    <t>date</t>
    <phoneticPr fontId="1" type="noConversion"/>
  </si>
  <si>
    <t>hands</t>
  </si>
  <si>
    <t>z</t>
  </si>
  <si>
    <t>flops</t>
  </si>
  <si>
    <t>nets</t>
  </si>
  <si>
    <t>buyins</t>
  </si>
  <si>
    <t>checkouts</t>
  </si>
  <si>
    <t>realnets</t>
  </si>
  <si>
    <t>drtcaculate</t>
    <phoneticPr fontId="1" type="noConversion"/>
  </si>
  <si>
    <t>session_sum</t>
    <phoneticPr fontId="1" type="noConversion"/>
  </si>
  <si>
    <t>duirations</t>
  </si>
  <si>
    <t>15824140644</t>
  </si>
  <si>
    <t>15824140644</t>
    <phoneticPr fontId="1" type="noConversion"/>
  </si>
  <si>
    <t>18606515723</t>
    <phoneticPr fontId="1" type="noConversion"/>
  </si>
  <si>
    <t>呱呱</t>
    <phoneticPr fontId="1" type="noConversion"/>
  </si>
  <si>
    <t>2/4</t>
    <phoneticPr fontId="1" type="noConversion"/>
  </si>
  <si>
    <t>1/2,2/4</t>
    <phoneticPr fontId="1" type="noConversion"/>
  </si>
  <si>
    <t>xiaoyou819</t>
    <phoneticPr fontId="1" type="noConversion"/>
  </si>
  <si>
    <t>服务费20</t>
    <phoneticPr fontId="1" type="noConversion"/>
  </si>
  <si>
    <t>以德会友</t>
    <phoneticPr fontId="1" type="noConversion"/>
  </si>
  <si>
    <t>蓝精灵</t>
    <phoneticPr fontId="1" type="noConversion"/>
  </si>
  <si>
    <t>2/4,5/10</t>
    <phoneticPr fontId="1" type="noConversion"/>
  </si>
  <si>
    <t>issue</t>
    <phoneticPr fontId="1" type="noConversion"/>
  </si>
  <si>
    <t>2/4/8?</t>
    <phoneticPr fontId="1" type="noConversion"/>
  </si>
  <si>
    <t>LJLDPQ</t>
  </si>
  <si>
    <t>wx:jinglinger88</t>
    <phoneticPr fontId="1" type="noConversion"/>
  </si>
  <si>
    <t>stat</t>
    <phoneticPr fontId="1" type="noConversion"/>
  </si>
  <si>
    <t>link</t>
    <phoneticPr fontId="1" type="noConversion"/>
  </si>
  <si>
    <t>https://tieba.baidu.com/p/4608684842</t>
  </si>
  <si>
    <t xml:space="preserve">微信群:13520654301，
有贴说盗图，说骗子
</t>
    <phoneticPr fontId="1" type="noConversion"/>
  </si>
  <si>
    <t>https://tieba.baidu.com/p/4617152512</t>
  </si>
  <si>
    <t>友谊德州</t>
    <phoneticPr fontId="1" type="noConversion"/>
  </si>
  <si>
    <t>https://tieba.baidu.com/p/4610825341</t>
  </si>
  <si>
    <t>qq:648254911</t>
    <phoneticPr fontId="1" type="noConversion"/>
  </si>
  <si>
    <t>https://tieba.baidu.com/p/4610159625</t>
  </si>
  <si>
    <t>hunanaloveyou~</t>
    <phoneticPr fontId="1" type="noConversion"/>
  </si>
  <si>
    <t>https://tieba.baidu.com/p/4583502135</t>
  </si>
  <si>
    <t>群号174818</t>
  </si>
  <si>
    <t>https://tieba.baidu.com/p/4597658508</t>
  </si>
  <si>
    <t>zyxabcaeaa</t>
  </si>
  <si>
    <t>liguiooo</t>
  </si>
  <si>
    <t>1/2</t>
    <phoneticPr fontId="1" type="noConversion"/>
  </si>
  <si>
    <t>https://tieba.baidu.com/p/5247637127</t>
  </si>
  <si>
    <t>https://www.douban.com/group/topic/97116088/</t>
  </si>
  <si>
    <t>1/2/4</t>
    <phoneticPr fontId="1" type="noConversion"/>
  </si>
  <si>
    <t>大浪淘沙</t>
    <phoneticPr fontId="1" type="noConversion"/>
  </si>
  <si>
    <t>诚信</t>
    <phoneticPr fontId="1" type="noConversion"/>
  </si>
  <si>
    <t>ai985313720</t>
  </si>
  <si>
    <t>木哥</t>
    <phoneticPr fontId="1" type="noConversion"/>
  </si>
  <si>
    <t>https://tieba.baidu.com/p/5020356852</t>
  </si>
  <si>
    <t>myf675745943</t>
  </si>
  <si>
    <t>xg15288323487</t>
  </si>
  <si>
    <t>1/2,2/4,5/10</t>
    <phoneticPr fontId="1" type="noConversion"/>
  </si>
  <si>
    <t>昆明</t>
    <phoneticPr fontId="1" type="noConversion"/>
  </si>
  <si>
    <t>http://weibo.com/2206411805/DC31FDjkR?type=comment#_rnd1501394713814</t>
  </si>
  <si>
    <t>三五瓶三号房</t>
    <phoneticPr fontId="1" type="noConversion"/>
  </si>
  <si>
    <t>https://tieba.baidu.com/p/4883848303</t>
  </si>
  <si>
    <t>kakajd2017</t>
  </si>
  <si>
    <t>http://www.riji1.com/thread-139-1-1.html</t>
  </si>
  <si>
    <t>lin18350381079</t>
  </si>
  <si>
    <t>http://www.riji1.com/thread-144-1-1.html</t>
  </si>
  <si>
    <t>送金币</t>
    <phoneticPr fontId="1" type="noConversion"/>
  </si>
  <si>
    <t>1/2/4，2/4/8</t>
    <phoneticPr fontId="1" type="noConversion"/>
  </si>
  <si>
    <t>http://www.riji1.com/thread-150-1-1.html</t>
  </si>
  <si>
    <t>5/10/20,10/20/40</t>
    <phoneticPr fontId="1" type="noConversion"/>
  </si>
  <si>
    <t>货币战争</t>
    <phoneticPr fontId="1" type="noConversion"/>
  </si>
  <si>
    <t>http://www.riji1.com/thread-181-1-1.html</t>
  </si>
  <si>
    <t>聚贤庄</t>
    <phoneticPr fontId="1" type="noConversion"/>
  </si>
  <si>
    <t>1/2/4,2/4/8</t>
    <phoneticPr fontId="1" type="noConversion"/>
  </si>
  <si>
    <t>jxzkf001</t>
    <phoneticPr fontId="1" type="noConversion"/>
  </si>
  <si>
    <t>http://www.riji1.com/thread-187-1-1.html</t>
  </si>
  <si>
    <t>2/4_1</t>
    <phoneticPr fontId="1" type="noConversion"/>
  </si>
  <si>
    <t>http://www.riji1.com/thread-398-1-1.html</t>
  </si>
  <si>
    <t>好运来</t>
    <phoneticPr fontId="1" type="noConversion"/>
  </si>
  <si>
    <t>http://www.riji1.com/thread-396-1-1.html</t>
  </si>
  <si>
    <t>kx111188</t>
    <phoneticPr fontId="1" type="noConversion"/>
  </si>
  <si>
    <t>qq:3380457704</t>
    <phoneticPr fontId="1" type="noConversion"/>
  </si>
  <si>
    <t>僵小鱼</t>
    <phoneticPr fontId="1" type="noConversion"/>
  </si>
  <si>
    <t>大发</t>
    <phoneticPr fontId="1" type="noConversion"/>
  </si>
  <si>
    <t>dafapuke8</t>
    <phoneticPr fontId="1" type="noConversion"/>
  </si>
  <si>
    <t>2/4/8,5/10</t>
    <phoneticPr fontId="1" type="noConversion"/>
  </si>
  <si>
    <t>http://www.riji1.com/thread-397-1-1.html</t>
  </si>
  <si>
    <t>八星</t>
    <phoneticPr fontId="1" type="noConversion"/>
  </si>
  <si>
    <t>yx171815</t>
    <phoneticPr fontId="1" type="noConversion"/>
  </si>
  <si>
    <t>http://www.riji1.com/thread-400-1-1.html</t>
  </si>
  <si>
    <t>0</t>
    <phoneticPr fontId="1" type="noConversion"/>
  </si>
  <si>
    <t>0</t>
    <phoneticPr fontId="1" type="noConversion"/>
  </si>
  <si>
    <t>http://www.riji1.com/thread-403-1-1.html</t>
  </si>
  <si>
    <t>2/4,5/10,10/20</t>
    <phoneticPr fontId="1" type="noConversion"/>
  </si>
  <si>
    <t>http://www.riji1.com/thread-460-1-1.html</t>
  </si>
  <si>
    <t>都豪</t>
    <phoneticPr fontId="1" type="noConversion"/>
  </si>
  <si>
    <t>2/4/8</t>
    <phoneticPr fontId="1" type="noConversion"/>
  </si>
  <si>
    <t>duhao248</t>
    <phoneticPr fontId="1" type="noConversion"/>
  </si>
  <si>
    <t>君豪</t>
    <phoneticPr fontId="1" type="noConversion"/>
  </si>
  <si>
    <t>junhao00888</t>
    <phoneticPr fontId="1" type="noConversion"/>
  </si>
  <si>
    <t>guidu88888</t>
    <phoneticPr fontId="1" type="noConversion"/>
  </si>
  <si>
    <t>5/10</t>
    <phoneticPr fontId="1" type="noConversion"/>
  </si>
  <si>
    <t>贵都</t>
    <phoneticPr fontId="1" type="noConversion"/>
  </si>
  <si>
    <t>jinlong248</t>
    <phoneticPr fontId="1" type="noConversion"/>
  </si>
  <si>
    <t>金龙</t>
    <phoneticPr fontId="1" type="noConversion"/>
  </si>
  <si>
    <t>joan，laughing缺1/2/4</t>
    <phoneticPr fontId="1" type="noConversion"/>
  </si>
  <si>
    <t>monoray缺124</t>
    <phoneticPr fontId="1" type="noConversion"/>
  </si>
  <si>
    <t>天府</t>
    <phoneticPr fontId="1" type="noConversion"/>
  </si>
  <si>
    <t>1/2/4</t>
    <phoneticPr fontId="1" type="noConversion"/>
  </si>
  <si>
    <t xml:space="preserve">庄Aqo,89h blind, Kxcu,flop QKhx,turnAh pot 100,utg bet 50 deal call blind all in 150,all call77 </t>
    <phoneticPr fontId="1" type="noConversion"/>
  </si>
  <si>
    <t>全聚德</t>
    <phoneticPr fontId="1" type="noConversion"/>
  </si>
  <si>
    <t>庄JQc,5，6家跟住，A7J,前位半尺9加注，弃牌，后卫A7两队</t>
    <phoneticPr fontId="1" type="noConversion"/>
  </si>
  <si>
    <t>繁花似锦</t>
    <phoneticPr fontId="1" type="noConversion"/>
  </si>
  <si>
    <t>1/2/4</t>
    <phoneticPr fontId="1" type="noConversion"/>
  </si>
  <si>
    <t>水上漂</t>
    <phoneticPr fontId="1" type="noConversion"/>
  </si>
  <si>
    <t>2/4</t>
    <phoneticPr fontId="1" type="noConversion"/>
  </si>
  <si>
    <t>天府</t>
    <phoneticPr fontId="1" type="noConversion"/>
  </si>
  <si>
    <t>全聚德</t>
    <phoneticPr fontId="1" type="noConversion"/>
  </si>
  <si>
    <t>drtcaculate</t>
    <phoneticPr fontId="1" type="noConversion"/>
  </si>
  <si>
    <t>baijia124</t>
    <phoneticPr fontId="1" type="noConversion"/>
  </si>
  <si>
    <t>陆玖</t>
  </si>
  <si>
    <t>1/2/4</t>
  </si>
  <si>
    <t>微信已通过</t>
    <phoneticPr fontId="1" type="noConversion"/>
  </si>
  <si>
    <t>微信验证中</t>
    <phoneticPr fontId="1" type="noConversion"/>
  </si>
  <si>
    <t>微信已通过</t>
    <phoneticPr fontId="1" type="noConversion"/>
  </si>
  <si>
    <t>niye996</t>
  </si>
  <si>
    <t>gmc</t>
  </si>
  <si>
    <t>1/2/4</t>
    <phoneticPr fontId="1" type="noConversion"/>
  </si>
  <si>
    <t>微信确认中</t>
  </si>
  <si>
    <t>微信确认中</t>
    <phoneticPr fontId="1" type="noConversion"/>
  </si>
  <si>
    <t>depuqipai</t>
  </si>
  <si>
    <t>皇朝</t>
  </si>
  <si>
    <t>2/4</t>
  </si>
  <si>
    <t>是否抢抓</t>
  </si>
  <si>
    <t>海口德州</t>
  </si>
  <si>
    <t>1/2-5/10</t>
  </si>
  <si>
    <t>https://tieba.baidu.com/p/4866876957</t>
    <phoneticPr fontId="1" type="noConversion"/>
  </si>
  <si>
    <t>dsdj001</t>
  </si>
  <si>
    <t>鼎盛</t>
  </si>
  <si>
    <t>是否抢抓</t>
    <phoneticPr fontId="1" type="noConversion"/>
  </si>
  <si>
    <t>思思德友圈</t>
  </si>
  <si>
    <r>
      <t>2</t>
    </r>
    <r>
      <rPr>
        <sz val="11"/>
        <color theme="1"/>
        <rFont val="宋体"/>
        <family val="3"/>
        <charset val="134"/>
        <scheme val="minor"/>
      </rPr>
      <t>/4/8</t>
    </r>
    <phoneticPr fontId="1" type="noConversion"/>
  </si>
  <si>
    <t>ss-815</t>
  </si>
  <si>
    <t>kx111188</t>
  </si>
  <si>
    <t>僵小鱼</t>
  </si>
  <si>
    <t>qq:3380457704</t>
  </si>
  <si>
    <t>hzw197544</t>
  </si>
  <si>
    <t>海贼王</t>
  </si>
  <si>
    <r>
      <t>1/2/4</t>
    </r>
    <r>
      <rPr>
        <sz val="11"/>
        <color theme="1"/>
        <rFont val="宋体"/>
        <family val="3"/>
        <charset val="134"/>
        <scheme val="minor"/>
      </rPr>
      <t>,2/4/8</t>
    </r>
    <phoneticPr fontId="1" type="noConversion"/>
  </si>
  <si>
    <r>
      <t>w</t>
    </r>
    <r>
      <rPr>
        <sz val="11"/>
        <color theme="1"/>
        <rFont val="宋体"/>
        <family val="3"/>
        <charset val="134"/>
        <scheme val="minor"/>
      </rPr>
      <t>x:haizeiwang197544,xiaoyu520158158</t>
    </r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</si>
  <si>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cc</t>
    </r>
    <phoneticPr fontId="1" type="noConversion"/>
  </si>
  <si>
    <r>
      <t>m</t>
    </r>
    <r>
      <rPr>
        <sz val="11"/>
        <color theme="1"/>
        <rFont val="宋体"/>
        <family val="3"/>
        <charset val="134"/>
        <scheme val="minor"/>
      </rPr>
      <t>onoray</t>
    </r>
    <phoneticPr fontId="1" type="noConversion"/>
  </si>
  <si>
    <t>坚果</t>
  </si>
  <si>
    <t>微信已加</t>
  </si>
  <si>
    <t>微信已添加</t>
  </si>
  <si>
    <t>liuxiang884</t>
    <phoneticPr fontId="1" type="noConversion"/>
  </si>
  <si>
    <t>248</t>
  </si>
  <si>
    <t>5/10/20</t>
  </si>
  <si>
    <t>helei8426</t>
    <phoneticPr fontId="1" type="noConversion"/>
  </si>
  <si>
    <t>2/4/8,5/10/20</t>
    <phoneticPr fontId="1" type="noConversion"/>
  </si>
  <si>
    <t>奥马哈</t>
    <phoneticPr fontId="1" type="noConversion"/>
  </si>
  <si>
    <t>nut</t>
    <phoneticPr fontId="1" type="noConversion"/>
  </si>
  <si>
    <t>2/4/8</t>
    <phoneticPr fontId="1" type="noConversion"/>
  </si>
  <si>
    <t>600带入</t>
    <phoneticPr fontId="1" type="noConversion"/>
  </si>
  <si>
    <t>NUTScaiwu</t>
    <phoneticPr fontId="1" type="noConversion"/>
  </si>
  <si>
    <t>盛世</t>
    <phoneticPr fontId="1" type="noConversion"/>
  </si>
  <si>
    <t>shengshi248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</si>
</sst>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0_ "/>
    <numFmt numFmtId="177" formatCode="yyyy/mm/dd\ hh:mm;@"/>
    <numFmt numFmtId="178" formatCode="0.00_ "/>
    <numFmt numFmtId="179" formatCode="0.0%"/>
    <numFmt numFmtId="180" formatCode="0.0_ "/>
    <numFmt numFmtId="181" formatCode="yyyy/m/d;@"/>
    <numFmt numFmtId="182" formatCode="0.00_);[Red]\(0.00\)"/>
    <numFmt numFmtId="183" formatCode="m/d;@"/>
  </numFmts>
  <fonts count="1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2"/>
      <color rgb="FFFF0000"/>
      <name val="宋体"/>
      <family val="2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333333"/>
      <name val="宋体"/>
      <charset val="134"/>
      <scheme val="minor"/>
    </font>
    <font>
      <sz val="11"/>
      <color rgb="FF444444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3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4" fillId="0" borderId="0" xfId="0" applyFont="1"/>
    <xf numFmtId="49" fontId="4" fillId="0" borderId="0" xfId="0" applyNumberFormat="1" applyFont="1"/>
    <xf numFmtId="177" fontId="6" fillId="0" borderId="0" xfId="0" applyNumberFormat="1" applyFont="1"/>
    <xf numFmtId="0" fontId="6" fillId="0" borderId="0" xfId="0" applyFont="1"/>
    <xf numFmtId="0" fontId="7" fillId="0" borderId="0" xfId="0" applyFont="1"/>
    <xf numFmtId="0" fontId="5" fillId="0" borderId="0" xfId="0" applyFont="1"/>
    <xf numFmtId="176" fontId="7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4" fillId="2" borderId="0" xfId="0" applyFont="1" applyFill="1"/>
    <xf numFmtId="179" fontId="4" fillId="2" borderId="0" xfId="0" applyNumberFormat="1" applyFont="1" applyFill="1"/>
    <xf numFmtId="178" fontId="4" fillId="2" borderId="0" xfId="0" applyNumberFormat="1" applyFont="1" applyFill="1"/>
    <xf numFmtId="176" fontId="7" fillId="3" borderId="0" xfId="0" applyNumberFormat="1" applyFont="1" applyFill="1"/>
    <xf numFmtId="49" fontId="7" fillId="0" borderId="0" xfId="0" applyNumberFormat="1" applyFont="1"/>
    <xf numFmtId="0" fontId="0" fillId="2" borderId="0" xfId="0" applyFill="1"/>
    <xf numFmtId="179" fontId="0" fillId="0" borderId="0" xfId="0" applyNumberFormat="1"/>
    <xf numFmtId="180" fontId="0" fillId="0" borderId="0" xfId="0" applyNumberFormat="1"/>
    <xf numFmtId="22" fontId="0" fillId="0" borderId="0" xfId="0" applyNumberFormat="1"/>
    <xf numFmtId="0" fontId="5" fillId="2" borderId="0" xfId="0" applyFont="1" applyFill="1"/>
    <xf numFmtId="181" fontId="7" fillId="0" borderId="0" xfId="0" applyNumberFormat="1" applyFont="1"/>
    <xf numFmtId="176" fontId="7" fillId="2" borderId="0" xfId="0" applyNumberFormat="1" applyFont="1" applyFill="1"/>
    <xf numFmtId="0" fontId="7" fillId="2" borderId="0" xfId="0" applyFont="1" applyFill="1"/>
    <xf numFmtId="177" fontId="7" fillId="0" borderId="0" xfId="0" applyNumberFormat="1" applyFont="1"/>
    <xf numFmtId="0" fontId="8" fillId="2" borderId="0" xfId="0" applyFont="1" applyFill="1"/>
    <xf numFmtId="0" fontId="5" fillId="2" borderId="0" xfId="0" applyNumberFormat="1" applyFont="1" applyFill="1"/>
    <xf numFmtId="0" fontId="8" fillId="2" borderId="0" xfId="0" applyNumberFormat="1" applyFont="1" applyFill="1"/>
    <xf numFmtId="181" fontId="4" fillId="4" borderId="0" xfId="0" applyNumberFormat="1" applyFont="1" applyFill="1"/>
    <xf numFmtId="177" fontId="7" fillId="5" borderId="0" xfId="0" applyNumberFormat="1" applyFont="1" applyFill="1"/>
    <xf numFmtId="0" fontId="4" fillId="5" borderId="0" xfId="0" applyFont="1" applyFill="1"/>
    <xf numFmtId="0" fontId="7" fillId="5" borderId="0" xfId="0" applyFont="1" applyFill="1"/>
    <xf numFmtId="176" fontId="7" fillId="5" borderId="0" xfId="0" applyNumberFormat="1" applyFont="1" applyFill="1"/>
    <xf numFmtId="181" fontId="7" fillId="5" borderId="0" xfId="0" applyNumberFormat="1" applyFont="1" applyFill="1"/>
    <xf numFmtId="49" fontId="7" fillId="5" borderId="0" xfId="0" applyNumberFormat="1" applyFont="1" applyFill="1"/>
    <xf numFmtId="179" fontId="4" fillId="5" borderId="0" xfId="0" applyNumberFormat="1" applyFont="1" applyFill="1"/>
    <xf numFmtId="178" fontId="4" fillId="5" borderId="0" xfId="0" applyNumberFormat="1" applyFont="1" applyFill="1"/>
    <xf numFmtId="181" fontId="4" fillId="5" borderId="0" xfId="0" applyNumberFormat="1" applyFont="1" applyFill="1"/>
    <xf numFmtId="49" fontId="4" fillId="5" borderId="0" xfId="0" applyNumberFormat="1" applyFont="1" applyFill="1"/>
    <xf numFmtId="182" fontId="4" fillId="5" borderId="0" xfId="0" applyNumberFormat="1" applyFont="1" applyFill="1"/>
    <xf numFmtId="178" fontId="0" fillId="0" borderId="0" xfId="0" applyNumberFormat="1"/>
    <xf numFmtId="183" fontId="7" fillId="0" borderId="0" xfId="0" applyNumberFormat="1" applyFont="1"/>
    <xf numFmtId="183" fontId="7" fillId="5" borderId="0" xfId="0" applyNumberFormat="1" applyFont="1" applyFill="1"/>
    <xf numFmtId="49" fontId="9" fillId="0" borderId="0" xfId="0" applyNumberFormat="1" applyFont="1"/>
    <xf numFmtId="0" fontId="7" fillId="3" borderId="0" xfId="0" applyFont="1" applyFill="1"/>
    <xf numFmtId="0" fontId="4" fillId="0" borderId="0" xfId="0" applyFont="1" applyAlignment="1">
      <alignment vertical="top" wrapText="1"/>
    </xf>
    <xf numFmtId="0" fontId="10" fillId="0" borderId="0" xfId="0" applyFont="1"/>
    <xf numFmtId="0" fontId="11" fillId="0" borderId="0" xfId="0" applyFont="1"/>
    <xf numFmtId="178" fontId="7" fillId="0" borderId="0" xfId="0" applyNumberFormat="1" applyFont="1"/>
    <xf numFmtId="178" fontId="7" fillId="5" borderId="0" xfId="0" applyNumberFormat="1" applyFont="1" applyFill="1"/>
    <xf numFmtId="0" fontId="12" fillId="0" borderId="0" xfId="0" applyFont="1"/>
    <xf numFmtId="49" fontId="12" fillId="0" borderId="0" xfId="0" applyNumberFormat="1" applyFont="1"/>
  </cellXfs>
  <cellStyles count="33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访问的超链接" xfId="324" builtinId="9" hidden="1"/>
    <cellStyle name="已访问的超链接" xfId="326" builtinId="9" hidden="1"/>
    <cellStyle name="已访问的超链接" xfId="328" builtinId="9" hidden="1"/>
    <cellStyle name="已访问的超链接" xfId="330" builtinId="9" hidden="1"/>
    <cellStyle name="已访问的超链接" xfId="332" builtinId="9" hidden="1"/>
  </cellStyles>
  <dxfs count="15">
    <dxf>
      <numFmt numFmtId="178" formatCode="0.00_ 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</font>
    </dxf>
    <dxf>
      <font>
        <b/>
      </font>
    </dxf>
    <dxf>
      <font>
        <b/>
      </font>
    </dxf>
    <dxf>
      <font>
        <b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an" refreshedDate="42946.959829629632" createdVersion="4" refreshedVersion="4" minRefreshableVersion="3" recordCount="21">
  <cacheSource type="worksheet">
    <worksheetSource ref="A1:Y1048576" sheet="rec"/>
  </cacheSource>
  <cacheFields count="25">
    <cacheField name="start" numFmtId="177">
      <sharedItems containsNonDate="0" containsDate="1" containsString="0" containsBlank="1" minDate="2017-07-09T15:09:00" maxDate="2017-07-30T20:10:00"/>
    </cacheField>
    <cacheField name="user" numFmtId="0">
      <sharedItems containsBlank="1"/>
    </cacheField>
    <cacheField name="room" numFmtId="0">
      <sharedItems containsBlank="1"/>
    </cacheField>
    <cacheField name="buyin" numFmtId="0">
      <sharedItems containsString="0" containsBlank="1" containsNumber="1" containsInteger="1" minValue="200" maxValue="1800"/>
    </cacheField>
    <cacheField name="checkout" numFmtId="176">
      <sharedItems containsString="0" containsBlank="1" containsNumber="1" containsInteger="1" minValue="189" maxValue="1018"/>
    </cacheField>
    <cacheField name="checkflag" numFmtId="176">
      <sharedItems containsString="0" containsBlank="1" containsNumber="1" containsInteger="1" minValue="189" maxValue="988"/>
    </cacheField>
    <cacheField name="end" numFmtId="183">
      <sharedItems containsNonDate="0" containsDate="1" containsString="0" containsBlank="1" minDate="2017-07-09T17:47:00" maxDate="2017-07-30T22:42:00"/>
    </cacheField>
    <cacheField name="total1" numFmtId="0">
      <sharedItems containsString="0" containsBlank="1" containsNumber="1" containsInteger="1" minValue="1509" maxValue="3347"/>
    </cacheField>
    <cacheField name="vpip1" numFmtId="0">
      <sharedItems containsString="0" containsBlank="1" containsNumber="1" minValue="0.55000000000000004" maxValue="0.71"/>
    </cacheField>
    <cacheField name="total2" numFmtId="0">
      <sharedItems containsString="0" containsBlank="1" containsNumber="1" containsInteger="1" minValue="1753" maxValue="3686"/>
    </cacheField>
    <cacheField name="vpip2" numFmtId="0">
      <sharedItems containsString="0" containsBlank="1" containsNumber="1" minValue="0.55000000000000004" maxValue="0.64"/>
    </cacheField>
    <cacheField name="bigblind" numFmtId="0">
      <sharedItems containsString="0" containsBlank="1" containsNumber="1" containsInteger="1" minValue="2" maxValue="4" count="3">
        <n v="2"/>
        <n v="4"/>
        <m/>
      </sharedItems>
    </cacheField>
    <cacheField name="remark" numFmtId="49">
      <sharedItems containsBlank="1"/>
    </cacheField>
    <cacheField name="drtcaculate" numFmtId="178">
      <sharedItems containsString="0" containsBlank="1" containsNumber="1" minValue="0.74250000000000005" maxValue="1.4433333333333334"/>
    </cacheField>
    <cacheField name="realnet" numFmtId="176">
      <sharedItems containsString="0" containsBlank="1" containsNumber="1" minValue="-828" maxValue="588"/>
    </cacheField>
    <cacheField name="net" numFmtId="0">
      <sharedItems containsString="0" containsBlank="1" containsNumber="1" containsInteger="1" minValue="-828" maxValue="587"/>
    </cacheField>
    <cacheField name="duration" numFmtId="0">
      <sharedItems containsString="0" containsBlank="1" containsNumber="1" minValue="1.62" maxValue="4.33"/>
    </cacheField>
    <cacheField name="hand" numFmtId="0">
      <sharedItems containsString="0" containsBlank="1" containsNumber="1" containsInteger="1" minValue="102" maxValue="689"/>
    </cacheField>
    <cacheField name="flop" numFmtId="0">
      <sharedItems containsString="0" containsBlank="1" containsNumber="1" containsInteger="1" minValue="10" maxValue="453"/>
    </cacheField>
    <cacheField name="flop1" numFmtId="0">
      <sharedItems containsString="0" containsBlank="1" containsNumber="1" containsInteger="1" minValue="1054" maxValue="2008"/>
    </cacheField>
    <cacheField name="flop2" numFmtId="0">
      <sharedItems containsString="0" containsBlank="1" containsNumber="1" containsInteger="1" minValue="1098" maxValue="2101"/>
    </cacheField>
    <cacheField name="vpip" numFmtId="179">
      <sharedItems containsString="0" containsBlank="1" containsNumber="1" minValue="8.2872928176795577E-2" maxValue="0.65747460087082732"/>
    </cacheField>
    <cacheField name="BB/100hand" numFmtId="178">
      <sharedItems containsString="0" containsBlank="1" containsNumber="1" minValue="-1.3986486486486487" maxValue="1.4387254901960784"/>
    </cacheField>
    <cacheField name="BB/hour" numFmtId="178">
      <sharedItems containsString="0" containsBlank="1" containsNumber="1" minValue="-82.142857142857139" maxValue="77.236842105263165"/>
    </cacheField>
    <cacheField name="date" numFmtId="181">
      <sharedItems containsNonDate="0" containsDate="1" containsString="0" containsBlank="1" minDate="2017-07-09T00:00:00" maxDate="2017-07-31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">
  <r>
    <d v="2017-07-09T15:09:00"/>
    <s v="laughing"/>
    <s v="星际"/>
    <n v="500"/>
    <n v="326"/>
    <n v="326"/>
    <d v="2017-07-09T19:25:00"/>
    <n v="1732"/>
    <n v="0.68"/>
    <n v="1981"/>
    <n v="0.62"/>
    <x v="0"/>
    <s v="1/2"/>
    <n v="1.4433333333333334"/>
    <n v="-174"/>
    <n v="-174"/>
    <n v="4.2699999999999996"/>
    <n v="249"/>
    <n v="51"/>
    <n v="1177"/>
    <n v="1228"/>
    <n v="0.20481927710843373"/>
    <n v="-0.3493975903614458"/>
    <n v="-20.374707259953162"/>
    <d v="2017-07-09T00:00:00"/>
  </r>
  <r>
    <d v="2017-07-09T15:09:00"/>
    <s v="m4n"/>
    <s v="钓鱼"/>
    <n v="200"/>
    <n v="524"/>
    <n v="508"/>
    <d v="2017-07-09T17:47:00"/>
    <n v="2213"/>
    <n v="0.61"/>
    <n v="2379"/>
    <n v="0.57999999999999996"/>
    <x v="0"/>
    <s v="1/2"/>
    <n v="1.4433333333333334"/>
    <n v="308"/>
    <n v="307"/>
    <n v="2.63"/>
    <n v="166"/>
    <n v="30"/>
    <n v="1349"/>
    <n v="1379"/>
    <n v="0.18072289156626506"/>
    <n v="0.92469879518072284"/>
    <n v="58.365019011406844"/>
    <d v="2017-07-09T00:00:00"/>
  </r>
  <r>
    <d v="2017-07-09T15:09:00"/>
    <s v="monoray"/>
    <s v="鱼宝宝"/>
    <n v="300"/>
    <n v="367"/>
    <n v="367"/>
    <d v="2017-07-09T19:29:00"/>
    <n v="1509"/>
    <n v="0.71"/>
    <n v="1753"/>
    <n v="0.64"/>
    <x v="0"/>
    <s v="1/2"/>
    <n v="1.4433333333333334"/>
    <n v="67"/>
    <n v="63"/>
    <n v="4.33"/>
    <n v="244"/>
    <n v="50"/>
    <n v="1071"/>
    <n v="1121"/>
    <n v="0.20491803278688525"/>
    <n v="0.12909836065573771"/>
    <n v="7.274826789838337"/>
    <d v="2017-07-09T00:00:00"/>
  </r>
  <r>
    <d v="2017-07-18T21:02:00"/>
    <s v="laughing"/>
    <s v="5环"/>
    <n v="300"/>
    <n v="408"/>
    <n v="403"/>
    <d v="2017-07-19T00:32:00"/>
    <n v="2186"/>
    <n v="0.66"/>
    <n v="2320"/>
    <n v="0.63"/>
    <x v="0"/>
    <s v="1/2"/>
    <n v="0.79400000000000004"/>
    <n v="0.79400000000000004"/>
    <n v="102"/>
    <n v="3.5"/>
    <n v="134"/>
    <n v="19"/>
    <n v="1442"/>
    <n v="1461"/>
    <n v="0.1417910447761194"/>
    <n v="0.38059701492537312"/>
    <n v="14.571428571428571"/>
    <d v="2017-07-18T00:00:00"/>
  </r>
  <r>
    <d v="2017-07-18T21:02:00"/>
    <s v="m4n"/>
    <s v="钓鱼"/>
    <n v="200"/>
    <n v="207"/>
    <n v="207"/>
    <d v="2017-07-19T01:00:00"/>
    <n v="2584"/>
    <n v="0.62"/>
    <n v="2816"/>
    <n v="0.57999999999999996"/>
    <x v="0"/>
    <s v="1/2"/>
    <n v="0.79400000000000004"/>
    <n v="0.79400000000000004"/>
    <n v="6"/>
    <n v="3.97"/>
    <n v="232"/>
    <n v="31"/>
    <n v="1602"/>
    <n v="1633"/>
    <n v="0.1336206896551724"/>
    <n v="1.2931034482758621E-2"/>
    <n v="0.75566750629722923"/>
    <d v="2017-07-18T00:00:00"/>
  </r>
  <r>
    <d v="2017-07-18T21:02:00"/>
    <s v="monoray"/>
    <s v="兰桂坊"/>
    <n v="400"/>
    <n v="1018"/>
    <n v="988"/>
    <d v="2017-07-18T22:56:00"/>
    <n v="1753"/>
    <n v="0.64"/>
    <n v="1855"/>
    <n v="0.61"/>
    <x v="1"/>
    <s v="1/2/4"/>
    <n v="0.79400000000000004"/>
    <n v="588"/>
    <n v="587"/>
    <n v="1.9"/>
    <n v="102"/>
    <n v="10"/>
    <n v="1121"/>
    <n v="1131"/>
    <n v="9.8039215686274508E-2"/>
    <n v="1.4387254901960784"/>
    <n v="77.236842105263165"/>
    <d v="2017-07-18T00:00:00"/>
  </r>
  <r>
    <d v="2017-07-18T21:02:00"/>
    <s v="joan"/>
    <s v="虾米"/>
    <n v="200"/>
    <n v="232"/>
    <n v="232"/>
    <d v="2017-07-18T23:41:00"/>
    <n v="1674"/>
    <n v="0.63"/>
    <n v="1830"/>
    <n v="0.6"/>
    <x v="0"/>
    <s v="1/2"/>
    <n v="0.79400000000000004"/>
    <n v="32"/>
    <n v="30"/>
    <n v="2.65"/>
    <n v="156"/>
    <n v="44"/>
    <n v="1054"/>
    <n v="1098"/>
    <n v="0.28205128205128205"/>
    <n v="9.6153846153846159E-2"/>
    <n v="5.6603773584905666"/>
    <d v="2017-07-18T00:00:00"/>
  </r>
  <r>
    <d v="2017-07-18T22:56:00"/>
    <s v="monoray"/>
    <s v="小文"/>
    <n v="200"/>
    <n v="377"/>
    <n v="369"/>
    <d v="2017-07-19T00:49:00"/>
    <n v="1855"/>
    <n v="0.61"/>
    <n v="1967"/>
    <n v="0.59"/>
    <x v="0"/>
    <s v="1/2"/>
    <n v="0.79400000000000004"/>
    <n v="169"/>
    <n v="168"/>
    <n v="1.88"/>
    <n v="112"/>
    <n v="29"/>
    <n v="1131"/>
    <n v="1160"/>
    <n v="0.25892857142857145"/>
    <n v="0.75"/>
    <n v="44.680851063829792"/>
    <d v="2017-07-18T00:00:00"/>
  </r>
  <r>
    <d v="2017-07-20T20:32:00"/>
    <s v="laughing"/>
    <s v="5环"/>
    <n v="200"/>
    <n v="350"/>
    <n v="342"/>
    <d v="2017-07-20T23:02:00"/>
    <n v="2320"/>
    <n v="0.63"/>
    <n v="2422"/>
    <n v="0.61"/>
    <x v="0"/>
    <s v="1/2"/>
    <n v="1.3149999999999999"/>
    <n v="142"/>
    <n v="142"/>
    <n v="2.5"/>
    <n v="102"/>
    <n v="16"/>
    <n v="1461"/>
    <n v="1477"/>
    <n v="0.15686274509803921"/>
    <n v="0.69607843137254899"/>
    <n v="28.4"/>
    <d v="2017-07-20T00:00:00"/>
  </r>
  <r>
    <d v="2017-07-20T20:32:00"/>
    <s v="monoray"/>
    <s v="鱼宝宝"/>
    <n v="400"/>
    <n v="268"/>
    <n v="268"/>
    <d v="2017-07-20T23:10:00"/>
    <n v="1967"/>
    <n v="0.59"/>
    <n v="2117"/>
    <n v="0.56999999999999995"/>
    <x v="0"/>
    <s v="1/2"/>
    <n v="1.3149999999999999"/>
    <n v="-132"/>
    <n v="-132"/>
    <n v="2.63"/>
    <n v="150"/>
    <n v="46"/>
    <n v="1160"/>
    <n v="1206"/>
    <n v="0.30666666666666664"/>
    <n v="-0.44"/>
    <n v="-25.095057034220535"/>
    <d v="2017-07-20T00:00:00"/>
  </r>
  <r>
    <d v="2017-07-22T21:05:00"/>
    <s v="m4n"/>
    <s v="钓鱼"/>
    <n v="200"/>
    <n v="189"/>
    <n v="189"/>
    <d v="2017-07-23T00:00:01"/>
    <n v="2816"/>
    <n v="0.57999999999999996"/>
    <n v="2997"/>
    <n v="0.55000000000000004"/>
    <x v="0"/>
    <s v="1/2"/>
    <n v="0.74250000000000005"/>
    <n v="-11"/>
    <n v="-11"/>
    <n v="2.92"/>
    <n v="181"/>
    <n v="15"/>
    <n v="1633"/>
    <n v="1648"/>
    <n v="8.2872928176795577E-2"/>
    <n v="-3.0386740331491711E-2"/>
    <n v="-1.8835616438356164"/>
    <d v="2017-07-22T00:00:00"/>
  </r>
  <r>
    <d v="2017-07-22T21:05:00"/>
    <s v="joan"/>
    <s v="虾米"/>
    <n v="400"/>
    <n v="674"/>
    <n v="665"/>
    <d v="2017-07-22T23:35:00"/>
    <n v="1830"/>
    <n v="0.6"/>
    <n v="1994"/>
    <n v="0.56000000000000005"/>
    <x v="1"/>
    <s v="1/2/4"/>
    <n v="0.74250000000000005"/>
    <n v="265"/>
    <n v="260"/>
    <n v="2.5"/>
    <n v="164"/>
    <n v="18"/>
    <n v="1098"/>
    <n v="1116"/>
    <n v="0.10975609756097561"/>
    <n v="0.39634146341463417"/>
    <n v="26"/>
    <d v="2017-07-22T00:00:00"/>
  </r>
  <r>
    <d v="2017-07-22T21:13:00"/>
    <s v="monoray"/>
    <s v="兰桂坊"/>
    <n v="1800"/>
    <n v="972"/>
    <n v="972"/>
    <d v="2017-07-22T23:44:00"/>
    <n v="2117"/>
    <n v="0.56999999999999995"/>
    <n v="2265"/>
    <n v="0.55000000000000004"/>
    <x v="1"/>
    <s v="1/2/4"/>
    <n v="0.74250000000000005"/>
    <n v="-828"/>
    <n v="-828"/>
    <n v="2.52"/>
    <n v="148"/>
    <n v="39"/>
    <n v="1206"/>
    <n v="1245"/>
    <n v="0.26351351351351349"/>
    <n v="-1.3986486486486487"/>
    <n v="-82.142857142857139"/>
    <d v="2017-07-22T00:00:00"/>
  </r>
  <r>
    <d v="2017-07-22T21:02:00"/>
    <s v="laughing"/>
    <s v="5环"/>
    <n v="200"/>
    <n v="215"/>
    <n v="215"/>
    <d v="2017-07-23T00:00:01"/>
    <n v="2422"/>
    <n v="0.61"/>
    <n v="2557"/>
    <n v="0.59"/>
    <x v="0"/>
    <s v="1/2"/>
    <n v="0.74250000000000005"/>
    <n v="15"/>
    <n v="14"/>
    <n v="2.97"/>
    <n v="135"/>
    <n v="31"/>
    <n v="1477"/>
    <n v="1508"/>
    <n v="0.22962962962962963"/>
    <n v="5.185185185185185E-2"/>
    <n v="2.3569023569023568"/>
    <d v="2017-07-22T00:00:00"/>
  </r>
  <r>
    <d v="2017-07-30T15:00:00"/>
    <s v="m4n"/>
    <s v="天府"/>
    <n v="900"/>
    <n v="582"/>
    <n v="582"/>
    <d v="2017-07-30T17:31:00"/>
    <n v="3347"/>
    <n v="0.6"/>
    <n v="3507"/>
    <n v="0.57999999999999996"/>
    <x v="1"/>
    <s v="1/2/4"/>
    <n v="0.84"/>
    <n v="-318"/>
    <n v="-318"/>
    <n v="2.52"/>
    <n v="160"/>
    <n v="26"/>
    <n v="2008"/>
    <n v="2034"/>
    <n v="0.16250000000000001"/>
    <n v="-0.49687500000000001"/>
    <n v="-31.547619047619047"/>
    <d v="2017-07-30T00:00:00"/>
  </r>
  <r>
    <d v="2017-07-30T15:15:00"/>
    <s v="joan"/>
    <s v="全聚德"/>
    <n v="700"/>
    <n v="292"/>
    <n v="300"/>
    <d v="2017-07-30T17:38:00"/>
    <n v="2200"/>
    <n v="0.6"/>
    <n v="2353"/>
    <n v="0.57999999999999996"/>
    <x v="1"/>
    <s v="1/2/4"/>
    <n v="0.84"/>
    <n v="-400"/>
    <n v="-408"/>
    <n v="2.38"/>
    <n v="153"/>
    <n v="44"/>
    <n v="1320"/>
    <n v="1364"/>
    <n v="0.28758169934640521"/>
    <n v="-0.66666666666666663"/>
    <n v="-42.857142857142861"/>
    <d v="2017-07-30T00:00:00"/>
  </r>
  <r>
    <d v="2017-07-30T16:16:00"/>
    <s v="laughing"/>
    <s v="繁花似锦"/>
    <n v="400"/>
    <n v="519"/>
    <n v="519"/>
    <d v="2017-07-30T17:53:00"/>
    <n v="2763"/>
    <n v="0.62"/>
    <n v="2869"/>
    <n v="0.61"/>
    <x v="1"/>
    <s v="1/2/4"/>
    <n v="0.84"/>
    <n v="119"/>
    <n v="113"/>
    <n v="1.62"/>
    <n v="106"/>
    <n v="37"/>
    <n v="1713"/>
    <n v="1750"/>
    <n v="0.34905660377358488"/>
    <n v="0.26650943396226418"/>
    <n v="17.438271604938272"/>
    <d v="2017-07-30T00:00:00"/>
  </r>
  <r>
    <d v="2017-07-30T19:45:00"/>
    <s v="m4n"/>
    <s v="天府"/>
    <n v="400"/>
    <n v="511"/>
    <n v="508"/>
    <d v="2017-07-30T22:16:00"/>
    <n v="2997"/>
    <n v="0.55000000000000004"/>
    <n v="3686"/>
    <n v="0.56999999999999995"/>
    <x v="1"/>
    <s v="1/2/4"/>
    <n v="0.86"/>
    <n v="108"/>
    <n v="105"/>
    <n v="2.52"/>
    <n v="689"/>
    <n v="453"/>
    <n v="1648"/>
    <n v="2101"/>
    <n v="0.65747460087082732"/>
    <n v="3.8098693759071114E-2"/>
    <n v="10.416666666666666"/>
    <d v="2017-07-30T00:00:00"/>
  </r>
  <r>
    <d v="2017-07-30T20:10:00"/>
    <s v="joan"/>
    <s v="全聚德"/>
    <n v="800"/>
    <n v="544"/>
    <m/>
    <d v="2017-07-30T22:42:00"/>
    <n v="1994"/>
    <n v="0.56000000000000005"/>
    <n v="2497"/>
    <n v="0.56000000000000005"/>
    <x v="1"/>
    <s v="1/2/4"/>
    <n v="0.86"/>
    <n v="-800"/>
    <n v="-256"/>
    <n v="2.5299999999999998"/>
    <n v="503"/>
    <n v="282"/>
    <n v="1116"/>
    <n v="1398"/>
    <n v="0.56063618290258455"/>
    <n v="-0.1272365805168986"/>
    <n v="-25.296442687747039"/>
    <d v="2017-07-30T00:00:00"/>
  </r>
  <r>
    <d v="2017-07-30T19:10:00"/>
    <s v="laughing"/>
    <s v="水上漂"/>
    <n v="400"/>
    <n v="899"/>
    <m/>
    <d v="2017-07-30T21:45:00"/>
    <n v="2557"/>
    <n v="0.59"/>
    <n v="3015"/>
    <n v="0.59"/>
    <x v="1"/>
    <s v="2/4"/>
    <n v="0.86"/>
    <n v="-400"/>
    <n v="474"/>
    <n v="2.58"/>
    <n v="458"/>
    <n v="270"/>
    <n v="1508"/>
    <n v="1778"/>
    <n v="0.58951965065502188"/>
    <n v="0.25873362445414849"/>
    <n v="45.930232558139537"/>
    <d v="2017-07-30T00:00:00"/>
  </r>
  <r>
    <m/>
    <m/>
    <m/>
    <m/>
    <m/>
    <m/>
    <m/>
    <m/>
    <m/>
    <m/>
    <m/>
    <x v="2"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0" applyNumberFormats="0" applyBorderFormats="0" applyFontFormats="0" applyPatternFormats="0" applyAlignmentFormats="0" applyWidthHeightFormats="1" dataCaption="z" updatedVersion="4" minRefreshableVersion="3" useAutoFormatting="1" itemPrintTitles="1" createdVersion="4" indent="0" outline="1" outlineData="1" gridDropZones="1" multipleFieldFilters="0">
  <location ref="D3:K7" firstHeaderRow="1" firstDataRow="2" firstDataCol="1"/>
  <pivotFields count="25"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axis="axisRow" showAll="0">
      <items count="4">
        <item x="0"/>
        <item h="1" x="2"/>
        <item x="1"/>
        <item t="default"/>
      </items>
    </pivotField>
    <pivotField showAll="0"/>
    <pivotField dataField="1" showAll="0" defaultSubtotal="0"/>
    <pivotField showAll="0"/>
    <pivotField dataField="1"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 defaultSubtotal="0"/>
  </pivotFields>
  <rowFields count="1">
    <field x="11"/>
  </rowFields>
  <rowItems count="3">
    <i>
      <x/>
    </i>
    <i>
      <x v="2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hands" fld="17" baseField="0" baseItem="0"/>
    <dataField name="flops" fld="18" baseField="0" baseItem="0"/>
    <dataField name="nets" fld="15" baseField="0" baseItem="0"/>
    <dataField name="buyins" fld="3" baseField="0" baseItem="0"/>
    <dataField name="checkouts" fld="4" baseField="0" baseItem="0"/>
    <dataField name="realnets" fld="5" baseField="0" baseItem="0"/>
    <dataField name="duirations" fld="13" baseField="0" baseItem="0" numFmtId="178"/>
  </dataFields>
  <formats count="15">
    <format dxfId="14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13">
      <pivotArea field="-2" type="button" dataOnly="0" labelOnly="1" outline="0" axis="axisCol" fieldPosition="0"/>
    </format>
    <format dxfId="12">
      <pivotArea type="topRight" dataOnly="0" labelOnly="1" outline="0" fieldPosition="0"/>
    </format>
    <format dxfId="1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0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  <format dxfId="9">
      <pivotArea field="-2" type="button" dataOnly="0" labelOnly="1" outline="0" axis="axisCol" fieldPosition="0"/>
    </format>
    <format dxfId="8">
      <pivotArea type="topRight" dataOnly="0" labelOnly="1" outline="0" fieldPosition="0"/>
    </format>
    <format dxfId="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5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4">
      <pivotArea outline="0" collapsedLevelsAreSubtotals="1" fieldPosition="0">
        <references count="1">
          <reference field="4294967294" count="3" selected="0">
            <x v="0"/>
            <x v="1"/>
            <x v="2"/>
          </reference>
        </references>
      </pivotArea>
    </format>
    <format dxfId="3">
      <pivotArea field="-2" type="button" dataOnly="0" labelOnly="1" outline="0" axis="axisCol" fieldPosition="0"/>
    </format>
    <format dxfId="2">
      <pivotArea type="topRight" dataOnly="0" labelOnly="1" outline="0" fieldPosition="0"/>
    </format>
    <format dxfId="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0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21" sqref="G21"/>
    </sheetView>
  </sheetViews>
  <sheetFormatPr defaultColWidth="17.625" defaultRowHeight="13.5" x14ac:dyDescent="0.15"/>
  <cols>
    <col min="1" max="1" width="16.375" style="3" bestFit="1" customWidth="1"/>
    <col min="2" max="2" width="9" style="1" bestFit="1" customWidth="1"/>
    <col min="3" max="3" width="7.125" style="5" bestFit="1" customWidth="1"/>
    <col min="4" max="4" width="6.375" style="4" bestFit="1" customWidth="1"/>
    <col min="5" max="5" width="9.125" style="7" bestFit="1" customWidth="1"/>
    <col min="6" max="6" width="10" style="14" bestFit="1" customWidth="1"/>
    <col min="7" max="7" width="5.875" style="41" customWidth="1"/>
    <col min="8" max="8" width="7.375" style="5" bestFit="1" customWidth="1"/>
    <col min="9" max="9" width="6.375" style="5" bestFit="1" customWidth="1"/>
    <col min="10" max="10" width="7.375" style="5" bestFit="1" customWidth="1"/>
    <col min="11" max="11" width="6.375" style="5" bestFit="1" customWidth="1"/>
    <col min="12" max="12" width="3.875" style="5" customWidth="1"/>
    <col min="13" max="13" width="6.625" style="15" customWidth="1"/>
    <col min="14" max="14" width="6.625" style="48" customWidth="1"/>
    <col min="15" max="15" width="5.875" style="22" customWidth="1"/>
    <col min="16" max="16" width="4.875" style="23" customWidth="1"/>
    <col min="17" max="17" width="12.5" style="11" bestFit="1" customWidth="1"/>
    <col min="18" max="18" width="4.125" style="11" customWidth="1"/>
    <col min="19" max="19" width="6.625" style="11" customWidth="1"/>
    <col min="20" max="21" width="6.375" style="11" bestFit="1" customWidth="1"/>
    <col min="22" max="22" width="6.375" style="12" bestFit="1" customWidth="1"/>
    <col min="23" max="24" width="7.5" style="13" customWidth="1"/>
    <col min="25" max="25" width="9.625" style="28" customWidth="1"/>
    <col min="26" max="26" width="11.625" style="2" bestFit="1" customWidth="1"/>
    <col min="27" max="16384" width="17.625" style="1"/>
  </cols>
  <sheetData>
    <row r="1" spans="1:26" x14ac:dyDescent="0.15">
      <c r="A1" s="3" t="s">
        <v>12</v>
      </c>
      <c r="B1" s="1" t="s">
        <v>0</v>
      </c>
      <c r="C1" s="5" t="s">
        <v>2</v>
      </c>
      <c r="D1" s="4" t="s">
        <v>1</v>
      </c>
      <c r="E1" s="7" t="s">
        <v>11</v>
      </c>
      <c r="F1" s="14" t="s">
        <v>39</v>
      </c>
      <c r="G1" s="41" t="s">
        <v>13</v>
      </c>
      <c r="H1" s="5" t="s">
        <v>17</v>
      </c>
      <c r="I1" s="5" t="s">
        <v>15</v>
      </c>
      <c r="J1" s="5" t="s">
        <v>20</v>
      </c>
      <c r="K1" s="5" t="s">
        <v>18</v>
      </c>
      <c r="L1" s="5" t="s">
        <v>23</v>
      </c>
      <c r="M1" s="15" t="s">
        <v>29</v>
      </c>
      <c r="N1" s="48" t="s">
        <v>232</v>
      </c>
      <c r="O1" s="22" t="s">
        <v>41</v>
      </c>
      <c r="P1" s="23" t="s">
        <v>4</v>
      </c>
      <c r="Q1" s="11" t="s">
        <v>14</v>
      </c>
      <c r="R1" s="11" t="s">
        <v>21</v>
      </c>
      <c r="S1" s="11" t="s">
        <v>40</v>
      </c>
      <c r="T1" s="11" t="s">
        <v>16</v>
      </c>
      <c r="U1" s="11" t="s">
        <v>19</v>
      </c>
      <c r="V1" s="12" t="s">
        <v>22</v>
      </c>
      <c r="W1" s="13" t="s">
        <v>24</v>
      </c>
      <c r="X1" s="13" t="s">
        <v>25</v>
      </c>
      <c r="Y1" s="28" t="s">
        <v>119</v>
      </c>
      <c r="Z1" s="2" t="s">
        <v>3</v>
      </c>
    </row>
    <row r="2" spans="1:26" s="30" customFormat="1" x14ac:dyDescent="0.15">
      <c r="A2" s="29">
        <v>42925.631249999999</v>
      </c>
      <c r="B2" s="30" t="s">
        <v>7</v>
      </c>
      <c r="C2" s="31" t="s">
        <v>10</v>
      </c>
      <c r="D2" s="31">
        <f>200+300</f>
        <v>500</v>
      </c>
      <c r="E2" s="32">
        <f>D2-174</f>
        <v>326</v>
      </c>
      <c r="F2" s="32">
        <v>326</v>
      </c>
      <c r="G2" s="42">
        <v>42925.809027777781</v>
      </c>
      <c r="H2" s="31">
        <v>1732</v>
      </c>
      <c r="I2" s="31">
        <v>0.68</v>
      </c>
      <c r="J2" s="31">
        <v>1981</v>
      </c>
      <c r="K2" s="31">
        <v>0.62</v>
      </c>
      <c r="L2" s="31">
        <v>2</v>
      </c>
      <c r="M2" s="34" t="s">
        <v>30</v>
      </c>
      <c r="N2" s="49">
        <f>MAX($Q$2:$Q$4)/SUBTOTAL(102,$Q$2:$Q$4)</f>
        <v>1.4433333333333334</v>
      </c>
      <c r="O2" s="22">
        <f>F2-D2</f>
        <v>-174</v>
      </c>
      <c r="P2" s="23">
        <f t="shared" ref="P2:P21" si="0">IF(E2&gt;D2,INT((E2-D2)*0.95),E2-D2)</f>
        <v>-174</v>
      </c>
      <c r="Q2" s="11">
        <f t="shared" ref="Q2:Q21" si="1">ROUND((G2-A2)*24,2)</f>
        <v>4.2699999999999996</v>
      </c>
      <c r="R2" s="11">
        <f t="shared" ref="R2:R21" si="2">J2-H2</f>
        <v>249</v>
      </c>
      <c r="S2" s="11">
        <f t="shared" ref="S2:S9" si="3">U2-T2</f>
        <v>51</v>
      </c>
      <c r="T2" s="11">
        <f t="shared" ref="T2:T21" si="4">INT(H2*I2)</f>
        <v>1177</v>
      </c>
      <c r="U2" s="11">
        <f t="shared" ref="U2:U21" si="5">INT(J2*K2)</f>
        <v>1228</v>
      </c>
      <c r="V2" s="12">
        <f t="shared" ref="V2:V9" si="6">S2/R2</f>
        <v>0.20481927710843373</v>
      </c>
      <c r="W2" s="13">
        <f t="shared" ref="W2:W21" si="7">P2/R2/L2</f>
        <v>-0.3493975903614458</v>
      </c>
      <c r="X2" s="13">
        <f t="shared" ref="X2:X21" si="8">P2/Q2/L2</f>
        <v>-20.374707259953162</v>
      </c>
      <c r="Y2" s="37">
        <f t="shared" ref="Y2:Y21" si="9">DATE(YEAR(A2),MONTH(A2),DAY(A2))</f>
        <v>42925</v>
      </c>
      <c r="Z2" s="38" t="s">
        <v>8</v>
      </c>
    </row>
    <row r="3" spans="1:26" s="30" customFormat="1" x14ac:dyDescent="0.15">
      <c r="A3" s="29">
        <v>42925.631249999999</v>
      </c>
      <c r="B3" s="30" t="s">
        <v>26</v>
      </c>
      <c r="C3" s="31" t="s">
        <v>27</v>
      </c>
      <c r="D3" s="31">
        <v>200</v>
      </c>
      <c r="E3" s="32">
        <v>524</v>
      </c>
      <c r="F3" s="32">
        <v>508</v>
      </c>
      <c r="G3" s="42">
        <v>42925.740972222222</v>
      </c>
      <c r="H3" s="31">
        <v>2213</v>
      </c>
      <c r="I3" s="31">
        <v>0.61</v>
      </c>
      <c r="J3" s="31">
        <v>2379</v>
      </c>
      <c r="K3" s="31">
        <v>0.57999999999999996</v>
      </c>
      <c r="L3" s="31">
        <v>2</v>
      </c>
      <c r="M3" s="34" t="s">
        <v>30</v>
      </c>
      <c r="N3" s="49">
        <f t="shared" ref="N3:N4" si="10">MAX($Q$2:$Q$4)/SUBTOTAL(102,$Q$2:$Q$4)</f>
        <v>1.4433333333333334</v>
      </c>
      <c r="O3" s="22">
        <f>F3-D3</f>
        <v>308</v>
      </c>
      <c r="P3" s="23">
        <f t="shared" si="0"/>
        <v>307</v>
      </c>
      <c r="Q3" s="11">
        <f t="shared" si="1"/>
        <v>2.63</v>
      </c>
      <c r="R3" s="11">
        <f t="shared" si="2"/>
        <v>166</v>
      </c>
      <c r="S3" s="11">
        <f t="shared" si="3"/>
        <v>30</v>
      </c>
      <c r="T3" s="11">
        <f t="shared" si="4"/>
        <v>1349</v>
      </c>
      <c r="U3" s="11">
        <f t="shared" si="5"/>
        <v>1379</v>
      </c>
      <c r="V3" s="12">
        <f t="shared" si="6"/>
        <v>0.18072289156626506</v>
      </c>
      <c r="W3" s="13">
        <f t="shared" si="7"/>
        <v>0.92469879518072284</v>
      </c>
      <c r="X3" s="13">
        <f t="shared" si="8"/>
        <v>58.365019011406844</v>
      </c>
      <c r="Y3" s="37">
        <f t="shared" si="9"/>
        <v>42925</v>
      </c>
      <c r="Z3" s="38" t="s">
        <v>28</v>
      </c>
    </row>
    <row r="4" spans="1:26" s="30" customFormat="1" x14ac:dyDescent="0.15">
      <c r="A4" s="29">
        <v>42925.631249999999</v>
      </c>
      <c r="B4" s="30" t="s">
        <v>33</v>
      </c>
      <c r="C4" s="31" t="s">
        <v>38</v>
      </c>
      <c r="D4" s="31">
        <v>300</v>
      </c>
      <c r="E4" s="32">
        <v>367</v>
      </c>
      <c r="F4" s="32">
        <v>367</v>
      </c>
      <c r="G4" s="42">
        <v>42925.811805555553</v>
      </c>
      <c r="H4" s="31">
        <v>1509</v>
      </c>
      <c r="I4" s="31">
        <v>0.71</v>
      </c>
      <c r="J4" s="31">
        <v>1753</v>
      </c>
      <c r="K4" s="31">
        <v>0.64</v>
      </c>
      <c r="L4" s="31">
        <v>2</v>
      </c>
      <c r="M4" s="34" t="s">
        <v>30</v>
      </c>
      <c r="N4" s="49">
        <f t="shared" si="10"/>
        <v>1.4433333333333334</v>
      </c>
      <c r="O4" s="22">
        <f>F4-D4</f>
        <v>67</v>
      </c>
      <c r="P4" s="23">
        <f t="shared" si="0"/>
        <v>63</v>
      </c>
      <c r="Q4" s="11">
        <f t="shared" si="1"/>
        <v>4.33</v>
      </c>
      <c r="R4" s="11">
        <f t="shared" si="2"/>
        <v>244</v>
      </c>
      <c r="S4" s="11">
        <f t="shared" si="3"/>
        <v>50</v>
      </c>
      <c r="T4" s="11">
        <f t="shared" si="4"/>
        <v>1071</v>
      </c>
      <c r="U4" s="11">
        <f t="shared" si="5"/>
        <v>1121</v>
      </c>
      <c r="V4" s="12">
        <f t="shared" si="6"/>
        <v>0.20491803278688525</v>
      </c>
      <c r="W4" s="13">
        <f t="shared" si="7"/>
        <v>0.12909836065573771</v>
      </c>
      <c r="X4" s="13">
        <f t="shared" si="8"/>
        <v>7.274826789838337</v>
      </c>
      <c r="Y4" s="37">
        <f t="shared" si="9"/>
        <v>42925</v>
      </c>
      <c r="Z4" s="38" t="s">
        <v>32</v>
      </c>
    </row>
    <row r="5" spans="1:26" x14ac:dyDescent="0.15">
      <c r="A5" s="24">
        <v>42934.876388888886</v>
      </c>
      <c r="B5" s="1" t="s">
        <v>7</v>
      </c>
      <c r="C5" s="5" t="s">
        <v>61</v>
      </c>
      <c r="D5" s="5">
        <f>200+100</f>
        <v>300</v>
      </c>
      <c r="E5" s="7">
        <f>D5+108</f>
        <v>408</v>
      </c>
      <c r="F5" s="14">
        <v>403</v>
      </c>
      <c r="G5" s="41">
        <v>42935.022222222222</v>
      </c>
      <c r="H5" s="5">
        <v>2186</v>
      </c>
      <c r="I5" s="5">
        <v>0.66</v>
      </c>
      <c r="J5" s="5">
        <v>2320</v>
      </c>
      <c r="K5" s="5">
        <v>0.63</v>
      </c>
      <c r="L5" s="5">
        <v>2</v>
      </c>
      <c r="M5" s="15" t="s">
        <v>30</v>
      </c>
      <c r="N5" s="48">
        <f>MAX($Q$5:$Q$9)/SUBTOTAL(102,$Q$5:$Q$9)</f>
        <v>0.79400000000000004</v>
      </c>
      <c r="O5" s="22">
        <f>MAX($Q$5:$Q$9)/5</f>
        <v>0.79400000000000004</v>
      </c>
      <c r="P5" s="23">
        <f t="shared" si="0"/>
        <v>102</v>
      </c>
      <c r="Q5" s="11">
        <f t="shared" si="1"/>
        <v>3.5</v>
      </c>
      <c r="R5" s="11">
        <f t="shared" si="2"/>
        <v>134</v>
      </c>
      <c r="S5" s="11">
        <f t="shared" si="3"/>
        <v>19</v>
      </c>
      <c r="T5" s="11">
        <f t="shared" si="4"/>
        <v>1442</v>
      </c>
      <c r="U5" s="11">
        <f t="shared" si="5"/>
        <v>1461</v>
      </c>
      <c r="V5" s="12">
        <f t="shared" si="6"/>
        <v>0.1417910447761194</v>
      </c>
      <c r="W5" s="13">
        <f t="shared" si="7"/>
        <v>0.38059701492537312</v>
      </c>
      <c r="X5" s="13">
        <f t="shared" si="8"/>
        <v>14.571428571428571</v>
      </c>
      <c r="Y5" s="28">
        <f t="shared" si="9"/>
        <v>42934</v>
      </c>
      <c r="Z5" s="2" t="s">
        <v>8</v>
      </c>
    </row>
    <row r="6" spans="1:26" x14ac:dyDescent="0.15">
      <c r="A6" s="24">
        <v>42934.876388888886</v>
      </c>
      <c r="B6" s="1" t="s">
        <v>26</v>
      </c>
      <c r="C6" s="5" t="s">
        <v>27</v>
      </c>
      <c r="D6" s="5">
        <v>200</v>
      </c>
      <c r="E6" s="7">
        <f>D6+7</f>
        <v>207</v>
      </c>
      <c r="F6" s="14">
        <v>207</v>
      </c>
      <c r="G6" s="41">
        <v>42935.041666666664</v>
      </c>
      <c r="H6" s="5">
        <v>2584</v>
      </c>
      <c r="I6" s="5">
        <v>0.62</v>
      </c>
      <c r="J6" s="5">
        <v>2816</v>
      </c>
      <c r="K6" s="5">
        <v>0.57999999999999996</v>
      </c>
      <c r="L6" s="5">
        <v>2</v>
      </c>
      <c r="M6" s="15" t="s">
        <v>30</v>
      </c>
      <c r="N6" s="48">
        <f t="shared" ref="N6:N9" si="11">MAX($Q$5:$Q$9)/SUBTOTAL(102,$Q$5:$Q$9)</f>
        <v>0.79400000000000004</v>
      </c>
      <c r="O6" s="22">
        <f>MAX($Q$5:$Q$9)/5</f>
        <v>0.79400000000000004</v>
      </c>
      <c r="P6" s="23">
        <f t="shared" si="0"/>
        <v>6</v>
      </c>
      <c r="Q6" s="11">
        <f t="shared" si="1"/>
        <v>3.97</v>
      </c>
      <c r="R6" s="11">
        <f t="shared" si="2"/>
        <v>232</v>
      </c>
      <c r="S6" s="11">
        <f t="shared" si="3"/>
        <v>31</v>
      </c>
      <c r="T6" s="11">
        <f t="shared" si="4"/>
        <v>1602</v>
      </c>
      <c r="U6" s="11">
        <f t="shared" si="5"/>
        <v>1633</v>
      </c>
      <c r="V6" s="12">
        <f t="shared" si="6"/>
        <v>0.1336206896551724</v>
      </c>
      <c r="W6" s="13">
        <f t="shared" si="7"/>
        <v>1.2931034482758621E-2</v>
      </c>
      <c r="X6" s="13">
        <f t="shared" si="8"/>
        <v>0.75566750629722923</v>
      </c>
      <c r="Y6" s="28">
        <f t="shared" si="9"/>
        <v>42934</v>
      </c>
      <c r="Z6" s="2" t="s">
        <v>28</v>
      </c>
    </row>
    <row r="7" spans="1:26" x14ac:dyDescent="0.15">
      <c r="A7" s="24">
        <v>42934.876388888886</v>
      </c>
      <c r="B7" s="1" t="s">
        <v>33</v>
      </c>
      <c r="C7" s="5" t="s">
        <v>62</v>
      </c>
      <c r="D7" s="5">
        <f>400</f>
        <v>400</v>
      </c>
      <c r="E7" s="7">
        <f>D7+618</f>
        <v>1018</v>
      </c>
      <c r="F7" s="14">
        <v>988</v>
      </c>
      <c r="G7" s="41">
        <v>42934.955555555556</v>
      </c>
      <c r="H7" s="5">
        <v>1753</v>
      </c>
      <c r="I7" s="5">
        <v>0.64</v>
      </c>
      <c r="J7" s="5">
        <v>1855</v>
      </c>
      <c r="K7" s="5">
        <v>0.61</v>
      </c>
      <c r="L7" s="5">
        <v>4</v>
      </c>
      <c r="M7" s="15" t="s">
        <v>60</v>
      </c>
      <c r="N7" s="48">
        <f t="shared" si="11"/>
        <v>0.79400000000000004</v>
      </c>
      <c r="O7" s="22">
        <f t="shared" ref="O7:O21" si="12">F7-D7</f>
        <v>588</v>
      </c>
      <c r="P7" s="23">
        <f t="shared" si="0"/>
        <v>587</v>
      </c>
      <c r="Q7" s="11">
        <f t="shared" si="1"/>
        <v>1.9</v>
      </c>
      <c r="R7" s="11">
        <f t="shared" si="2"/>
        <v>102</v>
      </c>
      <c r="S7" s="11">
        <f t="shared" si="3"/>
        <v>10</v>
      </c>
      <c r="T7" s="11">
        <f t="shared" si="4"/>
        <v>1121</v>
      </c>
      <c r="U7" s="11">
        <f t="shared" si="5"/>
        <v>1131</v>
      </c>
      <c r="V7" s="12">
        <f t="shared" si="6"/>
        <v>9.8039215686274508E-2</v>
      </c>
      <c r="W7" s="13">
        <f t="shared" si="7"/>
        <v>1.4387254901960784</v>
      </c>
      <c r="X7" s="13">
        <f t="shared" si="8"/>
        <v>77.236842105263165</v>
      </c>
      <c r="Y7" s="28">
        <f t="shared" si="9"/>
        <v>42934</v>
      </c>
      <c r="Z7" s="2" t="s">
        <v>32</v>
      </c>
    </row>
    <row r="8" spans="1:26" x14ac:dyDescent="0.15">
      <c r="A8" s="24">
        <v>42934.876388888886</v>
      </c>
      <c r="B8" s="1" t="s">
        <v>58</v>
      </c>
      <c r="C8" s="5" t="s">
        <v>59</v>
      </c>
      <c r="D8" s="5">
        <v>200</v>
      </c>
      <c r="E8" s="7">
        <f>D8+32</f>
        <v>232</v>
      </c>
      <c r="F8" s="14">
        <v>232</v>
      </c>
      <c r="G8" s="41">
        <v>42934.986805555556</v>
      </c>
      <c r="H8" s="5">
        <v>1674</v>
      </c>
      <c r="I8" s="5">
        <v>0.63</v>
      </c>
      <c r="J8" s="5">
        <v>1830</v>
      </c>
      <c r="K8" s="5">
        <v>0.6</v>
      </c>
      <c r="L8" s="5">
        <v>2</v>
      </c>
      <c r="M8" s="15" t="s">
        <v>30</v>
      </c>
      <c r="N8" s="48">
        <f t="shared" si="11"/>
        <v>0.79400000000000004</v>
      </c>
      <c r="O8" s="22">
        <f t="shared" si="12"/>
        <v>32</v>
      </c>
      <c r="P8" s="23">
        <f t="shared" si="0"/>
        <v>30</v>
      </c>
      <c r="Q8" s="11">
        <f t="shared" si="1"/>
        <v>2.65</v>
      </c>
      <c r="R8" s="11">
        <f t="shared" si="2"/>
        <v>156</v>
      </c>
      <c r="S8" s="11">
        <f t="shared" si="3"/>
        <v>44</v>
      </c>
      <c r="T8" s="11">
        <f t="shared" si="4"/>
        <v>1054</v>
      </c>
      <c r="U8" s="11">
        <f t="shared" si="5"/>
        <v>1098</v>
      </c>
      <c r="V8" s="12">
        <f t="shared" si="6"/>
        <v>0.28205128205128205</v>
      </c>
      <c r="W8" s="13">
        <f t="shared" si="7"/>
        <v>9.6153846153846159E-2</v>
      </c>
      <c r="X8" s="13">
        <f t="shared" si="8"/>
        <v>5.6603773584905666</v>
      </c>
      <c r="Y8" s="28">
        <f t="shared" si="9"/>
        <v>42934</v>
      </c>
      <c r="Z8" s="2" t="s">
        <v>131</v>
      </c>
    </row>
    <row r="9" spans="1:26" x14ac:dyDescent="0.15">
      <c r="A9" s="24">
        <v>42934.955555555556</v>
      </c>
      <c r="B9" s="1" t="s">
        <v>33</v>
      </c>
      <c r="C9" s="5" t="s">
        <v>34</v>
      </c>
      <c r="D9" s="5">
        <v>200</v>
      </c>
      <c r="E9" s="7">
        <f>D9+177</f>
        <v>377</v>
      </c>
      <c r="F9" s="14">
        <v>369</v>
      </c>
      <c r="G9" s="41">
        <v>42935.03402777778</v>
      </c>
      <c r="H9" s="5">
        <v>1855</v>
      </c>
      <c r="I9" s="5">
        <v>0.61</v>
      </c>
      <c r="J9" s="5">
        <v>1967</v>
      </c>
      <c r="K9" s="5">
        <v>0.59</v>
      </c>
      <c r="L9" s="5">
        <v>2</v>
      </c>
      <c r="M9" s="15" t="s">
        <v>30</v>
      </c>
      <c r="N9" s="48">
        <f t="shared" si="11"/>
        <v>0.79400000000000004</v>
      </c>
      <c r="O9" s="22">
        <f t="shared" si="12"/>
        <v>169</v>
      </c>
      <c r="P9" s="23">
        <f t="shared" si="0"/>
        <v>168</v>
      </c>
      <c r="Q9" s="11">
        <f t="shared" si="1"/>
        <v>1.88</v>
      </c>
      <c r="R9" s="11">
        <f t="shared" si="2"/>
        <v>112</v>
      </c>
      <c r="S9" s="11">
        <f t="shared" si="3"/>
        <v>29</v>
      </c>
      <c r="T9" s="11">
        <f t="shared" si="4"/>
        <v>1131</v>
      </c>
      <c r="U9" s="11">
        <f t="shared" si="5"/>
        <v>1160</v>
      </c>
      <c r="V9" s="12">
        <f t="shared" si="6"/>
        <v>0.25892857142857145</v>
      </c>
      <c r="W9" s="13">
        <f t="shared" si="7"/>
        <v>0.75</v>
      </c>
      <c r="X9" s="13">
        <f t="shared" si="8"/>
        <v>44.680851063829792</v>
      </c>
      <c r="Y9" s="28">
        <f t="shared" si="9"/>
        <v>42934</v>
      </c>
      <c r="Z9" s="2" t="s">
        <v>32</v>
      </c>
    </row>
    <row r="10" spans="1:26" s="30" customFormat="1" x14ac:dyDescent="0.15">
      <c r="A10" s="29">
        <v>42936.855555555558</v>
      </c>
      <c r="B10" s="30" t="s">
        <v>7</v>
      </c>
      <c r="C10" s="31" t="s">
        <v>61</v>
      </c>
      <c r="D10" s="31">
        <f>200</f>
        <v>200</v>
      </c>
      <c r="E10" s="32">
        <f>D10+150</f>
        <v>350</v>
      </c>
      <c r="F10" s="32">
        <v>342</v>
      </c>
      <c r="G10" s="42">
        <v>42936.959722222222</v>
      </c>
      <c r="H10" s="31">
        <v>2320</v>
      </c>
      <c r="I10" s="31">
        <v>0.63</v>
      </c>
      <c r="J10" s="31">
        <v>2422</v>
      </c>
      <c r="K10" s="31">
        <v>0.61</v>
      </c>
      <c r="L10" s="31">
        <v>2</v>
      </c>
      <c r="M10" s="34" t="s">
        <v>30</v>
      </c>
      <c r="N10" s="49">
        <f>MAX($Q$10:$Q$11)/SUBTOTAL(102,$Q$10:$Q$11)</f>
        <v>1.3149999999999999</v>
      </c>
      <c r="O10" s="22">
        <f t="shared" si="12"/>
        <v>142</v>
      </c>
      <c r="P10" s="23">
        <f t="shared" si="0"/>
        <v>142</v>
      </c>
      <c r="Q10" s="11">
        <f t="shared" si="1"/>
        <v>2.5</v>
      </c>
      <c r="R10" s="11">
        <f t="shared" si="2"/>
        <v>102</v>
      </c>
      <c r="S10" s="11">
        <f t="shared" ref="S10:S14" si="13">U10-T10</f>
        <v>16</v>
      </c>
      <c r="T10" s="11">
        <f t="shared" si="4"/>
        <v>1461</v>
      </c>
      <c r="U10" s="11">
        <f t="shared" si="5"/>
        <v>1477</v>
      </c>
      <c r="V10" s="12">
        <f t="shared" ref="V10" si="14">S10/R10</f>
        <v>0.15686274509803921</v>
      </c>
      <c r="W10" s="13">
        <f t="shared" si="7"/>
        <v>0.69607843137254899</v>
      </c>
      <c r="X10" s="13">
        <f t="shared" si="8"/>
        <v>28.4</v>
      </c>
      <c r="Y10" s="37">
        <f t="shared" si="9"/>
        <v>42936</v>
      </c>
      <c r="Z10" s="38" t="s">
        <v>8</v>
      </c>
    </row>
    <row r="11" spans="1:26" s="30" customFormat="1" x14ac:dyDescent="0.15">
      <c r="A11" s="29">
        <v>42936.855555555558</v>
      </c>
      <c r="B11" s="30" t="s">
        <v>33</v>
      </c>
      <c r="C11" s="31" t="s">
        <v>38</v>
      </c>
      <c r="D11" s="31">
        <f>200+200</f>
        <v>400</v>
      </c>
      <c r="E11" s="32">
        <f>D11-132</f>
        <v>268</v>
      </c>
      <c r="F11" s="32">
        <v>268</v>
      </c>
      <c r="G11" s="42">
        <v>42936.965277777781</v>
      </c>
      <c r="H11" s="31">
        <v>1967</v>
      </c>
      <c r="I11" s="31">
        <v>0.59</v>
      </c>
      <c r="J11" s="31">
        <v>2117</v>
      </c>
      <c r="K11" s="31">
        <v>0.56999999999999995</v>
      </c>
      <c r="L11" s="31">
        <v>2</v>
      </c>
      <c r="M11" s="34" t="s">
        <v>30</v>
      </c>
      <c r="N11" s="49">
        <f>MAX($Q$10:$Q$11)/SUBTOTAL(102,$Q$10:$Q$11)</f>
        <v>1.3149999999999999</v>
      </c>
      <c r="O11" s="22">
        <f t="shared" si="12"/>
        <v>-132</v>
      </c>
      <c r="P11" s="23">
        <f t="shared" si="0"/>
        <v>-132</v>
      </c>
      <c r="Q11" s="11">
        <f t="shared" si="1"/>
        <v>2.63</v>
      </c>
      <c r="R11" s="11">
        <f t="shared" si="2"/>
        <v>150</v>
      </c>
      <c r="S11" s="11">
        <f t="shared" si="13"/>
        <v>46</v>
      </c>
      <c r="T11" s="11">
        <f t="shared" si="4"/>
        <v>1160</v>
      </c>
      <c r="U11" s="11">
        <f t="shared" si="5"/>
        <v>1206</v>
      </c>
      <c r="V11" s="12">
        <f>S11/R11</f>
        <v>0.30666666666666664</v>
      </c>
      <c r="W11" s="13">
        <f t="shared" si="7"/>
        <v>-0.44</v>
      </c>
      <c r="X11" s="13">
        <f t="shared" si="8"/>
        <v>-25.095057034220535</v>
      </c>
      <c r="Y11" s="37">
        <f t="shared" si="9"/>
        <v>42936</v>
      </c>
      <c r="Z11" s="38" t="s">
        <v>32</v>
      </c>
    </row>
    <row r="12" spans="1:26" x14ac:dyDescent="0.15">
      <c r="A12" s="24">
        <v>42938.878472222219</v>
      </c>
      <c r="B12" s="1" t="s">
        <v>26</v>
      </c>
      <c r="C12" s="5" t="s">
        <v>105</v>
      </c>
      <c r="D12" s="5">
        <f>200</f>
        <v>200</v>
      </c>
      <c r="E12" s="7">
        <v>189</v>
      </c>
      <c r="F12" s="14">
        <v>189</v>
      </c>
      <c r="G12" s="41">
        <v>42939.000011574077</v>
      </c>
      <c r="H12" s="5">
        <v>2816</v>
      </c>
      <c r="I12" s="5">
        <v>0.57999999999999996</v>
      </c>
      <c r="J12" s="5">
        <v>2997</v>
      </c>
      <c r="K12" s="5">
        <v>0.55000000000000004</v>
      </c>
      <c r="L12" s="5">
        <v>2</v>
      </c>
      <c r="M12" s="15" t="s">
        <v>30</v>
      </c>
      <c r="N12" s="48">
        <f>MAX($Q$12:$Q$15)/SUBTOTAL(102,$Q$12:$Q$15)</f>
        <v>0.74250000000000005</v>
      </c>
      <c r="O12" s="22">
        <f t="shared" si="12"/>
        <v>-11</v>
      </c>
      <c r="P12" s="23">
        <f t="shared" si="0"/>
        <v>-11</v>
      </c>
      <c r="Q12" s="11">
        <f t="shared" si="1"/>
        <v>2.92</v>
      </c>
      <c r="R12" s="11">
        <f t="shared" si="2"/>
        <v>181</v>
      </c>
      <c r="S12" s="11">
        <f t="shared" si="13"/>
        <v>15</v>
      </c>
      <c r="T12" s="11">
        <f t="shared" si="4"/>
        <v>1633</v>
      </c>
      <c r="U12" s="11">
        <f t="shared" si="5"/>
        <v>1648</v>
      </c>
      <c r="V12" s="12">
        <f t="shared" ref="V12:V15" si="15">S12/R12</f>
        <v>8.2872928176795577E-2</v>
      </c>
      <c r="W12" s="13">
        <f t="shared" si="7"/>
        <v>-3.0386740331491711E-2</v>
      </c>
      <c r="X12" s="13">
        <f t="shared" si="8"/>
        <v>-1.8835616438356164</v>
      </c>
      <c r="Y12" s="28">
        <f t="shared" si="9"/>
        <v>42938</v>
      </c>
      <c r="Z12" s="2" t="s">
        <v>28</v>
      </c>
    </row>
    <row r="13" spans="1:26" x14ac:dyDescent="0.15">
      <c r="A13" s="24">
        <v>42938.878472222219</v>
      </c>
      <c r="B13" s="1" t="s">
        <v>5</v>
      </c>
      <c r="C13" s="5" t="s">
        <v>103</v>
      </c>
      <c r="D13" s="5">
        <f>400</f>
        <v>400</v>
      </c>
      <c r="E13" s="7">
        <f>D13+274</f>
        <v>674</v>
      </c>
      <c r="F13" s="14">
        <v>665</v>
      </c>
      <c r="G13" s="41">
        <v>42938.982638888891</v>
      </c>
      <c r="H13" s="5">
        <v>1830</v>
      </c>
      <c r="I13" s="5">
        <v>0.6</v>
      </c>
      <c r="J13" s="5">
        <v>1994</v>
      </c>
      <c r="K13" s="5">
        <v>0.56000000000000005</v>
      </c>
      <c r="L13" s="5">
        <v>4</v>
      </c>
      <c r="M13" s="15" t="s">
        <v>104</v>
      </c>
      <c r="N13" s="48">
        <f t="shared" ref="N13:N15" si="16">MAX($Q$12:$Q$15)/SUBTOTAL(102,$Q$12:$Q$15)</f>
        <v>0.74250000000000005</v>
      </c>
      <c r="O13" s="22">
        <f t="shared" si="12"/>
        <v>265</v>
      </c>
      <c r="P13" s="23">
        <f t="shared" si="0"/>
        <v>260</v>
      </c>
      <c r="Q13" s="11">
        <f t="shared" si="1"/>
        <v>2.5</v>
      </c>
      <c r="R13" s="11">
        <f t="shared" si="2"/>
        <v>164</v>
      </c>
      <c r="S13" s="11">
        <f t="shared" si="13"/>
        <v>18</v>
      </c>
      <c r="T13" s="11">
        <f t="shared" si="4"/>
        <v>1098</v>
      </c>
      <c r="U13" s="11">
        <f t="shared" si="5"/>
        <v>1116</v>
      </c>
      <c r="V13" s="12">
        <f t="shared" si="15"/>
        <v>0.10975609756097561</v>
      </c>
      <c r="W13" s="13">
        <f t="shared" si="7"/>
        <v>0.39634146341463417</v>
      </c>
      <c r="X13" s="13">
        <f t="shared" si="8"/>
        <v>26</v>
      </c>
      <c r="Y13" s="28">
        <f t="shared" si="9"/>
        <v>42938</v>
      </c>
      <c r="Z13" s="2" t="s">
        <v>131</v>
      </c>
    </row>
    <row r="14" spans="1:26" x14ac:dyDescent="0.15">
      <c r="A14" s="24">
        <v>42938.884027777778</v>
      </c>
      <c r="B14" s="1" t="s">
        <v>33</v>
      </c>
      <c r="C14" s="5" t="s">
        <v>106</v>
      </c>
      <c r="D14" s="5">
        <f>400+400+1000</f>
        <v>1800</v>
      </c>
      <c r="E14" s="7">
        <f>D14-828</f>
        <v>972</v>
      </c>
      <c r="F14" s="14">
        <v>972</v>
      </c>
      <c r="G14" s="41">
        <v>42938.988888888889</v>
      </c>
      <c r="H14" s="5">
        <v>2117</v>
      </c>
      <c r="I14" s="5">
        <v>0.56999999999999995</v>
      </c>
      <c r="J14" s="5">
        <v>2265</v>
      </c>
      <c r="K14" s="5">
        <v>0.55000000000000004</v>
      </c>
      <c r="L14" s="5">
        <v>4</v>
      </c>
      <c r="M14" s="15" t="s">
        <v>104</v>
      </c>
      <c r="N14" s="48">
        <f t="shared" si="16"/>
        <v>0.74250000000000005</v>
      </c>
      <c r="O14" s="22">
        <f t="shared" si="12"/>
        <v>-828</v>
      </c>
      <c r="P14" s="23">
        <f t="shared" si="0"/>
        <v>-828</v>
      </c>
      <c r="Q14" s="11">
        <f t="shared" si="1"/>
        <v>2.52</v>
      </c>
      <c r="R14" s="11">
        <f t="shared" si="2"/>
        <v>148</v>
      </c>
      <c r="S14" s="11">
        <f t="shared" si="13"/>
        <v>39</v>
      </c>
      <c r="T14" s="11">
        <f t="shared" si="4"/>
        <v>1206</v>
      </c>
      <c r="U14" s="11">
        <f t="shared" si="5"/>
        <v>1245</v>
      </c>
      <c r="V14" s="12">
        <f t="shared" si="15"/>
        <v>0.26351351351351349</v>
      </c>
      <c r="W14" s="13">
        <f t="shared" si="7"/>
        <v>-1.3986486486486487</v>
      </c>
      <c r="X14" s="13">
        <f t="shared" si="8"/>
        <v>-82.142857142857139</v>
      </c>
      <c r="Y14" s="28">
        <f t="shared" si="9"/>
        <v>42938</v>
      </c>
      <c r="Z14" s="2" t="s">
        <v>32</v>
      </c>
    </row>
    <row r="15" spans="1:26" x14ac:dyDescent="0.15">
      <c r="A15" s="24">
        <v>42938.876388888886</v>
      </c>
      <c r="B15" s="1" t="s">
        <v>7</v>
      </c>
      <c r="C15" s="5" t="s">
        <v>107</v>
      </c>
      <c r="D15" s="5">
        <v>200</v>
      </c>
      <c r="E15" s="7">
        <v>215</v>
      </c>
      <c r="F15" s="14">
        <v>215</v>
      </c>
      <c r="G15" s="41">
        <v>42939.000011574077</v>
      </c>
      <c r="H15" s="5">
        <v>2422</v>
      </c>
      <c r="I15" s="5">
        <v>0.61</v>
      </c>
      <c r="J15" s="5">
        <v>2557</v>
      </c>
      <c r="K15" s="5">
        <v>0.59</v>
      </c>
      <c r="L15" s="5">
        <v>2</v>
      </c>
      <c r="M15" s="15" t="s">
        <v>30</v>
      </c>
      <c r="N15" s="48">
        <f t="shared" si="16"/>
        <v>0.74250000000000005</v>
      </c>
      <c r="O15" s="22">
        <f t="shared" si="12"/>
        <v>15</v>
      </c>
      <c r="P15" s="23">
        <f t="shared" si="0"/>
        <v>14</v>
      </c>
      <c r="Q15" s="11">
        <f t="shared" si="1"/>
        <v>2.97</v>
      </c>
      <c r="R15" s="11">
        <f t="shared" si="2"/>
        <v>135</v>
      </c>
      <c r="S15" s="11">
        <f t="shared" ref="S15" si="17">U15-T15</f>
        <v>31</v>
      </c>
      <c r="T15" s="11">
        <f t="shared" si="4"/>
        <v>1477</v>
      </c>
      <c r="U15" s="11">
        <f t="shared" si="5"/>
        <v>1508</v>
      </c>
      <c r="V15" s="12">
        <f t="shared" si="15"/>
        <v>0.22962962962962963</v>
      </c>
      <c r="W15" s="13">
        <f t="shared" si="7"/>
        <v>5.185185185185185E-2</v>
      </c>
      <c r="X15" s="13">
        <f t="shared" si="8"/>
        <v>2.3569023569023568</v>
      </c>
      <c r="Y15" s="28">
        <f t="shared" si="9"/>
        <v>42938</v>
      </c>
      <c r="Z15" s="2" t="s">
        <v>8</v>
      </c>
    </row>
    <row r="16" spans="1:26" s="30" customFormat="1" x14ac:dyDescent="0.15">
      <c r="A16" s="29">
        <v>42946.625</v>
      </c>
      <c r="B16" s="30" t="s">
        <v>26</v>
      </c>
      <c r="C16" s="31" t="s">
        <v>221</v>
      </c>
      <c r="D16" s="31">
        <f>400+300+200</f>
        <v>900</v>
      </c>
      <c r="E16" s="32">
        <f>D16-318</f>
        <v>582</v>
      </c>
      <c r="F16" s="32">
        <v>582</v>
      </c>
      <c r="G16" s="42">
        <v>42946.729861111111</v>
      </c>
      <c r="H16" s="31">
        <v>3347</v>
      </c>
      <c r="I16" s="31">
        <v>0.6</v>
      </c>
      <c r="J16" s="31">
        <v>3507</v>
      </c>
      <c r="K16" s="31">
        <v>0.57999999999999996</v>
      </c>
      <c r="L16" s="31">
        <v>4</v>
      </c>
      <c r="M16" s="34" t="s">
        <v>222</v>
      </c>
      <c r="N16" s="49">
        <f>MAX($Q$16:$Q$18)/SUBTOTAL(102,$Q$16:$Q$18)</f>
        <v>0.84</v>
      </c>
      <c r="O16" s="22">
        <f t="shared" si="12"/>
        <v>-318</v>
      </c>
      <c r="P16" s="23">
        <f t="shared" si="0"/>
        <v>-318</v>
      </c>
      <c r="Q16" s="11">
        <f t="shared" si="1"/>
        <v>2.52</v>
      </c>
      <c r="R16" s="11">
        <f t="shared" si="2"/>
        <v>160</v>
      </c>
      <c r="S16" s="11">
        <f>U16-T16</f>
        <v>26</v>
      </c>
      <c r="T16" s="11">
        <f t="shared" si="4"/>
        <v>2008</v>
      </c>
      <c r="U16" s="11">
        <f t="shared" si="5"/>
        <v>2034</v>
      </c>
      <c r="V16" s="12">
        <f t="shared" ref="V16:V18" si="18">S16/R16</f>
        <v>0.16250000000000001</v>
      </c>
      <c r="W16" s="13">
        <f t="shared" si="7"/>
        <v>-0.49687500000000001</v>
      </c>
      <c r="X16" s="13">
        <f t="shared" si="8"/>
        <v>-31.547619047619047</v>
      </c>
      <c r="Y16" s="37">
        <f t="shared" si="9"/>
        <v>42946</v>
      </c>
      <c r="Z16" s="38" t="s">
        <v>28</v>
      </c>
    </row>
    <row r="17" spans="1:26" s="30" customFormat="1" x14ac:dyDescent="0.15">
      <c r="A17" s="29">
        <v>42946.635416666664</v>
      </c>
      <c r="B17" s="30" t="s">
        <v>5</v>
      </c>
      <c r="C17" s="31" t="s">
        <v>224</v>
      </c>
      <c r="D17" s="31">
        <f>400+300</f>
        <v>700</v>
      </c>
      <c r="E17" s="32">
        <f>D17-408</f>
        <v>292</v>
      </c>
      <c r="F17" s="32">
        <v>300</v>
      </c>
      <c r="G17" s="42">
        <v>42946.734722222223</v>
      </c>
      <c r="H17" s="31">
        <v>2200</v>
      </c>
      <c r="I17" s="31">
        <v>0.6</v>
      </c>
      <c r="J17" s="31">
        <v>2353</v>
      </c>
      <c r="K17" s="31">
        <v>0.57999999999999996</v>
      </c>
      <c r="L17" s="31">
        <v>4</v>
      </c>
      <c r="M17" s="34" t="s">
        <v>60</v>
      </c>
      <c r="N17" s="49">
        <f t="shared" ref="N17:N18" si="19">MAX($Q$16:$Q$18)/SUBTOTAL(102,$Q$16:$Q$18)</f>
        <v>0.84</v>
      </c>
      <c r="O17" s="22">
        <f t="shared" si="12"/>
        <v>-400</v>
      </c>
      <c r="P17" s="23">
        <f t="shared" si="0"/>
        <v>-408</v>
      </c>
      <c r="Q17" s="11">
        <f t="shared" si="1"/>
        <v>2.38</v>
      </c>
      <c r="R17" s="11">
        <f t="shared" si="2"/>
        <v>153</v>
      </c>
      <c r="S17" s="11">
        <f t="shared" ref="S17:S18" si="20">U17-T17</f>
        <v>44</v>
      </c>
      <c r="T17" s="11">
        <f t="shared" si="4"/>
        <v>1320</v>
      </c>
      <c r="U17" s="11">
        <f t="shared" si="5"/>
        <v>1364</v>
      </c>
      <c r="V17" s="12">
        <f t="shared" si="18"/>
        <v>0.28758169934640521</v>
      </c>
      <c r="W17" s="13">
        <f t="shared" si="7"/>
        <v>-0.66666666666666663</v>
      </c>
      <c r="X17" s="13">
        <f t="shared" si="8"/>
        <v>-42.857142857142861</v>
      </c>
      <c r="Y17" s="37">
        <f t="shared" si="9"/>
        <v>42946</v>
      </c>
      <c r="Z17" s="38" t="s">
        <v>6</v>
      </c>
    </row>
    <row r="18" spans="1:26" s="30" customFormat="1" x14ac:dyDescent="0.15">
      <c r="A18" s="29">
        <v>42946.677777777775</v>
      </c>
      <c r="B18" s="30" t="s">
        <v>7</v>
      </c>
      <c r="C18" s="31" t="s">
        <v>226</v>
      </c>
      <c r="D18" s="31">
        <f>400</f>
        <v>400</v>
      </c>
      <c r="E18" s="32">
        <v>519</v>
      </c>
      <c r="F18" s="32">
        <v>519</v>
      </c>
      <c r="G18" s="42">
        <v>42946.745138888888</v>
      </c>
      <c r="H18" s="31">
        <v>2763</v>
      </c>
      <c r="I18" s="31">
        <v>0.62</v>
      </c>
      <c r="J18" s="31">
        <v>2869</v>
      </c>
      <c r="K18" s="31">
        <v>0.61</v>
      </c>
      <c r="L18" s="31">
        <v>4</v>
      </c>
      <c r="M18" s="34" t="s">
        <v>227</v>
      </c>
      <c r="N18" s="49">
        <f t="shared" si="19"/>
        <v>0.84</v>
      </c>
      <c r="O18" s="22">
        <f t="shared" si="12"/>
        <v>119</v>
      </c>
      <c r="P18" s="23">
        <f t="shared" si="0"/>
        <v>113</v>
      </c>
      <c r="Q18" s="11">
        <f t="shared" si="1"/>
        <v>1.62</v>
      </c>
      <c r="R18" s="11">
        <f t="shared" si="2"/>
        <v>106</v>
      </c>
      <c r="S18" s="11">
        <f t="shared" si="20"/>
        <v>37</v>
      </c>
      <c r="T18" s="11">
        <f t="shared" si="4"/>
        <v>1713</v>
      </c>
      <c r="U18" s="11">
        <f t="shared" si="5"/>
        <v>1750</v>
      </c>
      <c r="V18" s="12">
        <f t="shared" si="18"/>
        <v>0.34905660377358488</v>
      </c>
      <c r="W18" s="13">
        <f t="shared" si="7"/>
        <v>0.26650943396226418</v>
      </c>
      <c r="X18" s="13">
        <f t="shared" si="8"/>
        <v>17.438271604938272</v>
      </c>
      <c r="Y18" s="37">
        <f t="shared" si="9"/>
        <v>42946</v>
      </c>
      <c r="Z18" s="38" t="s">
        <v>8</v>
      </c>
    </row>
    <row r="19" spans="1:26" x14ac:dyDescent="0.15">
      <c r="A19" s="24">
        <v>42946.822916666664</v>
      </c>
      <c r="B19" s="1" t="s">
        <v>26</v>
      </c>
      <c r="C19" s="5" t="s">
        <v>230</v>
      </c>
      <c r="D19" s="5">
        <f>400</f>
        <v>400</v>
      </c>
      <c r="E19" s="7">
        <f>D19+111</f>
        <v>511</v>
      </c>
      <c r="F19" s="14">
        <v>508</v>
      </c>
      <c r="G19" s="41">
        <v>42946.927777777775</v>
      </c>
      <c r="H19" s="5">
        <v>2997</v>
      </c>
      <c r="I19" s="5">
        <v>0.55000000000000004</v>
      </c>
      <c r="J19" s="5">
        <v>3686</v>
      </c>
      <c r="K19" s="5">
        <v>0.56999999999999995</v>
      </c>
      <c r="L19" s="5">
        <v>4</v>
      </c>
      <c r="M19" s="15" t="s">
        <v>227</v>
      </c>
      <c r="N19" s="48">
        <f>MAX($Q$19:$Q$21)/SUBTOTAL(102,$Q$19:$Q$21)</f>
        <v>0.86</v>
      </c>
      <c r="O19" s="22">
        <f t="shared" si="12"/>
        <v>108</v>
      </c>
      <c r="P19" s="23">
        <f t="shared" si="0"/>
        <v>105</v>
      </c>
      <c r="Q19" s="11">
        <f t="shared" si="1"/>
        <v>2.52</v>
      </c>
      <c r="R19" s="11">
        <f t="shared" si="2"/>
        <v>689</v>
      </c>
      <c r="S19" s="11">
        <f t="shared" ref="S19:S21" si="21">U19-T19</f>
        <v>453</v>
      </c>
      <c r="T19" s="11">
        <f t="shared" si="4"/>
        <v>1648</v>
      </c>
      <c r="U19" s="11">
        <f t="shared" si="5"/>
        <v>2101</v>
      </c>
      <c r="V19" s="12">
        <f t="shared" ref="V19:V21" si="22">S19/R19</f>
        <v>0.65747460087082732</v>
      </c>
      <c r="W19" s="13">
        <f t="shared" si="7"/>
        <v>3.8098693759071114E-2</v>
      </c>
      <c r="X19" s="13">
        <f t="shared" si="8"/>
        <v>10.416666666666666</v>
      </c>
      <c r="Y19" s="28">
        <f t="shared" si="9"/>
        <v>42946</v>
      </c>
      <c r="Z19" s="2" t="s">
        <v>28</v>
      </c>
    </row>
    <row r="20" spans="1:26" x14ac:dyDescent="0.15">
      <c r="A20" s="24">
        <v>42946.840277777781</v>
      </c>
      <c r="B20" s="1" t="s">
        <v>5</v>
      </c>
      <c r="C20" s="5" t="s">
        <v>231</v>
      </c>
      <c r="D20" s="5">
        <f>400+400</f>
        <v>800</v>
      </c>
      <c r="E20" s="7">
        <f>D20-256</f>
        <v>544</v>
      </c>
      <c r="F20" s="14">
        <v>560</v>
      </c>
      <c r="G20" s="41">
        <v>42946.945833333331</v>
      </c>
      <c r="H20" s="5">
        <v>1994</v>
      </c>
      <c r="I20" s="5">
        <v>0.56000000000000005</v>
      </c>
      <c r="J20" s="5">
        <v>2497</v>
      </c>
      <c r="K20" s="5">
        <v>0.56000000000000005</v>
      </c>
      <c r="L20" s="5">
        <v>4</v>
      </c>
      <c r="M20" s="15" t="s">
        <v>104</v>
      </c>
      <c r="N20" s="48">
        <f t="shared" ref="N20:N21" si="23">MAX($Q$19:$Q$21)/SUBTOTAL(102,$Q$19:$Q$21)</f>
        <v>0.86</v>
      </c>
      <c r="O20" s="22">
        <f t="shared" si="12"/>
        <v>-240</v>
      </c>
      <c r="P20" s="23">
        <f t="shared" si="0"/>
        <v>-256</v>
      </c>
      <c r="Q20" s="11">
        <f t="shared" si="1"/>
        <v>2.5299999999999998</v>
      </c>
      <c r="R20" s="11">
        <f t="shared" si="2"/>
        <v>503</v>
      </c>
      <c r="S20" s="11">
        <f t="shared" si="21"/>
        <v>282</v>
      </c>
      <c r="T20" s="11">
        <f t="shared" si="4"/>
        <v>1116</v>
      </c>
      <c r="U20" s="11">
        <f t="shared" si="5"/>
        <v>1398</v>
      </c>
      <c r="V20" s="12">
        <f t="shared" si="22"/>
        <v>0.56063618290258455</v>
      </c>
      <c r="W20" s="13">
        <f t="shared" si="7"/>
        <v>-0.1272365805168986</v>
      </c>
      <c r="X20" s="13">
        <f t="shared" si="8"/>
        <v>-25.296442687747039</v>
      </c>
      <c r="Y20" s="28">
        <f t="shared" si="9"/>
        <v>42946</v>
      </c>
      <c r="Z20" s="2" t="s">
        <v>131</v>
      </c>
    </row>
    <row r="21" spans="1:26" x14ac:dyDescent="0.15">
      <c r="A21" s="24">
        <v>42946.798611111109</v>
      </c>
      <c r="B21" s="1" t="s">
        <v>7</v>
      </c>
      <c r="C21" s="5" t="s">
        <v>228</v>
      </c>
      <c r="D21" s="5">
        <f>400</f>
        <v>400</v>
      </c>
      <c r="E21" s="7">
        <f>D21+499</f>
        <v>899</v>
      </c>
      <c r="F21" s="14">
        <v>884</v>
      </c>
      <c r="G21" s="41">
        <v>42946.90625</v>
      </c>
      <c r="H21" s="5">
        <v>2557</v>
      </c>
      <c r="I21" s="5">
        <v>0.59</v>
      </c>
      <c r="J21" s="5">
        <v>3015</v>
      </c>
      <c r="K21" s="5">
        <v>0.59</v>
      </c>
      <c r="L21" s="5">
        <v>4</v>
      </c>
      <c r="M21" s="15" t="s">
        <v>229</v>
      </c>
      <c r="N21" s="48">
        <f t="shared" si="23"/>
        <v>0.86</v>
      </c>
      <c r="O21" s="22">
        <f t="shared" si="12"/>
        <v>484</v>
      </c>
      <c r="P21" s="23">
        <f t="shared" si="0"/>
        <v>474</v>
      </c>
      <c r="Q21" s="11">
        <f t="shared" si="1"/>
        <v>2.58</v>
      </c>
      <c r="R21" s="11">
        <f t="shared" si="2"/>
        <v>458</v>
      </c>
      <c r="S21" s="11">
        <f t="shared" si="21"/>
        <v>270</v>
      </c>
      <c r="T21" s="11">
        <f t="shared" si="4"/>
        <v>1508</v>
      </c>
      <c r="U21" s="11">
        <f t="shared" si="5"/>
        <v>1778</v>
      </c>
      <c r="V21" s="12">
        <f t="shared" si="22"/>
        <v>0.58951965065502188</v>
      </c>
      <c r="W21" s="13">
        <f t="shared" si="7"/>
        <v>0.25873362445414849</v>
      </c>
      <c r="X21" s="13">
        <f t="shared" si="8"/>
        <v>45.930232558139537</v>
      </c>
      <c r="Y21" s="28">
        <f t="shared" si="9"/>
        <v>42946</v>
      </c>
      <c r="Z21" s="2" t="s">
        <v>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20" sqref="B20"/>
    </sheetView>
  </sheetViews>
  <sheetFormatPr defaultColWidth="11" defaultRowHeight="14.25" x14ac:dyDescent="0.15"/>
  <cols>
    <col min="1" max="1" width="16.5" bestFit="1" customWidth="1"/>
    <col min="2" max="2" width="55.5" bestFit="1" customWidth="1"/>
    <col min="3" max="3" width="42.5" bestFit="1" customWidth="1"/>
  </cols>
  <sheetData>
    <row r="1" spans="1:7" x14ac:dyDescent="0.15">
      <c r="A1" t="s">
        <v>44</v>
      </c>
      <c r="B1" t="s">
        <v>45</v>
      </c>
      <c r="C1" t="s">
        <v>50</v>
      </c>
      <c r="F1" t="s">
        <v>116</v>
      </c>
      <c r="G1" t="s">
        <v>113</v>
      </c>
    </row>
    <row r="2" spans="1:7" x14ac:dyDescent="0.15">
      <c r="A2" s="3">
        <v>42925.631249999999</v>
      </c>
      <c r="B2" t="s">
        <v>49</v>
      </c>
      <c r="C2" s="6" t="s">
        <v>51</v>
      </c>
      <c r="F2" t="s">
        <v>117</v>
      </c>
      <c r="G2" t="s">
        <v>114</v>
      </c>
    </row>
    <row r="3" spans="1:7" x14ac:dyDescent="0.15">
      <c r="A3" s="3">
        <v>42925.631249999999</v>
      </c>
      <c r="B3" t="s">
        <v>46</v>
      </c>
      <c r="F3" t="s">
        <v>117</v>
      </c>
      <c r="G3" t="s">
        <v>118</v>
      </c>
    </row>
    <row r="4" spans="1:7" x14ac:dyDescent="0.15">
      <c r="A4" s="3">
        <v>42925.631249999999</v>
      </c>
      <c r="B4" t="s">
        <v>47</v>
      </c>
      <c r="C4" s="6" t="s">
        <v>52</v>
      </c>
    </row>
    <row r="5" spans="1:7" x14ac:dyDescent="0.15">
      <c r="A5" s="3">
        <v>42925.631249999999</v>
      </c>
      <c r="B5" t="s">
        <v>48</v>
      </c>
      <c r="C5" s="6" t="s">
        <v>53</v>
      </c>
    </row>
    <row r="6" spans="1:7" x14ac:dyDescent="0.15">
      <c r="A6" s="3">
        <v>42925.631249999999</v>
      </c>
      <c r="B6" t="s">
        <v>54</v>
      </c>
      <c r="C6" s="6" t="s">
        <v>55</v>
      </c>
    </row>
    <row r="7" spans="1:7" x14ac:dyDescent="0.15">
      <c r="A7" s="19">
        <v>42935.041666666664</v>
      </c>
      <c r="B7" t="s">
        <v>63</v>
      </c>
    </row>
    <row r="8" spans="1:7" x14ac:dyDescent="0.15">
      <c r="A8" s="19">
        <v>42935.041666666664</v>
      </c>
      <c r="B8" t="s">
        <v>64</v>
      </c>
      <c r="C8" s="6" t="s">
        <v>65</v>
      </c>
    </row>
    <row r="9" spans="1:7" x14ac:dyDescent="0.15">
      <c r="A9" s="19">
        <v>42935.041666666664</v>
      </c>
      <c r="B9" t="s">
        <v>66</v>
      </c>
    </row>
    <row r="10" spans="1:7" x14ac:dyDescent="0.15">
      <c r="A10" s="19">
        <v>42935.041666666664</v>
      </c>
      <c r="B10" t="s">
        <v>67</v>
      </c>
    </row>
    <row r="11" spans="1:7" x14ac:dyDescent="0.15">
      <c r="A11" s="19">
        <v>42939.026388888888</v>
      </c>
      <c r="B11" t="s">
        <v>108</v>
      </c>
    </row>
    <row r="12" spans="1:7" x14ac:dyDescent="0.15">
      <c r="A12" s="19">
        <v>42939.026388888888</v>
      </c>
      <c r="B12" t="s">
        <v>110</v>
      </c>
      <c r="C12" t="s">
        <v>109</v>
      </c>
    </row>
    <row r="13" spans="1:7" x14ac:dyDescent="0.15">
      <c r="A13" s="19">
        <v>42939.026388888888</v>
      </c>
      <c r="B13" t="s">
        <v>111</v>
      </c>
    </row>
    <row r="14" spans="1:7" x14ac:dyDescent="0.15">
      <c r="A14" s="19">
        <v>42939.026388888888</v>
      </c>
      <c r="B14" t="s">
        <v>112</v>
      </c>
    </row>
    <row r="15" spans="1:7" x14ac:dyDescent="0.15">
      <c r="A15" s="19">
        <v>42939.026388888888</v>
      </c>
      <c r="B15" t="s">
        <v>115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opLeftCell="J1" workbookViewId="0">
      <selection activeCell="T13" sqref="T13"/>
    </sheetView>
  </sheetViews>
  <sheetFormatPr defaultColWidth="11" defaultRowHeight="13.5" x14ac:dyDescent="0.15"/>
  <cols>
    <col min="1" max="1" width="16.375" style="5" bestFit="1" customWidth="1"/>
    <col min="2" max="3" width="5.5" style="1" bestFit="1" customWidth="1"/>
    <col min="4" max="5" width="5" style="5" customWidth="1"/>
    <col min="6" max="6" width="5" style="44" customWidth="1"/>
    <col min="7" max="7" width="9.625" style="21" customWidth="1"/>
    <col min="8" max="13" width="5" style="5" customWidth="1"/>
    <col min="14" max="14" width="11" style="1"/>
    <col min="15" max="16" width="6.375" style="5" customWidth="1"/>
    <col min="17" max="22" width="6.375" style="11" customWidth="1"/>
    <col min="23" max="23" width="8.5" style="11" customWidth="1"/>
    <col min="24" max="24" width="8.5" style="1" customWidth="1"/>
    <col min="25" max="25" width="12.5" style="1" bestFit="1" customWidth="1"/>
    <col min="26" max="26" width="12.375" style="1" customWidth="1"/>
    <col min="27" max="16384" width="11" style="1"/>
  </cols>
  <sheetData>
    <row r="1" spans="1:26" x14ac:dyDescent="0.15">
      <c r="A1" s="3" t="s">
        <v>12</v>
      </c>
      <c r="B1" s="1" t="s">
        <v>0</v>
      </c>
      <c r="C1" s="5" t="s">
        <v>2</v>
      </c>
      <c r="D1" s="4" t="s">
        <v>1</v>
      </c>
      <c r="E1" s="7" t="s">
        <v>11</v>
      </c>
      <c r="F1" s="14" t="s">
        <v>39</v>
      </c>
      <c r="G1" s="21" t="s">
        <v>13</v>
      </c>
      <c r="H1" s="5" t="s">
        <v>17</v>
      </c>
      <c r="I1" s="5" t="s">
        <v>15</v>
      </c>
      <c r="J1" s="5" t="s">
        <v>20</v>
      </c>
      <c r="K1" s="5" t="s">
        <v>18</v>
      </c>
      <c r="L1" s="5" t="s">
        <v>23</v>
      </c>
      <c r="M1" s="15" t="s">
        <v>29</v>
      </c>
      <c r="N1" s="28" t="s">
        <v>127</v>
      </c>
      <c r="O1" s="22" t="s">
        <v>41</v>
      </c>
      <c r="P1" s="23" t="s">
        <v>4</v>
      </c>
      <c r="Q1" s="11" t="s">
        <v>14</v>
      </c>
      <c r="R1" s="11" t="s">
        <v>21</v>
      </c>
      <c r="S1" s="11" t="s">
        <v>40</v>
      </c>
      <c r="T1" s="11" t="s">
        <v>16</v>
      </c>
      <c r="U1" s="11" t="s">
        <v>19</v>
      </c>
      <c r="V1" s="12" t="s">
        <v>22</v>
      </c>
      <c r="W1" s="13" t="s">
        <v>24</v>
      </c>
      <c r="X1" s="13" t="s">
        <v>25</v>
      </c>
      <c r="Y1" s="28" t="s">
        <v>119</v>
      </c>
      <c r="Z1" s="2" t="s">
        <v>3</v>
      </c>
    </row>
    <row r="2" spans="1:26" x14ac:dyDescent="0.15">
      <c r="A2" s="24">
        <v>42938.878472222219</v>
      </c>
      <c r="B2" s="1" t="s">
        <v>26</v>
      </c>
      <c r="C2" s="5" t="s">
        <v>27</v>
      </c>
      <c r="D2" s="5">
        <f>200</f>
        <v>200</v>
      </c>
      <c r="E2" s="7">
        <v>189</v>
      </c>
      <c r="F2" s="14">
        <v>189</v>
      </c>
      <c r="G2" s="21">
        <v>42939.000011574077</v>
      </c>
      <c r="H2" s="5">
        <v>2816</v>
      </c>
      <c r="I2" s="5">
        <v>0.57999999999999996</v>
      </c>
      <c r="J2" s="5">
        <v>2997</v>
      </c>
      <c r="K2" s="5">
        <v>0.55000000000000004</v>
      </c>
      <c r="L2" s="5">
        <v>2</v>
      </c>
      <c r="M2" s="15" t="s">
        <v>30</v>
      </c>
      <c r="N2" s="39">
        <f>MAX($Q$2:$Q$5)/SUBTOTAL(109,$Q$2:$Q$5)</f>
        <v>0.27222731439046749</v>
      </c>
      <c r="O2" s="22">
        <f>F2-D2</f>
        <v>-11</v>
      </c>
      <c r="P2" s="23">
        <f>IF(E2&gt;D2,INT((E2-D2)*0.95),E2-D2)</f>
        <v>-11</v>
      </c>
      <c r="Q2" s="11">
        <f>ROUND((G2-A2)*24,2)</f>
        <v>2.92</v>
      </c>
      <c r="R2" s="11">
        <f>J2-H2</f>
        <v>181</v>
      </c>
      <c r="S2" s="11">
        <f t="shared" ref="S2:S5" si="0">U2-T2</f>
        <v>15</v>
      </c>
      <c r="T2" s="11">
        <f>INT(H2*I2)</f>
        <v>1633</v>
      </c>
      <c r="U2" s="11">
        <f>INT(J2*K2)</f>
        <v>1648</v>
      </c>
      <c r="V2" s="12">
        <f t="shared" ref="V2:V5" si="1">S2/R2</f>
        <v>8.2872928176795577E-2</v>
      </c>
      <c r="W2" s="13">
        <f>P2/R2/L2</f>
        <v>-3.0386740331491711E-2</v>
      </c>
      <c r="X2" s="13">
        <f>P2/Q2/L2</f>
        <v>-1.8835616438356164</v>
      </c>
      <c r="Y2" s="28">
        <f>DATE(YEAR(A2),MONTH(A2),DAY(A2))</f>
        <v>42938</v>
      </c>
      <c r="Z2" s="2" t="s">
        <v>28</v>
      </c>
    </row>
    <row r="3" spans="1:26" x14ac:dyDescent="0.15">
      <c r="A3" s="24">
        <v>42938.878472222219</v>
      </c>
      <c r="B3" s="1" t="s">
        <v>5</v>
      </c>
      <c r="C3" s="5" t="s">
        <v>9</v>
      </c>
      <c r="D3" s="5">
        <f>400</f>
        <v>400</v>
      </c>
      <c r="E3" s="7">
        <f>D3+274</f>
        <v>674</v>
      </c>
      <c r="F3" s="14">
        <v>665</v>
      </c>
      <c r="G3" s="21">
        <v>42938.982638888891</v>
      </c>
      <c r="H3" s="5">
        <v>1830</v>
      </c>
      <c r="I3" s="5">
        <v>0.6</v>
      </c>
      <c r="J3" s="5">
        <v>1994</v>
      </c>
      <c r="K3" s="5">
        <v>0.56000000000000005</v>
      </c>
      <c r="L3" s="5">
        <v>4</v>
      </c>
      <c r="M3" s="15" t="s">
        <v>60</v>
      </c>
      <c r="N3" s="39">
        <f t="shared" ref="N3:N5" si="2">MAX($Q$2:$Q$5)/SUBTOTAL(109,$Q$2:$Q$5)</f>
        <v>0.27222731439046749</v>
      </c>
      <c r="O3" s="22">
        <f>F3-D3</f>
        <v>265</v>
      </c>
      <c r="P3" s="23">
        <f>IF(E3&gt;D3,INT((E3-D3)*0.95),E3-D3)</f>
        <v>260</v>
      </c>
      <c r="Q3" s="11">
        <f>ROUND((G3-A3)*24,2)</f>
        <v>2.5</v>
      </c>
      <c r="R3" s="11">
        <f>J3-H3</f>
        <v>164</v>
      </c>
      <c r="S3" s="11">
        <f t="shared" si="0"/>
        <v>18</v>
      </c>
      <c r="T3" s="11">
        <f>INT(H3*I3)</f>
        <v>1098</v>
      </c>
      <c r="U3" s="11">
        <f>INT(J3*K3)</f>
        <v>1116</v>
      </c>
      <c r="V3" s="12">
        <f t="shared" si="1"/>
        <v>0.10975609756097561</v>
      </c>
      <c r="W3" s="13">
        <f>P3/R3/L3</f>
        <v>0.39634146341463417</v>
      </c>
      <c r="X3" s="13">
        <f>P3/Q3/L3</f>
        <v>26</v>
      </c>
      <c r="Y3" s="28">
        <f>DATE(YEAR(A3),MONTH(A3),DAY(A3))</f>
        <v>42938</v>
      </c>
      <c r="Z3" s="43" t="s">
        <v>130</v>
      </c>
    </row>
    <row r="4" spans="1:26" x14ac:dyDescent="0.15">
      <c r="A4" s="24">
        <v>42938.884027777778</v>
      </c>
      <c r="B4" s="1" t="s">
        <v>33</v>
      </c>
      <c r="C4" s="5" t="s">
        <v>62</v>
      </c>
      <c r="D4" s="5">
        <f>400+400+1000</f>
        <v>1800</v>
      </c>
      <c r="E4" s="7">
        <f>D4-828</f>
        <v>972</v>
      </c>
      <c r="F4" s="14">
        <v>972</v>
      </c>
      <c r="G4" s="21">
        <v>42938.988888888889</v>
      </c>
      <c r="H4" s="5">
        <v>2117</v>
      </c>
      <c r="I4" s="5">
        <v>0.56999999999999995</v>
      </c>
      <c r="J4" s="5">
        <v>2265</v>
      </c>
      <c r="K4" s="5">
        <v>0.55000000000000004</v>
      </c>
      <c r="L4" s="5">
        <v>4</v>
      </c>
      <c r="M4" s="15" t="s">
        <v>60</v>
      </c>
      <c r="N4" s="39">
        <f t="shared" si="2"/>
        <v>0.27222731439046749</v>
      </c>
      <c r="O4" s="22">
        <f>F4-D4</f>
        <v>-828</v>
      </c>
      <c r="P4" s="23">
        <f>IF(E4&gt;D4,INT((E4-D4)*0.95),E4-D4)</f>
        <v>-828</v>
      </c>
      <c r="Q4" s="11">
        <f>ROUND((G4-A4)*24,2)</f>
        <v>2.52</v>
      </c>
      <c r="R4" s="11">
        <f>J4-H4</f>
        <v>148</v>
      </c>
      <c r="S4" s="11">
        <f t="shared" si="0"/>
        <v>39</v>
      </c>
      <c r="T4" s="11">
        <f>INT(H4*I4)</f>
        <v>1206</v>
      </c>
      <c r="U4" s="11">
        <f>INT(J4*K4)</f>
        <v>1245</v>
      </c>
      <c r="V4" s="12">
        <f t="shared" si="1"/>
        <v>0.26351351351351349</v>
      </c>
      <c r="W4" s="13">
        <f>P4/R4/L4</f>
        <v>-1.3986486486486487</v>
      </c>
      <c r="X4" s="13">
        <f>P4/Q4/L4</f>
        <v>-82.142857142857139</v>
      </c>
      <c r="Y4" s="28">
        <f>DATE(YEAR(A4),MONTH(A4),DAY(A4))</f>
        <v>42938</v>
      </c>
      <c r="Z4" s="2" t="s">
        <v>32</v>
      </c>
    </row>
    <row r="5" spans="1:26" x14ac:dyDescent="0.15">
      <c r="A5" s="24">
        <v>42938.876388888886</v>
      </c>
      <c r="B5" s="1" t="s">
        <v>7</v>
      </c>
      <c r="C5" s="5" t="s">
        <v>61</v>
      </c>
      <c r="D5" s="5">
        <v>200</v>
      </c>
      <c r="E5" s="7">
        <v>215</v>
      </c>
      <c r="F5" s="14">
        <v>215</v>
      </c>
      <c r="G5" s="21">
        <v>42939.000011574077</v>
      </c>
      <c r="H5" s="5">
        <v>2422</v>
      </c>
      <c r="I5" s="5">
        <v>0.61</v>
      </c>
      <c r="J5" s="5">
        <v>2557</v>
      </c>
      <c r="K5" s="5">
        <v>0.59</v>
      </c>
      <c r="L5" s="5">
        <v>2</v>
      </c>
      <c r="M5" s="15" t="s">
        <v>30</v>
      </c>
      <c r="N5" s="39">
        <f t="shared" si="2"/>
        <v>0.27222731439046749</v>
      </c>
      <c r="O5" s="22">
        <f>F5-D5</f>
        <v>15</v>
      </c>
      <c r="P5" s="23">
        <f>IF(E5&gt;D5,INT((E5-D5)*0.95),E5-D5)</f>
        <v>14</v>
      </c>
      <c r="Q5" s="11">
        <f>ROUND((G5-A5)*24,2)</f>
        <v>2.97</v>
      </c>
      <c r="R5" s="11">
        <f>J5-H5</f>
        <v>135</v>
      </c>
      <c r="S5" s="11">
        <f t="shared" si="0"/>
        <v>31</v>
      </c>
      <c r="T5" s="11">
        <f>INT(H5*I5)</f>
        <v>1477</v>
      </c>
      <c r="U5" s="11">
        <f>INT(J5*K5)</f>
        <v>1508</v>
      </c>
      <c r="V5" s="12">
        <f t="shared" si="1"/>
        <v>0.22962962962962963</v>
      </c>
      <c r="W5" s="13">
        <f>P5/R5/L5</f>
        <v>5.185185185185185E-2</v>
      </c>
      <c r="X5" s="13">
        <f>P5/Q5/L5</f>
        <v>2.3569023569023568</v>
      </c>
      <c r="Y5" s="28">
        <f>DATE(YEAR(A5),MONTH(A5),DAY(A5))</f>
        <v>42938</v>
      </c>
      <c r="Z5" s="2" t="s">
        <v>8</v>
      </c>
    </row>
    <row r="6" spans="1:26" x14ac:dyDescent="0.15">
      <c r="B6" s="1" t="s">
        <v>35</v>
      </c>
      <c r="Z6" s="2" t="s">
        <v>132</v>
      </c>
    </row>
    <row r="7" spans="1:26" x14ac:dyDescent="0.15">
      <c r="B7" s="1" t="s">
        <v>36</v>
      </c>
      <c r="Z7" s="2" t="s">
        <v>37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7"/>
  <sheetViews>
    <sheetView workbookViewId="0">
      <selection activeCell="I11" sqref="I11"/>
    </sheetView>
  </sheetViews>
  <sheetFormatPr defaultColWidth="11" defaultRowHeight="14.25" x14ac:dyDescent="0.15"/>
  <cols>
    <col min="1" max="1" width="11" style="17"/>
    <col min="2" max="3" width="11" style="18"/>
    <col min="4" max="4" width="10.125" customWidth="1"/>
    <col min="5" max="6" width="6.5" style="25" customWidth="1"/>
    <col min="7" max="7" width="5.5" style="25" customWidth="1"/>
    <col min="8" max="8" width="7.5" customWidth="1"/>
    <col min="9" max="9" width="10.5" customWidth="1"/>
    <col min="10" max="10" width="9.5" customWidth="1"/>
    <col min="11" max="11" width="11.5" style="40" customWidth="1"/>
    <col min="12" max="12" width="18.5" customWidth="1"/>
    <col min="13" max="13" width="10.5" customWidth="1"/>
    <col min="14" max="14" width="3.5" customWidth="1"/>
    <col min="15" max="16" width="4.5" customWidth="1"/>
    <col min="17" max="17" width="12.5" customWidth="1"/>
    <col min="18" max="20" width="4.5" customWidth="1"/>
    <col min="21" max="21" width="15.5" customWidth="1"/>
    <col min="22" max="24" width="4.5" customWidth="1"/>
    <col min="25" max="25" width="10.5" customWidth="1"/>
    <col min="26" max="26" width="3.5" customWidth="1"/>
    <col min="27" max="28" width="4.5" customWidth="1"/>
    <col min="29" max="29" width="16.5" customWidth="1"/>
    <col min="30" max="32" width="4.5" customWidth="1"/>
    <col min="33" max="33" width="17.5" customWidth="1"/>
    <col min="34" max="34" width="5.5" customWidth="1"/>
    <col min="35" max="35" width="4.5" customWidth="1"/>
    <col min="36" max="36" width="5.5" customWidth="1"/>
    <col min="37" max="37" width="16.5" bestFit="1" customWidth="1"/>
    <col min="38" max="38" width="16.5" customWidth="1"/>
    <col min="39" max="39" width="15.5" customWidth="1"/>
    <col min="40" max="40" width="17.5" bestFit="1" customWidth="1"/>
    <col min="41" max="41" width="20.5" bestFit="1" customWidth="1"/>
    <col min="42" max="42" width="15.5" bestFit="1" customWidth="1"/>
    <col min="43" max="43" width="21.5" bestFit="1" customWidth="1"/>
    <col min="44" max="44" width="22.5" bestFit="1" customWidth="1"/>
  </cols>
  <sheetData>
    <row r="2" spans="1:11" x14ac:dyDescent="0.15">
      <c r="D2" s="6" t="s">
        <v>128</v>
      </c>
    </row>
    <row r="3" spans="1:11" x14ac:dyDescent="0.15">
      <c r="E3" s="25" t="s">
        <v>121</v>
      </c>
      <c r="H3" s="25"/>
      <c r="I3" s="25"/>
      <c r="J3" s="25"/>
      <c r="K3" s="25"/>
    </row>
    <row r="4" spans="1:11" x14ac:dyDescent="0.15">
      <c r="A4" s="17" t="s">
        <v>56</v>
      </c>
      <c r="B4" s="18" t="s">
        <v>25</v>
      </c>
      <c r="C4" s="18" t="s">
        <v>57</v>
      </c>
      <c r="D4" s="8" t="s">
        <v>42</v>
      </c>
      <c r="E4" s="25" t="s">
        <v>120</v>
      </c>
      <c r="F4" s="25" t="s">
        <v>122</v>
      </c>
      <c r="G4" s="20" t="s">
        <v>123</v>
      </c>
      <c r="H4" t="s">
        <v>124</v>
      </c>
      <c r="I4" t="s">
        <v>125</v>
      </c>
      <c r="J4" t="s">
        <v>126</v>
      </c>
      <c r="K4" t="s">
        <v>129</v>
      </c>
    </row>
    <row r="5" spans="1:11" x14ac:dyDescent="0.15">
      <c r="A5" s="17">
        <f>F5/E5</f>
        <v>0.19451907576571736</v>
      </c>
      <c r="B5" s="18">
        <f>G5/D5/K5</f>
        <v>22.158161948197229</v>
      </c>
      <c r="C5" s="18">
        <f>G5/E5*100/$D$6</f>
        <v>6.9183234819989252</v>
      </c>
      <c r="D5" s="9">
        <v>2</v>
      </c>
      <c r="E5" s="27">
        <v>1861</v>
      </c>
      <c r="F5" s="27">
        <v>362</v>
      </c>
      <c r="G5" s="26">
        <v>515</v>
      </c>
      <c r="H5" s="10">
        <v>2900</v>
      </c>
      <c r="I5" s="10">
        <v>3463</v>
      </c>
      <c r="J5" s="10">
        <v>3426</v>
      </c>
      <c r="K5" s="40">
        <v>11.621</v>
      </c>
    </row>
    <row r="6" spans="1:11" x14ac:dyDescent="0.15">
      <c r="A6" s="17">
        <f t="shared" ref="A6:A7" si="0">F6/E6</f>
        <v>0.47482883608538057</v>
      </c>
      <c r="B6" s="18">
        <f t="shared" ref="B6" si="1">G6/D6/K6</f>
        <v>-9.1814609025613212</v>
      </c>
      <c r="C6" s="18">
        <f t="shared" ref="C6" si="2">G6/E6*100/$D$6</f>
        <v>-2.7285541683447443</v>
      </c>
      <c r="D6" s="9">
        <v>4</v>
      </c>
      <c r="E6" s="27">
        <v>2483</v>
      </c>
      <c r="F6" s="27">
        <v>1179</v>
      </c>
      <c r="G6" s="26">
        <v>-271</v>
      </c>
      <c r="H6" s="10">
        <v>6200</v>
      </c>
      <c r="I6" s="10">
        <v>6011</v>
      </c>
      <c r="J6" s="10">
        <v>4534</v>
      </c>
      <c r="K6" s="40">
        <v>7.3790000000000013</v>
      </c>
    </row>
    <row r="7" spans="1:11" x14ac:dyDescent="0.15">
      <c r="A7" s="17">
        <f t="shared" si="0"/>
        <v>0.35474217311233885</v>
      </c>
      <c r="D7" s="9" t="s">
        <v>43</v>
      </c>
      <c r="E7" s="27">
        <v>4344</v>
      </c>
      <c r="F7" s="27">
        <v>1541</v>
      </c>
      <c r="G7" s="26">
        <v>244</v>
      </c>
      <c r="H7" s="10">
        <v>9100</v>
      </c>
      <c r="I7" s="10">
        <v>9474</v>
      </c>
      <c r="J7" s="10">
        <v>7960</v>
      </c>
      <c r="K7" s="40">
        <v>19</v>
      </c>
    </row>
    <row r="8" spans="1:11" x14ac:dyDescent="0.15">
      <c r="E8" s="16"/>
      <c r="F8" s="16"/>
      <c r="G8" s="16"/>
    </row>
    <row r="9" spans="1:11" x14ac:dyDescent="0.15">
      <c r="E9" s="16"/>
      <c r="F9" s="16"/>
      <c r="G9" s="16"/>
    </row>
    <row r="10" spans="1:11" x14ac:dyDescent="0.15">
      <c r="E10" s="16"/>
      <c r="F10" s="16"/>
      <c r="G10" s="16"/>
    </row>
    <row r="11" spans="1:11" x14ac:dyDescent="0.15">
      <c r="E11" s="16"/>
      <c r="F11" s="16"/>
      <c r="G11" s="16"/>
    </row>
    <row r="12" spans="1:11" x14ac:dyDescent="0.15">
      <c r="E12" s="16"/>
      <c r="F12" s="16"/>
      <c r="G12" s="16"/>
    </row>
    <row r="13" spans="1:11" x14ac:dyDescent="0.15">
      <c r="E13" s="16"/>
      <c r="F13" s="16"/>
      <c r="G13" s="16"/>
    </row>
    <row r="14" spans="1:11" x14ac:dyDescent="0.15">
      <c r="E14" s="16"/>
      <c r="F14" s="16"/>
      <c r="G14" s="16"/>
    </row>
    <row r="15" spans="1:11" x14ac:dyDescent="0.15">
      <c r="E15" s="16"/>
      <c r="F15" s="16"/>
      <c r="G15" s="16"/>
    </row>
    <row r="16" spans="1:11" x14ac:dyDescent="0.15">
      <c r="E16" s="16"/>
      <c r="F16" s="16"/>
      <c r="G16" s="16"/>
    </row>
    <row r="17" spans="5:7" customFormat="1" x14ac:dyDescent="0.15">
      <c r="E17" s="16"/>
      <c r="F17" s="16"/>
      <c r="G17" s="16"/>
    </row>
    <row r="18" spans="5:7" customFormat="1" x14ac:dyDescent="0.15">
      <c r="E18" s="16"/>
      <c r="F18" s="16"/>
      <c r="G18" s="16"/>
    </row>
    <row r="19" spans="5:7" customFormat="1" x14ac:dyDescent="0.15">
      <c r="E19" s="16"/>
      <c r="F19" s="16"/>
      <c r="G19" s="16"/>
    </row>
    <row r="20" spans="5:7" customFormat="1" x14ac:dyDescent="0.15">
      <c r="E20" s="16"/>
      <c r="F20" s="16"/>
      <c r="G20" s="16"/>
    </row>
    <row r="21" spans="5:7" customFormat="1" x14ac:dyDescent="0.15">
      <c r="E21" s="16"/>
      <c r="F21" s="16"/>
      <c r="G21" s="16"/>
    </row>
    <row r="22" spans="5:7" customFormat="1" x14ac:dyDescent="0.15">
      <c r="E22" s="16"/>
      <c r="F22" s="16"/>
      <c r="G22" s="16"/>
    </row>
    <row r="23" spans="5:7" customFormat="1" x14ac:dyDescent="0.15">
      <c r="E23" s="16"/>
      <c r="F23" s="16"/>
      <c r="G23" s="16"/>
    </row>
    <row r="24" spans="5:7" customFormat="1" x14ac:dyDescent="0.15">
      <c r="E24" s="16"/>
      <c r="F24" s="16"/>
      <c r="G24" s="16"/>
    </row>
    <row r="25" spans="5:7" customFormat="1" x14ac:dyDescent="0.15">
      <c r="E25" s="16"/>
      <c r="F25" s="16"/>
      <c r="G25" s="16"/>
    </row>
    <row r="26" spans="5:7" customFormat="1" x14ac:dyDescent="0.15">
      <c r="E26" s="16"/>
      <c r="F26" s="16"/>
      <c r="G26" s="16"/>
    </row>
    <row r="27" spans="5:7" customFormat="1" x14ac:dyDescent="0.15">
      <c r="E27" s="16"/>
      <c r="F27" s="16"/>
      <c r="G27" s="16"/>
    </row>
    <row r="28" spans="5:7" customFormat="1" x14ac:dyDescent="0.15">
      <c r="E28" s="16"/>
      <c r="F28" s="16"/>
      <c r="G28" s="16"/>
    </row>
    <row r="29" spans="5:7" customFormat="1" x14ac:dyDescent="0.15">
      <c r="E29" s="16"/>
      <c r="F29" s="16"/>
      <c r="G29" s="16"/>
    </row>
    <row r="30" spans="5:7" customFormat="1" x14ac:dyDescent="0.15">
      <c r="E30" s="16"/>
      <c r="F30" s="16"/>
      <c r="G30" s="16"/>
    </row>
    <row r="31" spans="5:7" customFormat="1" x14ac:dyDescent="0.15">
      <c r="E31" s="16"/>
      <c r="F31" s="16"/>
      <c r="G31" s="16"/>
    </row>
    <row r="32" spans="5:7" customFormat="1" x14ac:dyDescent="0.15">
      <c r="E32" s="16"/>
      <c r="F32" s="16"/>
      <c r="G32" s="16"/>
    </row>
    <row r="33" spans="5:7" customFormat="1" x14ac:dyDescent="0.15">
      <c r="E33" s="16"/>
      <c r="F33" s="16"/>
      <c r="G33" s="16"/>
    </row>
    <row r="34" spans="5:7" customFormat="1" x14ac:dyDescent="0.15">
      <c r="E34" s="16"/>
      <c r="F34" s="16"/>
      <c r="G34" s="16"/>
    </row>
    <row r="35" spans="5:7" customFormat="1" x14ac:dyDescent="0.15">
      <c r="E35" s="16"/>
      <c r="F35" s="16"/>
      <c r="G35" s="16"/>
    </row>
    <row r="36" spans="5:7" customFormat="1" x14ac:dyDescent="0.15">
      <c r="E36" s="16"/>
      <c r="F36" s="16"/>
      <c r="G36" s="16"/>
    </row>
    <row r="37" spans="5:7" customFormat="1" x14ac:dyDescent="0.15">
      <c r="E37" s="16"/>
      <c r="F37" s="16"/>
      <c r="G37" s="16"/>
    </row>
    <row r="38" spans="5:7" customFormat="1" x14ac:dyDescent="0.15">
      <c r="E38" s="16"/>
      <c r="F38" s="16"/>
      <c r="G38" s="16"/>
    </row>
    <row r="39" spans="5:7" customFormat="1" x14ac:dyDescent="0.15">
      <c r="E39" s="16"/>
      <c r="F39" s="16"/>
      <c r="G39" s="16"/>
    </row>
    <row r="40" spans="5:7" customFormat="1" x14ac:dyDescent="0.15">
      <c r="E40" s="16"/>
      <c r="F40" s="16"/>
      <c r="G40" s="16"/>
    </row>
    <row r="41" spans="5:7" customFormat="1" x14ac:dyDescent="0.15">
      <c r="E41" s="16"/>
      <c r="F41" s="16"/>
      <c r="G41" s="16"/>
    </row>
    <row r="42" spans="5:7" customFormat="1" x14ac:dyDescent="0.15">
      <c r="E42" s="16"/>
      <c r="F42" s="16"/>
      <c r="G42" s="16"/>
    </row>
    <row r="43" spans="5:7" customFormat="1" x14ac:dyDescent="0.15">
      <c r="E43" s="16"/>
      <c r="F43" s="16"/>
      <c r="G43" s="16"/>
    </row>
    <row r="44" spans="5:7" customFormat="1" x14ac:dyDescent="0.15">
      <c r="E44" s="16"/>
      <c r="F44" s="16"/>
      <c r="G44" s="16"/>
    </row>
    <row r="45" spans="5:7" customFormat="1" x14ac:dyDescent="0.15">
      <c r="E45" s="16"/>
      <c r="F45" s="16"/>
      <c r="G45" s="16"/>
    </row>
    <row r="46" spans="5:7" customFormat="1" x14ac:dyDescent="0.15">
      <c r="E46" s="16"/>
      <c r="F46" s="16"/>
      <c r="G46" s="16"/>
    </row>
    <row r="47" spans="5:7" customFormat="1" x14ac:dyDescent="0.15">
      <c r="E47" s="16"/>
      <c r="F47" s="16"/>
      <c r="G47" s="16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7"/>
  <sheetViews>
    <sheetView tabSelected="1" topLeftCell="A31" workbookViewId="0">
      <selection activeCell="D53" sqref="D53"/>
    </sheetView>
  </sheetViews>
  <sheetFormatPr defaultColWidth="10.875" defaultRowHeight="13.5" x14ac:dyDescent="0.15"/>
  <cols>
    <col min="1" max="2" width="10.875" style="1"/>
    <col min="3" max="3" width="18.625" style="1" bestFit="1" customWidth="1"/>
    <col min="4" max="4" width="10.875" style="2"/>
    <col min="5" max="7" width="10.875" style="1"/>
    <col min="8" max="8" width="10.875" style="2"/>
    <col min="9" max="10" width="10.875" style="1"/>
    <col min="11" max="11" width="25.625" style="1" customWidth="1"/>
    <col min="12" max="17" width="10.875" style="1"/>
    <col min="18" max="18" width="10.875" style="2"/>
    <col min="19" max="16384" width="10.875" style="1"/>
  </cols>
  <sheetData>
    <row r="1" spans="1:18" x14ac:dyDescent="0.15">
      <c r="A1" s="50" t="s">
        <v>264</v>
      </c>
      <c r="B1" s="1" t="s">
        <v>146</v>
      </c>
      <c r="C1" s="1" t="s">
        <v>68</v>
      </c>
      <c r="D1" s="2" t="s">
        <v>70</v>
      </c>
      <c r="E1" s="1" t="s">
        <v>72</v>
      </c>
      <c r="F1" s="1" t="s">
        <v>73</v>
      </c>
      <c r="G1" s="1" t="s">
        <v>141</v>
      </c>
      <c r="H1" s="2" t="s">
        <v>145</v>
      </c>
      <c r="I1" s="1" t="s">
        <v>85</v>
      </c>
      <c r="J1" s="1" t="s">
        <v>146</v>
      </c>
      <c r="K1" s="1" t="s">
        <v>77</v>
      </c>
      <c r="L1" s="1" t="s">
        <v>101</v>
      </c>
      <c r="P1" s="1" t="s">
        <v>88</v>
      </c>
    </row>
    <row r="2" spans="1:18" x14ac:dyDescent="0.15">
      <c r="C2" s="1" t="s">
        <v>69</v>
      </c>
      <c r="D2" s="2" t="s">
        <v>31</v>
      </c>
      <c r="E2" s="1" t="s">
        <v>71</v>
      </c>
      <c r="I2" s="1" t="s">
        <v>100</v>
      </c>
      <c r="L2" s="1" t="s">
        <v>102</v>
      </c>
      <c r="P2" s="1" t="s">
        <v>7</v>
      </c>
      <c r="Q2" s="1" t="s">
        <v>90</v>
      </c>
      <c r="R2" s="2" t="s">
        <v>31</v>
      </c>
    </row>
    <row r="3" spans="1:18" x14ac:dyDescent="0.15">
      <c r="C3" s="1" t="s">
        <v>76</v>
      </c>
      <c r="D3" s="2" t="s">
        <v>75</v>
      </c>
      <c r="E3" s="1" t="s">
        <v>74</v>
      </c>
      <c r="F3" s="1">
        <v>173328</v>
      </c>
      <c r="H3" s="51" t="s">
        <v>237</v>
      </c>
      <c r="K3" s="1" t="s">
        <v>78</v>
      </c>
      <c r="P3" s="1" t="s">
        <v>7</v>
      </c>
      <c r="Q3" s="1" t="s">
        <v>10</v>
      </c>
      <c r="R3" s="2" t="s">
        <v>31</v>
      </c>
    </row>
    <row r="4" spans="1:18" x14ac:dyDescent="0.15">
      <c r="C4" s="1" t="s">
        <v>79</v>
      </c>
      <c r="D4" s="2" t="s">
        <v>80</v>
      </c>
      <c r="E4" s="1" t="s">
        <v>81</v>
      </c>
      <c r="F4" s="1">
        <v>195918</v>
      </c>
      <c r="H4" s="51" t="s">
        <v>237</v>
      </c>
      <c r="I4" s="1" t="s">
        <v>87</v>
      </c>
      <c r="P4" s="1" t="s">
        <v>7</v>
      </c>
      <c r="Q4" s="1" t="s">
        <v>91</v>
      </c>
      <c r="R4" s="2" t="s">
        <v>97</v>
      </c>
    </row>
    <row r="5" spans="1:18" x14ac:dyDescent="0.15">
      <c r="C5" s="1" t="s">
        <v>82</v>
      </c>
      <c r="D5" s="2" t="s">
        <v>83</v>
      </c>
      <c r="E5" s="1" t="s">
        <v>84</v>
      </c>
      <c r="F5" s="1">
        <v>155864</v>
      </c>
      <c r="H5" s="51" t="s">
        <v>238</v>
      </c>
      <c r="I5" s="1" t="s">
        <v>86</v>
      </c>
      <c r="P5" s="1" t="s">
        <v>5</v>
      </c>
      <c r="Q5" s="1" t="s">
        <v>9</v>
      </c>
      <c r="R5" s="2" t="s">
        <v>96</v>
      </c>
    </row>
    <row r="6" spans="1:18" ht="33" customHeight="1" x14ac:dyDescent="0.15">
      <c r="B6" s="1" t="s">
        <v>149</v>
      </c>
      <c r="C6" s="1">
        <v>13520654301</v>
      </c>
      <c r="D6" s="2" t="s">
        <v>134</v>
      </c>
      <c r="E6" s="1" t="s">
        <v>133</v>
      </c>
      <c r="F6" s="1">
        <v>115464</v>
      </c>
      <c r="J6" s="1" t="s">
        <v>149</v>
      </c>
      <c r="K6" s="45" t="s">
        <v>148</v>
      </c>
      <c r="P6" s="1" t="s">
        <v>26</v>
      </c>
      <c r="Q6" s="1" t="s">
        <v>92</v>
      </c>
      <c r="R6" s="2" t="s">
        <v>95</v>
      </c>
    </row>
    <row r="7" spans="1:18" x14ac:dyDescent="0.15">
      <c r="C7" s="1" t="s">
        <v>136</v>
      </c>
      <c r="D7" s="2" t="s">
        <v>135</v>
      </c>
      <c r="E7" s="1" t="s">
        <v>138</v>
      </c>
      <c r="F7" s="1">
        <v>197640</v>
      </c>
      <c r="K7" s="1" t="s">
        <v>137</v>
      </c>
      <c r="P7" s="1" t="s">
        <v>26</v>
      </c>
      <c r="Q7" s="1" t="s">
        <v>27</v>
      </c>
      <c r="R7" s="2" t="s">
        <v>31</v>
      </c>
    </row>
    <row r="8" spans="1:18" x14ac:dyDescent="0.15">
      <c r="C8" s="46" t="s">
        <v>143</v>
      </c>
      <c r="D8" s="2" t="s">
        <v>140</v>
      </c>
      <c r="E8" s="1" t="s">
        <v>139</v>
      </c>
      <c r="F8" s="1">
        <v>177833</v>
      </c>
      <c r="G8" s="1" t="s">
        <v>142</v>
      </c>
      <c r="K8" s="1" t="s">
        <v>144</v>
      </c>
      <c r="P8" s="1" t="s">
        <v>26</v>
      </c>
      <c r="Q8" s="1" t="s">
        <v>93</v>
      </c>
      <c r="R8" s="2" t="s">
        <v>94</v>
      </c>
    </row>
    <row r="9" spans="1:18" x14ac:dyDescent="0.15">
      <c r="B9" s="1" t="s">
        <v>147</v>
      </c>
      <c r="D9" s="2" t="s">
        <v>134</v>
      </c>
      <c r="F9" s="46">
        <v>159385</v>
      </c>
      <c r="G9" s="1" t="s">
        <v>142</v>
      </c>
      <c r="J9" s="1" t="s">
        <v>147</v>
      </c>
      <c r="P9" s="1" t="s">
        <v>89</v>
      </c>
      <c r="Q9" s="1" t="s">
        <v>62</v>
      </c>
      <c r="R9" s="2" t="s">
        <v>60</v>
      </c>
    </row>
    <row r="10" spans="1:18" x14ac:dyDescent="0.15">
      <c r="B10" s="1" t="s">
        <v>151</v>
      </c>
      <c r="D10" s="2" t="s">
        <v>134</v>
      </c>
      <c r="E10" s="1" t="s">
        <v>150</v>
      </c>
      <c r="F10" s="1">
        <v>172402</v>
      </c>
      <c r="G10" s="1" t="s">
        <v>142</v>
      </c>
      <c r="J10" s="1" t="s">
        <v>151</v>
      </c>
      <c r="P10" s="1" t="s">
        <v>33</v>
      </c>
      <c r="Q10" s="1" t="s">
        <v>34</v>
      </c>
      <c r="R10" s="2" t="s">
        <v>97</v>
      </c>
    </row>
    <row r="11" spans="1:18" x14ac:dyDescent="0.15">
      <c r="B11" s="1" t="s">
        <v>153</v>
      </c>
      <c r="C11" s="1" t="s">
        <v>152</v>
      </c>
      <c r="D11" s="2" t="s">
        <v>134</v>
      </c>
      <c r="G11" s="1" t="s">
        <v>142</v>
      </c>
      <c r="J11" s="1" t="s">
        <v>153</v>
      </c>
      <c r="P11" s="1" t="s">
        <v>33</v>
      </c>
      <c r="Q11" s="1" t="s">
        <v>98</v>
      </c>
      <c r="R11" s="2" t="s">
        <v>31</v>
      </c>
    </row>
    <row r="12" spans="1:18" x14ac:dyDescent="0.15">
      <c r="D12" s="2" t="s">
        <v>135</v>
      </c>
      <c r="F12" s="46">
        <v>180490</v>
      </c>
    </row>
    <row r="13" spans="1:18" x14ac:dyDescent="0.15">
      <c r="C13" s="46" t="s">
        <v>154</v>
      </c>
      <c r="D13" s="2" t="s">
        <v>140</v>
      </c>
      <c r="F13" s="46">
        <v>172402</v>
      </c>
      <c r="G13" s="1" t="s">
        <v>142</v>
      </c>
    </row>
    <row r="14" spans="1:18" x14ac:dyDescent="0.15">
      <c r="B14" s="1" t="s">
        <v>155</v>
      </c>
      <c r="D14" s="2" t="s">
        <v>135</v>
      </c>
      <c r="G14" s="46" t="s">
        <v>156</v>
      </c>
      <c r="J14" s="1" t="s">
        <v>155</v>
      </c>
    </row>
    <row r="15" spans="1:18" x14ac:dyDescent="0.15">
      <c r="B15" s="1" t="s">
        <v>157</v>
      </c>
      <c r="D15" s="2" t="s">
        <v>135</v>
      </c>
      <c r="F15" s="46">
        <v>136118</v>
      </c>
      <c r="J15" s="1" t="s">
        <v>157</v>
      </c>
    </row>
    <row r="16" spans="1:18" x14ac:dyDescent="0.15">
      <c r="C16" s="46" t="s">
        <v>158</v>
      </c>
      <c r="D16" s="2" t="s">
        <v>135</v>
      </c>
    </row>
    <row r="17" spans="2:16" x14ac:dyDescent="0.15">
      <c r="B17" s="1" t="s">
        <v>161</v>
      </c>
      <c r="C17" s="46" t="s">
        <v>159</v>
      </c>
      <c r="D17" s="2" t="s">
        <v>160</v>
      </c>
      <c r="J17" s="1" t="s">
        <v>161</v>
      </c>
    </row>
    <row r="18" spans="2:16" x14ac:dyDescent="0.15">
      <c r="D18" s="2" t="s">
        <v>160</v>
      </c>
      <c r="F18" s="46">
        <v>141928</v>
      </c>
    </row>
    <row r="19" spans="2:16" x14ac:dyDescent="0.15">
      <c r="B19" s="1" t="s">
        <v>162</v>
      </c>
      <c r="C19" s="1">
        <v>15827044123</v>
      </c>
      <c r="D19" s="2" t="s">
        <v>163</v>
      </c>
      <c r="E19" s="1" t="s">
        <v>164</v>
      </c>
      <c r="F19" s="1">
        <v>141677</v>
      </c>
      <c r="H19" s="2" t="s">
        <v>242</v>
      </c>
    </row>
    <row r="20" spans="2:16" x14ac:dyDescent="0.15">
      <c r="B20" s="50" t="s">
        <v>250</v>
      </c>
      <c r="C20" s="46" t="s">
        <v>166</v>
      </c>
      <c r="D20" s="2" t="s">
        <v>163</v>
      </c>
      <c r="E20" s="1" t="s">
        <v>165</v>
      </c>
      <c r="F20" s="1">
        <v>161152</v>
      </c>
      <c r="H20" s="2" t="s">
        <v>242</v>
      </c>
      <c r="P20" s="1" t="s">
        <v>99</v>
      </c>
    </row>
    <row r="21" spans="2:16" x14ac:dyDescent="0.15">
      <c r="B21" s="1" t="s">
        <v>168</v>
      </c>
      <c r="C21" s="46" t="s">
        <v>169</v>
      </c>
      <c r="D21" s="2" t="s">
        <v>135</v>
      </c>
      <c r="E21" s="1" t="s">
        <v>167</v>
      </c>
      <c r="F21" s="1">
        <v>117887</v>
      </c>
      <c r="H21" s="2" t="s">
        <v>242</v>
      </c>
    </row>
    <row r="22" spans="2:16" x14ac:dyDescent="0.15">
      <c r="B22" s="1" t="s">
        <v>173</v>
      </c>
      <c r="C22" s="46" t="s">
        <v>170</v>
      </c>
      <c r="D22" s="2" t="s">
        <v>171</v>
      </c>
      <c r="E22" s="1" t="s">
        <v>172</v>
      </c>
    </row>
    <row r="23" spans="2:16" x14ac:dyDescent="0.15">
      <c r="B23" s="1" t="s">
        <v>175</v>
      </c>
      <c r="D23" s="2" t="s">
        <v>204</v>
      </c>
      <c r="E23" s="1" t="s">
        <v>174</v>
      </c>
    </row>
    <row r="24" spans="2:16" x14ac:dyDescent="0.15">
      <c r="B24" s="1" t="s">
        <v>177</v>
      </c>
      <c r="C24" s="47" t="s">
        <v>176</v>
      </c>
      <c r="D24" s="2" t="s">
        <v>205</v>
      </c>
      <c r="K24" s="1" t="s">
        <v>180</v>
      </c>
    </row>
    <row r="25" spans="2:16" x14ac:dyDescent="0.15">
      <c r="B25" s="1" t="s">
        <v>179</v>
      </c>
      <c r="C25" s="47" t="s">
        <v>178</v>
      </c>
      <c r="D25" s="2" t="s">
        <v>205</v>
      </c>
    </row>
    <row r="26" spans="2:16" x14ac:dyDescent="0.15">
      <c r="B26" s="1" t="s">
        <v>182</v>
      </c>
      <c r="C26" s="47">
        <v>13611340307</v>
      </c>
      <c r="D26" s="2" t="s">
        <v>181</v>
      </c>
    </row>
    <row r="27" spans="2:16" x14ac:dyDescent="0.15">
      <c r="B27" s="1" t="s">
        <v>185</v>
      </c>
      <c r="C27" s="1">
        <v>2008103</v>
      </c>
      <c r="D27" s="2" t="s">
        <v>183</v>
      </c>
      <c r="E27" s="1" t="s">
        <v>184</v>
      </c>
      <c r="F27" s="1">
        <v>100363</v>
      </c>
    </row>
    <row r="28" spans="2:16" x14ac:dyDescent="0.15">
      <c r="B28" s="1" t="s">
        <v>189</v>
      </c>
      <c r="C28" s="1" t="s">
        <v>188</v>
      </c>
      <c r="D28" s="2" t="s">
        <v>187</v>
      </c>
      <c r="E28" s="1" t="s">
        <v>186</v>
      </c>
      <c r="F28" s="1">
        <v>127896</v>
      </c>
    </row>
    <row r="29" spans="2:16" x14ac:dyDescent="0.15">
      <c r="B29" s="1" t="s">
        <v>191</v>
      </c>
      <c r="C29" s="1">
        <v>179289</v>
      </c>
      <c r="D29" s="2" t="s">
        <v>190</v>
      </c>
      <c r="E29" s="1" t="s">
        <v>192</v>
      </c>
      <c r="F29" s="1">
        <v>160208</v>
      </c>
    </row>
    <row r="30" spans="2:16" x14ac:dyDescent="0.15">
      <c r="B30" s="1" t="s">
        <v>193</v>
      </c>
      <c r="C30" s="1" t="s">
        <v>194</v>
      </c>
      <c r="D30" s="2" t="s">
        <v>160</v>
      </c>
      <c r="E30" s="1" t="s">
        <v>196</v>
      </c>
      <c r="F30" s="1">
        <v>158596</v>
      </c>
      <c r="G30" s="1" t="s">
        <v>195</v>
      </c>
    </row>
    <row r="31" spans="2:16" x14ac:dyDescent="0.15">
      <c r="B31" s="1" t="s">
        <v>200</v>
      </c>
      <c r="C31" s="1" t="s">
        <v>198</v>
      </c>
      <c r="D31" s="2" t="s">
        <v>199</v>
      </c>
      <c r="E31" s="1" t="s">
        <v>197</v>
      </c>
      <c r="F31" s="1">
        <v>134035</v>
      </c>
    </row>
    <row r="32" spans="2:16" x14ac:dyDescent="0.15">
      <c r="B32" s="1" t="s">
        <v>203</v>
      </c>
      <c r="C32" s="1" t="s">
        <v>202</v>
      </c>
      <c r="E32" s="1" t="s">
        <v>201</v>
      </c>
      <c r="F32" s="1">
        <v>171815</v>
      </c>
    </row>
    <row r="33" spans="1:8" x14ac:dyDescent="0.15">
      <c r="B33" s="1" t="s">
        <v>206</v>
      </c>
      <c r="C33" s="1">
        <v>13527358427</v>
      </c>
      <c r="D33" s="2" t="s">
        <v>134</v>
      </c>
      <c r="E33" s="1" t="s">
        <v>201</v>
      </c>
    </row>
    <row r="34" spans="1:8" x14ac:dyDescent="0.15">
      <c r="B34" s="1" t="s">
        <v>208</v>
      </c>
      <c r="C34" s="1">
        <v>13088222796</v>
      </c>
      <c r="D34" s="2" t="s">
        <v>207</v>
      </c>
      <c r="F34" s="1">
        <v>107880</v>
      </c>
    </row>
    <row r="35" spans="1:8" x14ac:dyDescent="0.15">
      <c r="C35" s="1" t="s">
        <v>211</v>
      </c>
      <c r="D35" s="2" t="s">
        <v>210</v>
      </c>
      <c r="E35" s="1" t="s">
        <v>209</v>
      </c>
      <c r="F35" s="1">
        <v>166275</v>
      </c>
    </row>
    <row r="36" spans="1:8" x14ac:dyDescent="0.15">
      <c r="C36" s="1" t="s">
        <v>213</v>
      </c>
      <c r="D36" s="2" t="s">
        <v>210</v>
      </c>
      <c r="E36" s="1" t="s">
        <v>212</v>
      </c>
      <c r="F36" s="1">
        <v>121229</v>
      </c>
    </row>
    <row r="37" spans="1:8" x14ac:dyDescent="0.15">
      <c r="C37" s="1" t="s">
        <v>214</v>
      </c>
      <c r="D37" s="2" t="s">
        <v>215</v>
      </c>
      <c r="E37" s="1" t="s">
        <v>216</v>
      </c>
      <c r="F37" s="1">
        <v>155265</v>
      </c>
    </row>
    <row r="38" spans="1:8" x14ac:dyDescent="0.15">
      <c r="C38" s="1" t="s">
        <v>217</v>
      </c>
      <c r="D38" s="2" t="s">
        <v>210</v>
      </c>
      <c r="E38" s="1" t="s">
        <v>218</v>
      </c>
      <c r="F38" s="1">
        <v>136998</v>
      </c>
    </row>
    <row r="39" spans="1:8" x14ac:dyDescent="0.15">
      <c r="C39" s="50" t="s">
        <v>233</v>
      </c>
      <c r="D39" s="2" t="s">
        <v>235</v>
      </c>
      <c r="E39" s="1" t="s">
        <v>234</v>
      </c>
      <c r="F39" s="1">
        <v>167457</v>
      </c>
      <c r="H39" s="51" t="s">
        <v>236</v>
      </c>
    </row>
    <row r="40" spans="1:8" x14ac:dyDescent="0.15">
      <c r="C40" s="1" t="s">
        <v>239</v>
      </c>
      <c r="D40" s="51" t="s">
        <v>241</v>
      </c>
      <c r="E40" s="1" t="s">
        <v>240</v>
      </c>
      <c r="H40" s="51" t="s">
        <v>243</v>
      </c>
    </row>
    <row r="41" spans="1:8" x14ac:dyDescent="0.15">
      <c r="C41" s="1" t="s">
        <v>244</v>
      </c>
      <c r="D41" s="2" t="s">
        <v>246</v>
      </c>
      <c r="E41" s="1" t="s">
        <v>245</v>
      </c>
      <c r="F41" s="1">
        <v>100009</v>
      </c>
      <c r="G41" s="1" t="s">
        <v>247</v>
      </c>
      <c r="H41" s="2" t="s">
        <v>242</v>
      </c>
    </row>
    <row r="42" spans="1:8" x14ac:dyDescent="0.15">
      <c r="C42" s="1">
        <v>95532199</v>
      </c>
      <c r="D42" s="2" t="s">
        <v>249</v>
      </c>
      <c r="E42" s="1" t="s">
        <v>248</v>
      </c>
      <c r="F42" s="1">
        <v>138178</v>
      </c>
      <c r="H42" s="2" t="s">
        <v>242</v>
      </c>
    </row>
    <row r="43" spans="1:8" x14ac:dyDescent="0.15">
      <c r="C43" s="1" t="s">
        <v>251</v>
      </c>
      <c r="D43" s="2" t="s">
        <v>246</v>
      </c>
      <c r="E43" s="1" t="s">
        <v>252</v>
      </c>
      <c r="G43" s="50" t="s">
        <v>253</v>
      </c>
      <c r="H43" s="2" t="s">
        <v>242</v>
      </c>
    </row>
    <row r="44" spans="1:8" x14ac:dyDescent="0.15">
      <c r="C44" s="1" t="s">
        <v>256</v>
      </c>
      <c r="D44" s="2" t="s">
        <v>246</v>
      </c>
      <c r="E44" s="1" t="s">
        <v>254</v>
      </c>
      <c r="G44" s="1" t="s">
        <v>247</v>
      </c>
      <c r="H44" s="51" t="s">
        <v>255</v>
      </c>
    </row>
    <row r="45" spans="1:8" x14ac:dyDescent="0.15">
      <c r="C45" s="1" t="s">
        <v>257</v>
      </c>
      <c r="D45" s="51" t="s">
        <v>241</v>
      </c>
      <c r="E45" s="1" t="s">
        <v>258</v>
      </c>
      <c r="F45" s="1">
        <v>158596</v>
      </c>
      <c r="G45" s="1" t="s">
        <v>259</v>
      </c>
      <c r="H45" s="2" t="s">
        <v>242</v>
      </c>
    </row>
    <row r="46" spans="1:8" x14ac:dyDescent="0.15">
      <c r="A46" s="50" t="s">
        <v>265</v>
      </c>
      <c r="C46" s="1" t="s">
        <v>260</v>
      </c>
      <c r="D46" s="51" t="s">
        <v>262</v>
      </c>
      <c r="E46" s="1" t="s">
        <v>261</v>
      </c>
      <c r="F46" s="1">
        <v>197544</v>
      </c>
      <c r="G46" s="50" t="s">
        <v>263</v>
      </c>
    </row>
    <row r="47" spans="1:8" x14ac:dyDescent="0.15">
      <c r="C47" s="1">
        <v>13611340307</v>
      </c>
      <c r="D47" s="51" t="s">
        <v>262</v>
      </c>
      <c r="E47" s="1" t="s">
        <v>266</v>
      </c>
      <c r="H47" s="2" t="s">
        <v>267</v>
      </c>
    </row>
    <row r="48" spans="1:8" x14ac:dyDescent="0.15">
      <c r="C48" s="1" t="s">
        <v>170</v>
      </c>
      <c r="D48" s="2" t="s">
        <v>249</v>
      </c>
      <c r="H48" s="1" t="s">
        <v>268</v>
      </c>
    </row>
    <row r="49" spans="3:8" x14ac:dyDescent="0.15">
      <c r="C49" s="50" t="s">
        <v>269</v>
      </c>
      <c r="D49" s="2" t="s">
        <v>270</v>
      </c>
      <c r="E49" s="1" t="s">
        <v>254</v>
      </c>
      <c r="H49" s="2" t="s">
        <v>268</v>
      </c>
    </row>
    <row r="50" spans="3:8" x14ac:dyDescent="0.15">
      <c r="C50" s="1">
        <v>133311993</v>
      </c>
      <c r="D50" s="2" t="s">
        <v>271</v>
      </c>
      <c r="F50" s="1">
        <v>124152</v>
      </c>
    </row>
    <row r="51" spans="3:8" x14ac:dyDescent="0.15">
      <c r="C51" s="1" t="s">
        <v>272</v>
      </c>
      <c r="D51" s="2" t="s">
        <v>273</v>
      </c>
      <c r="E51" s="1" t="s">
        <v>274</v>
      </c>
      <c r="F51" s="1">
        <v>100034</v>
      </c>
    </row>
    <row r="52" spans="3:8" x14ac:dyDescent="0.15">
      <c r="C52" s="1" t="s">
        <v>278</v>
      </c>
      <c r="D52" s="2" t="s">
        <v>276</v>
      </c>
      <c r="E52" s="1" t="s">
        <v>275</v>
      </c>
      <c r="F52" s="1">
        <v>123356</v>
      </c>
      <c r="G52" s="1" t="s">
        <v>277</v>
      </c>
    </row>
    <row r="53" spans="3:8" x14ac:dyDescent="0.15">
      <c r="C53" s="1" t="s">
        <v>280</v>
      </c>
      <c r="D53" s="2" t="s">
        <v>276</v>
      </c>
      <c r="E53" s="1" t="s">
        <v>279</v>
      </c>
      <c r="F53" s="1">
        <v>108520</v>
      </c>
    </row>
    <row r="89" spans="2:3" x14ac:dyDescent="0.15">
      <c r="B89" s="1" t="s">
        <v>219</v>
      </c>
    </row>
    <row r="90" spans="2:3" x14ac:dyDescent="0.15">
      <c r="B90" s="1" t="s">
        <v>220</v>
      </c>
    </row>
    <row r="95" spans="2:3" x14ac:dyDescent="0.15">
      <c r="C95" s="1" t="s">
        <v>223</v>
      </c>
    </row>
    <row r="97" spans="3:3" x14ac:dyDescent="0.15">
      <c r="C97" s="1" t="s">
        <v>225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workbookViewId="0">
      <selection activeCell="C33" sqref="C33"/>
    </sheetView>
  </sheetViews>
  <sheetFormatPr defaultColWidth="17.625" defaultRowHeight="13.5" x14ac:dyDescent="0.15"/>
  <cols>
    <col min="1" max="1" width="16.375" style="3" bestFit="1" customWidth="1"/>
    <col min="2" max="2" width="9" style="1" bestFit="1" customWidth="1"/>
    <col min="3" max="3" width="7.125" style="5" bestFit="1" customWidth="1"/>
    <col min="4" max="4" width="6.375" style="4" bestFit="1" customWidth="1"/>
    <col min="5" max="5" width="9.125" style="7" bestFit="1" customWidth="1"/>
    <col min="6" max="6" width="10" style="14" bestFit="1" customWidth="1"/>
    <col min="7" max="7" width="15.625" style="21" customWidth="1"/>
    <col min="8" max="8" width="7.375" style="5" bestFit="1" customWidth="1"/>
    <col min="9" max="9" width="6.375" style="5" bestFit="1" customWidth="1"/>
    <col min="10" max="10" width="7.375" style="5" bestFit="1" customWidth="1"/>
    <col min="11" max="11" width="6.375" style="5" bestFit="1" customWidth="1"/>
    <col min="12" max="12" width="3.875" style="5" customWidth="1"/>
    <col min="13" max="13" width="6.625" style="15" customWidth="1"/>
    <col min="14" max="14" width="5.875" style="22" customWidth="1"/>
    <col min="15" max="15" width="4.875" style="23" customWidth="1"/>
    <col min="16" max="16" width="5.625" style="11" customWidth="1"/>
    <col min="17" max="17" width="4.125" style="11" customWidth="1"/>
    <col min="18" max="18" width="4.625" style="11" customWidth="1"/>
    <col min="19" max="20" width="6.375" style="11" bestFit="1" customWidth="1"/>
    <col min="21" max="21" width="6.375" style="12" bestFit="1" customWidth="1"/>
    <col min="22" max="23" width="7.5" style="13" customWidth="1"/>
    <col min="24" max="24" width="9.625" style="28" customWidth="1"/>
    <col min="25" max="25" width="9.5" style="28" customWidth="1"/>
    <col min="26" max="26" width="11.625" style="2" bestFit="1" customWidth="1"/>
    <col min="27" max="16384" width="17.625" style="1"/>
  </cols>
  <sheetData>
    <row r="1" spans="1:26" x14ac:dyDescent="0.15">
      <c r="A1" s="3" t="s">
        <v>12</v>
      </c>
      <c r="B1" s="1" t="s">
        <v>0</v>
      </c>
      <c r="C1" s="5" t="s">
        <v>2</v>
      </c>
      <c r="D1" s="4" t="s">
        <v>1</v>
      </c>
      <c r="E1" s="7" t="s">
        <v>11</v>
      </c>
      <c r="F1" s="14" t="s">
        <v>39</v>
      </c>
      <c r="G1" s="21" t="s">
        <v>13</v>
      </c>
      <c r="H1" s="5" t="s">
        <v>17</v>
      </c>
      <c r="I1" s="5" t="s">
        <v>15</v>
      </c>
      <c r="J1" s="5" t="s">
        <v>20</v>
      </c>
      <c r="K1" s="5" t="s">
        <v>18</v>
      </c>
      <c r="L1" s="5" t="s">
        <v>23</v>
      </c>
      <c r="M1" s="15" t="s">
        <v>29</v>
      </c>
      <c r="N1" s="22" t="s">
        <v>41</v>
      </c>
      <c r="O1" s="23" t="s">
        <v>4</v>
      </c>
      <c r="P1" s="11" t="s">
        <v>14</v>
      </c>
      <c r="Q1" s="11" t="s">
        <v>21</v>
      </c>
      <c r="R1" s="11" t="s">
        <v>40</v>
      </c>
      <c r="S1" s="11" t="s">
        <v>16</v>
      </c>
      <c r="T1" s="11" t="s">
        <v>19</v>
      </c>
      <c r="U1" s="12" t="s">
        <v>22</v>
      </c>
      <c r="V1" s="13" t="s">
        <v>24</v>
      </c>
      <c r="W1" s="13" t="s">
        <v>25</v>
      </c>
      <c r="X1" s="28" t="s">
        <v>119</v>
      </c>
      <c r="Y1" s="28" t="s">
        <v>127</v>
      </c>
      <c r="Z1" s="2" t="s">
        <v>3</v>
      </c>
    </row>
    <row r="2" spans="1:26" x14ac:dyDescent="0.15">
      <c r="A2" s="24">
        <v>42891.833333333336</v>
      </c>
      <c r="B2" s="1" t="s">
        <v>5</v>
      </c>
      <c r="C2" s="5" t="s">
        <v>9</v>
      </c>
      <c r="D2" s="5">
        <f>200</f>
        <v>200</v>
      </c>
      <c r="E2" s="7">
        <v>0</v>
      </c>
      <c r="G2" s="21">
        <v>42892</v>
      </c>
      <c r="L2" s="5">
        <v>2</v>
      </c>
      <c r="M2" s="15" t="s">
        <v>31</v>
      </c>
      <c r="O2" s="23">
        <f t="shared" ref="O2:O28" si="0">IF(E2&gt;D2,INT((E2-D2)*0.95),E2-D2)</f>
        <v>-200</v>
      </c>
      <c r="P2" s="11">
        <f t="shared" ref="P2:P28" si="1">ROUND((G2-A2)*24,2)</f>
        <v>4</v>
      </c>
      <c r="X2" s="28">
        <f t="shared" ref="X2:X28" si="2">DATE(YEAR(A2),MONTH(A2),DAY(A2))</f>
        <v>42891</v>
      </c>
      <c r="Z2" s="2" t="s">
        <v>6</v>
      </c>
    </row>
    <row r="3" spans="1:26" x14ac:dyDescent="0.15">
      <c r="A3" s="24">
        <v>42891.833333333336</v>
      </c>
      <c r="B3" s="1" t="s">
        <v>7</v>
      </c>
      <c r="C3" s="5" t="s">
        <v>10</v>
      </c>
      <c r="D3" s="5">
        <f>200</f>
        <v>200</v>
      </c>
      <c r="E3" s="7">
        <v>170</v>
      </c>
      <c r="G3" s="21">
        <v>42892</v>
      </c>
      <c r="L3" s="5">
        <v>2</v>
      </c>
      <c r="M3" s="15" t="s">
        <v>31</v>
      </c>
      <c r="O3" s="23">
        <f t="shared" si="0"/>
        <v>-30</v>
      </c>
      <c r="P3" s="11">
        <f t="shared" si="1"/>
        <v>4</v>
      </c>
      <c r="X3" s="28">
        <f t="shared" si="2"/>
        <v>42891</v>
      </c>
      <c r="Z3" s="2" t="s">
        <v>8</v>
      </c>
    </row>
    <row r="4" spans="1:26" x14ac:dyDescent="0.15">
      <c r="A4" s="24">
        <v>42894.833333333336</v>
      </c>
      <c r="B4" s="1" t="s">
        <v>5</v>
      </c>
      <c r="C4" s="5" t="s">
        <v>9</v>
      </c>
      <c r="D4" s="5">
        <f>200</f>
        <v>200</v>
      </c>
      <c r="E4" s="7">
        <f>D4+90</f>
        <v>290</v>
      </c>
      <c r="G4" s="21">
        <v>42895</v>
      </c>
      <c r="L4" s="5">
        <v>2</v>
      </c>
      <c r="M4" s="15" t="s">
        <v>30</v>
      </c>
      <c r="O4" s="23">
        <f t="shared" si="0"/>
        <v>85</v>
      </c>
      <c r="P4" s="11">
        <f t="shared" si="1"/>
        <v>4</v>
      </c>
      <c r="X4" s="28">
        <f t="shared" si="2"/>
        <v>42894</v>
      </c>
      <c r="Z4" s="2" t="s">
        <v>6</v>
      </c>
    </row>
    <row r="5" spans="1:26" x14ac:dyDescent="0.15">
      <c r="A5" s="24">
        <v>42894.833333333336</v>
      </c>
      <c r="B5" s="1" t="s">
        <v>7</v>
      </c>
      <c r="C5" s="5" t="s">
        <v>10</v>
      </c>
      <c r="D5" s="5">
        <f>200</f>
        <v>200</v>
      </c>
      <c r="E5" s="7">
        <f>D5+22</f>
        <v>222</v>
      </c>
      <c r="G5" s="21">
        <v>42895</v>
      </c>
      <c r="L5" s="5">
        <v>2</v>
      </c>
      <c r="M5" s="15" t="s">
        <v>30</v>
      </c>
      <c r="O5" s="23">
        <f t="shared" si="0"/>
        <v>20</v>
      </c>
      <c r="P5" s="11">
        <f t="shared" si="1"/>
        <v>4</v>
      </c>
      <c r="X5" s="28">
        <f t="shared" si="2"/>
        <v>42894</v>
      </c>
      <c r="Z5" s="2" t="s">
        <v>8</v>
      </c>
    </row>
    <row r="6" spans="1:26" x14ac:dyDescent="0.15">
      <c r="A6" s="24">
        <v>42894.833333333336</v>
      </c>
      <c r="B6" s="1" t="s">
        <v>26</v>
      </c>
      <c r="C6" s="5" t="s">
        <v>27</v>
      </c>
      <c r="D6" s="5">
        <f>200</f>
        <v>200</v>
      </c>
      <c r="E6" s="7">
        <f>D6+75</f>
        <v>275</v>
      </c>
      <c r="G6" s="21">
        <v>42895</v>
      </c>
      <c r="L6" s="5">
        <v>2</v>
      </c>
      <c r="M6" s="15" t="s">
        <v>30</v>
      </c>
      <c r="O6" s="23">
        <f t="shared" si="0"/>
        <v>71</v>
      </c>
      <c r="P6" s="11">
        <f t="shared" si="1"/>
        <v>4</v>
      </c>
      <c r="X6" s="28">
        <f t="shared" si="2"/>
        <v>42894</v>
      </c>
      <c r="Z6" s="2" t="s">
        <v>28</v>
      </c>
    </row>
    <row r="7" spans="1:26" x14ac:dyDescent="0.15">
      <c r="A7" s="24">
        <v>42899.833333333336</v>
      </c>
      <c r="B7" s="1" t="s">
        <v>5</v>
      </c>
      <c r="C7" s="5" t="s">
        <v>9</v>
      </c>
      <c r="D7" s="5">
        <f>200</f>
        <v>200</v>
      </c>
      <c r="E7" s="7">
        <f>D7-169</f>
        <v>31</v>
      </c>
      <c r="G7" s="21">
        <v>42900</v>
      </c>
      <c r="L7" s="5">
        <v>2</v>
      </c>
      <c r="M7" s="15" t="s">
        <v>30</v>
      </c>
      <c r="O7" s="23">
        <f t="shared" si="0"/>
        <v>-169</v>
      </c>
      <c r="P7" s="11">
        <f t="shared" si="1"/>
        <v>4</v>
      </c>
      <c r="X7" s="28">
        <f t="shared" si="2"/>
        <v>42899</v>
      </c>
      <c r="Z7" s="2" t="s">
        <v>6</v>
      </c>
    </row>
    <row r="8" spans="1:26" x14ac:dyDescent="0.15">
      <c r="A8" s="24">
        <v>42899.833333333336</v>
      </c>
      <c r="B8" s="1" t="s">
        <v>26</v>
      </c>
      <c r="C8" s="5" t="s">
        <v>27</v>
      </c>
      <c r="D8" s="5">
        <f>200</f>
        <v>200</v>
      </c>
      <c r="E8" s="7">
        <f>D8+17</f>
        <v>217</v>
      </c>
      <c r="G8" s="21">
        <v>42900</v>
      </c>
      <c r="L8" s="5">
        <v>2</v>
      </c>
      <c r="M8" s="15" t="s">
        <v>30</v>
      </c>
      <c r="O8" s="23">
        <f t="shared" si="0"/>
        <v>16</v>
      </c>
      <c r="P8" s="11">
        <f t="shared" si="1"/>
        <v>4</v>
      </c>
      <c r="X8" s="28">
        <f t="shared" si="2"/>
        <v>42899</v>
      </c>
      <c r="Z8" s="2" t="s">
        <v>28</v>
      </c>
    </row>
    <row r="9" spans="1:26" x14ac:dyDescent="0.15">
      <c r="A9" s="24">
        <v>42904.833333333336</v>
      </c>
      <c r="B9" s="1" t="s">
        <v>5</v>
      </c>
      <c r="C9" s="5" t="s">
        <v>9</v>
      </c>
      <c r="D9" s="5">
        <f>200</f>
        <v>200</v>
      </c>
      <c r="E9" s="7">
        <f>D9+201</f>
        <v>401</v>
      </c>
      <c r="G9" s="21">
        <v>42905</v>
      </c>
      <c r="L9" s="5">
        <v>2</v>
      </c>
      <c r="M9" s="15" t="s">
        <v>30</v>
      </c>
      <c r="O9" s="23">
        <f t="shared" si="0"/>
        <v>190</v>
      </c>
      <c r="P9" s="11">
        <f t="shared" si="1"/>
        <v>4</v>
      </c>
      <c r="X9" s="28">
        <f t="shared" si="2"/>
        <v>42904</v>
      </c>
      <c r="Z9" s="2" t="s">
        <v>6</v>
      </c>
    </row>
    <row r="10" spans="1:26" x14ac:dyDescent="0.15">
      <c r="A10" s="24">
        <v>42904.833333333336</v>
      </c>
      <c r="B10" s="1" t="s">
        <v>7</v>
      </c>
      <c r="C10" s="5" t="s">
        <v>10</v>
      </c>
      <c r="D10" s="5">
        <f>200</f>
        <v>200</v>
      </c>
      <c r="E10" s="7">
        <f>D10-6</f>
        <v>194</v>
      </c>
      <c r="G10" s="21">
        <v>42905</v>
      </c>
      <c r="L10" s="5">
        <v>2</v>
      </c>
      <c r="M10" s="15" t="s">
        <v>30</v>
      </c>
      <c r="O10" s="23">
        <f t="shared" si="0"/>
        <v>-6</v>
      </c>
      <c r="P10" s="11">
        <f t="shared" si="1"/>
        <v>4</v>
      </c>
      <c r="X10" s="28">
        <f t="shared" si="2"/>
        <v>42904</v>
      </c>
      <c r="Z10" s="2" t="s">
        <v>8</v>
      </c>
    </row>
    <row r="11" spans="1:26" x14ac:dyDescent="0.15">
      <c r="A11" s="24">
        <v>42904.833333333336</v>
      </c>
      <c r="B11" s="1" t="s">
        <v>26</v>
      </c>
      <c r="C11" s="5" t="s">
        <v>27</v>
      </c>
      <c r="D11" s="5">
        <f>200</f>
        <v>200</v>
      </c>
      <c r="E11" s="7">
        <f>D11+15</f>
        <v>215</v>
      </c>
      <c r="G11" s="21">
        <v>42905</v>
      </c>
      <c r="L11" s="5">
        <v>2</v>
      </c>
      <c r="M11" s="15" t="s">
        <v>30</v>
      </c>
      <c r="O11" s="23">
        <f t="shared" si="0"/>
        <v>14</v>
      </c>
      <c r="P11" s="11">
        <f t="shared" si="1"/>
        <v>4</v>
      </c>
      <c r="X11" s="28">
        <f t="shared" si="2"/>
        <v>42904</v>
      </c>
      <c r="Z11" s="2" t="s">
        <v>28</v>
      </c>
    </row>
    <row r="12" spans="1:26" x14ac:dyDescent="0.15">
      <c r="A12" s="24">
        <v>42905.883333333331</v>
      </c>
      <c r="B12" s="1" t="s">
        <v>33</v>
      </c>
      <c r="C12" s="5" t="s">
        <v>34</v>
      </c>
      <c r="D12" s="5">
        <f>200+200</f>
        <v>400</v>
      </c>
      <c r="E12" s="7">
        <f>D12+211</f>
        <v>611</v>
      </c>
      <c r="G12" s="21">
        <v>42906</v>
      </c>
      <c r="L12" s="5">
        <v>2</v>
      </c>
      <c r="M12" s="15" t="s">
        <v>30</v>
      </c>
      <c r="O12" s="23">
        <f t="shared" si="0"/>
        <v>200</v>
      </c>
      <c r="P12" s="11">
        <f t="shared" si="1"/>
        <v>2.8</v>
      </c>
      <c r="X12" s="28">
        <f t="shared" si="2"/>
        <v>42905</v>
      </c>
      <c r="Z12" s="2" t="s">
        <v>32</v>
      </c>
    </row>
    <row r="13" spans="1:26" x14ac:dyDescent="0.15">
      <c r="A13" s="24">
        <v>42905.883333333331</v>
      </c>
      <c r="B13" s="1" t="s">
        <v>5</v>
      </c>
      <c r="C13" s="5" t="s">
        <v>9</v>
      </c>
      <c r="D13" s="5">
        <f>300</f>
        <v>300</v>
      </c>
      <c r="E13" s="7">
        <f>D13+106</f>
        <v>406</v>
      </c>
      <c r="G13" s="21">
        <v>42906</v>
      </c>
      <c r="L13" s="5">
        <v>2</v>
      </c>
      <c r="M13" s="15" t="s">
        <v>30</v>
      </c>
      <c r="O13" s="23">
        <f t="shared" si="0"/>
        <v>100</v>
      </c>
      <c r="P13" s="11">
        <f t="shared" si="1"/>
        <v>2.8</v>
      </c>
      <c r="X13" s="28">
        <f t="shared" si="2"/>
        <v>42905</v>
      </c>
      <c r="Z13" s="2" t="s">
        <v>6</v>
      </c>
    </row>
    <row r="14" spans="1:26" x14ac:dyDescent="0.15">
      <c r="A14" s="24">
        <v>42905.883333333331</v>
      </c>
      <c r="B14" s="1" t="s">
        <v>26</v>
      </c>
      <c r="C14" s="5" t="s">
        <v>27</v>
      </c>
      <c r="D14" s="5">
        <f>200</f>
        <v>200</v>
      </c>
      <c r="E14" s="7">
        <f>D14-9</f>
        <v>191</v>
      </c>
      <c r="G14" s="21">
        <v>42906</v>
      </c>
      <c r="L14" s="5">
        <v>2</v>
      </c>
      <c r="M14" s="15" t="s">
        <v>30</v>
      </c>
      <c r="O14" s="23">
        <f t="shared" si="0"/>
        <v>-9</v>
      </c>
      <c r="P14" s="11">
        <f t="shared" si="1"/>
        <v>2.8</v>
      </c>
      <c r="X14" s="28">
        <f t="shared" si="2"/>
        <v>42905</v>
      </c>
      <c r="Z14" s="2" t="s">
        <v>28</v>
      </c>
    </row>
    <row r="15" spans="1:26" s="30" customFormat="1" x14ac:dyDescent="0.15">
      <c r="A15" s="29">
        <v>42925.631249999999</v>
      </c>
      <c r="B15" s="30" t="s">
        <v>7</v>
      </c>
      <c r="C15" s="31" t="s">
        <v>10</v>
      </c>
      <c r="D15" s="31">
        <f>200+300</f>
        <v>500</v>
      </c>
      <c r="E15" s="32">
        <f>D15-174</f>
        <v>326</v>
      </c>
      <c r="F15" s="32">
        <v>326</v>
      </c>
      <c r="G15" s="33">
        <v>42925.809027777781</v>
      </c>
      <c r="H15" s="31">
        <v>1732</v>
      </c>
      <c r="I15" s="31">
        <v>0.68</v>
      </c>
      <c r="J15" s="31">
        <v>1981</v>
      </c>
      <c r="K15" s="31">
        <v>0.62</v>
      </c>
      <c r="L15" s="31">
        <v>2</v>
      </c>
      <c r="M15" s="34" t="s">
        <v>30</v>
      </c>
      <c r="N15" s="32">
        <f t="shared" ref="N15:N28" si="3">F15-D15</f>
        <v>-174</v>
      </c>
      <c r="O15" s="31">
        <f t="shared" si="0"/>
        <v>-174</v>
      </c>
      <c r="P15" s="30">
        <f t="shared" si="1"/>
        <v>4.2699999999999996</v>
      </c>
      <c r="Q15" s="30">
        <f t="shared" ref="Q15:Q28" si="4">J15-H15</f>
        <v>249</v>
      </c>
      <c r="R15" s="30">
        <f t="shared" ref="R15:R28" si="5">T15-S15</f>
        <v>51</v>
      </c>
      <c r="S15" s="30">
        <f t="shared" ref="S15:S28" si="6">INT(H15*I15)</f>
        <v>1177</v>
      </c>
      <c r="T15" s="30">
        <f t="shared" ref="T15:T28" si="7">INT(J15*K15)</f>
        <v>1228</v>
      </c>
      <c r="U15" s="35">
        <f t="shared" ref="U15:U23" si="8">R15/Q15</f>
        <v>0.20481927710843373</v>
      </c>
      <c r="V15" s="36">
        <f t="shared" ref="V15:V28" si="9">O15/Q15/L15</f>
        <v>-0.3493975903614458</v>
      </c>
      <c r="W15" s="36">
        <f t="shared" ref="W15:W28" si="10">O15/P15/L15</f>
        <v>-20.374707259953162</v>
      </c>
      <c r="X15" s="37">
        <f t="shared" si="2"/>
        <v>42925</v>
      </c>
      <c r="Y15" s="39">
        <f>MAX($P$15:$P$17)/SUBTOTAL(109,$P$15:$P$17)</f>
        <v>0.38557435440783616</v>
      </c>
      <c r="Z15" s="38" t="s">
        <v>8</v>
      </c>
    </row>
    <row r="16" spans="1:26" s="30" customFormat="1" x14ac:dyDescent="0.15">
      <c r="A16" s="29">
        <v>42925.631249999999</v>
      </c>
      <c r="B16" s="30" t="s">
        <v>26</v>
      </c>
      <c r="C16" s="31" t="s">
        <v>27</v>
      </c>
      <c r="D16" s="31">
        <v>200</v>
      </c>
      <c r="E16" s="32">
        <v>524</v>
      </c>
      <c r="F16" s="32">
        <v>508</v>
      </c>
      <c r="G16" s="33">
        <v>42925.740972222222</v>
      </c>
      <c r="H16" s="31">
        <v>2213</v>
      </c>
      <c r="I16" s="31">
        <v>0.61</v>
      </c>
      <c r="J16" s="31">
        <v>2379</v>
      </c>
      <c r="K16" s="31">
        <v>0.57999999999999996</v>
      </c>
      <c r="L16" s="31">
        <v>2</v>
      </c>
      <c r="M16" s="34" t="s">
        <v>30</v>
      </c>
      <c r="N16" s="32">
        <f t="shared" si="3"/>
        <v>308</v>
      </c>
      <c r="O16" s="31">
        <f t="shared" si="0"/>
        <v>307</v>
      </c>
      <c r="P16" s="30">
        <f t="shared" si="1"/>
        <v>2.63</v>
      </c>
      <c r="Q16" s="30">
        <f t="shared" si="4"/>
        <v>166</v>
      </c>
      <c r="R16" s="30">
        <f t="shared" si="5"/>
        <v>30</v>
      </c>
      <c r="S16" s="30">
        <f t="shared" si="6"/>
        <v>1349</v>
      </c>
      <c r="T16" s="30">
        <f t="shared" si="7"/>
        <v>1379</v>
      </c>
      <c r="U16" s="35">
        <f t="shared" si="8"/>
        <v>0.18072289156626506</v>
      </c>
      <c r="V16" s="36">
        <f t="shared" si="9"/>
        <v>0.92469879518072284</v>
      </c>
      <c r="W16" s="36">
        <f t="shared" si="10"/>
        <v>58.365019011406844</v>
      </c>
      <c r="X16" s="37">
        <f t="shared" si="2"/>
        <v>42925</v>
      </c>
      <c r="Y16" s="39">
        <f>MAX($P$15:$P$17)/SUBTOTAL(109,$P$15:$P$17)</f>
        <v>0.38557435440783616</v>
      </c>
      <c r="Z16" s="38" t="s">
        <v>28</v>
      </c>
    </row>
    <row r="17" spans="1:26" s="30" customFormat="1" x14ac:dyDescent="0.15">
      <c r="A17" s="29">
        <v>42925.631249999999</v>
      </c>
      <c r="B17" s="30" t="s">
        <v>33</v>
      </c>
      <c r="C17" s="31" t="s">
        <v>38</v>
      </c>
      <c r="D17" s="31">
        <v>300</v>
      </c>
      <c r="E17" s="32">
        <v>367</v>
      </c>
      <c r="F17" s="32">
        <v>367</v>
      </c>
      <c r="G17" s="33">
        <v>42925.811805555553</v>
      </c>
      <c r="H17" s="31">
        <v>1509</v>
      </c>
      <c r="I17" s="31">
        <v>0.71</v>
      </c>
      <c r="J17" s="31">
        <v>1753</v>
      </c>
      <c r="K17" s="31">
        <v>0.64</v>
      </c>
      <c r="L17" s="31">
        <v>2</v>
      </c>
      <c r="M17" s="34" t="s">
        <v>30</v>
      </c>
      <c r="N17" s="32">
        <f t="shared" si="3"/>
        <v>67</v>
      </c>
      <c r="O17" s="31">
        <f t="shared" si="0"/>
        <v>63</v>
      </c>
      <c r="P17" s="30">
        <f t="shared" si="1"/>
        <v>4.33</v>
      </c>
      <c r="Q17" s="30">
        <f t="shared" si="4"/>
        <v>244</v>
      </c>
      <c r="R17" s="30">
        <f t="shared" si="5"/>
        <v>50</v>
      </c>
      <c r="S17" s="30">
        <f t="shared" si="6"/>
        <v>1071</v>
      </c>
      <c r="T17" s="30">
        <f t="shared" si="7"/>
        <v>1121</v>
      </c>
      <c r="U17" s="35">
        <f t="shared" si="8"/>
        <v>0.20491803278688525</v>
      </c>
      <c r="V17" s="36">
        <f t="shared" si="9"/>
        <v>0.12909836065573771</v>
      </c>
      <c r="W17" s="36">
        <f t="shared" si="10"/>
        <v>7.274826789838337</v>
      </c>
      <c r="X17" s="37">
        <f t="shared" si="2"/>
        <v>42925</v>
      </c>
      <c r="Y17" s="39">
        <f>MAX($P$15:$P$17)/SUBTOTAL(109,$P$15:$P$17)</f>
        <v>0.38557435440783616</v>
      </c>
      <c r="Z17" s="38" t="s">
        <v>32</v>
      </c>
    </row>
    <row r="18" spans="1:26" x14ac:dyDescent="0.15">
      <c r="A18" s="24">
        <v>42934.876388888886</v>
      </c>
      <c r="B18" s="1" t="s">
        <v>7</v>
      </c>
      <c r="C18" s="5" t="s">
        <v>61</v>
      </c>
      <c r="D18" s="5">
        <f>200+100</f>
        <v>300</v>
      </c>
      <c r="E18" s="7">
        <f>D18+108</f>
        <v>408</v>
      </c>
      <c r="F18" s="14">
        <v>403</v>
      </c>
      <c r="G18" s="21">
        <v>42935.022222222222</v>
      </c>
      <c r="H18" s="5">
        <v>2186</v>
      </c>
      <c r="I18" s="5">
        <v>0.66</v>
      </c>
      <c r="J18" s="5">
        <v>2320</v>
      </c>
      <c r="K18" s="5">
        <v>0.63</v>
      </c>
      <c r="L18" s="5">
        <v>2</v>
      </c>
      <c r="M18" s="15" t="s">
        <v>30</v>
      </c>
      <c r="N18" s="22">
        <f t="shared" si="3"/>
        <v>103</v>
      </c>
      <c r="O18" s="23">
        <f t="shared" si="0"/>
        <v>102</v>
      </c>
      <c r="P18" s="11">
        <f t="shared" si="1"/>
        <v>3.5</v>
      </c>
      <c r="Q18" s="11">
        <f t="shared" si="4"/>
        <v>134</v>
      </c>
      <c r="R18" s="11">
        <f t="shared" si="5"/>
        <v>19</v>
      </c>
      <c r="S18" s="11">
        <f t="shared" si="6"/>
        <v>1442</v>
      </c>
      <c r="T18" s="11">
        <f t="shared" si="7"/>
        <v>1461</v>
      </c>
      <c r="U18" s="12">
        <f t="shared" si="8"/>
        <v>0.1417910447761194</v>
      </c>
      <c r="V18" s="13">
        <f t="shared" si="9"/>
        <v>0.38059701492537312</v>
      </c>
      <c r="W18" s="13">
        <f t="shared" si="10"/>
        <v>14.571428571428571</v>
      </c>
      <c r="X18" s="28">
        <f t="shared" si="2"/>
        <v>42934</v>
      </c>
      <c r="Y18" s="39">
        <f t="array" ref="Y18:Y22">MAX($P$18:$P$22)/SUBTOTAL(109,$P$18:$P$22)</f>
        <v>0.28561151079136687</v>
      </c>
      <c r="Z18" s="2" t="s">
        <v>8</v>
      </c>
    </row>
    <row r="19" spans="1:26" x14ac:dyDescent="0.15">
      <c r="A19" s="24">
        <v>42934.876388888886</v>
      </c>
      <c r="B19" s="1" t="s">
        <v>26</v>
      </c>
      <c r="C19" s="5" t="s">
        <v>27</v>
      </c>
      <c r="D19" s="5">
        <v>200</v>
      </c>
      <c r="E19" s="7">
        <f>D19+7</f>
        <v>207</v>
      </c>
      <c r="F19" s="14">
        <v>207</v>
      </c>
      <c r="G19" s="21">
        <v>42935.041666666664</v>
      </c>
      <c r="H19" s="5">
        <v>2584</v>
      </c>
      <c r="I19" s="5">
        <v>0.62</v>
      </c>
      <c r="J19" s="5">
        <v>2816</v>
      </c>
      <c r="K19" s="5">
        <v>0.57999999999999996</v>
      </c>
      <c r="L19" s="5">
        <v>2</v>
      </c>
      <c r="M19" s="15" t="s">
        <v>30</v>
      </c>
      <c r="N19" s="22">
        <f t="shared" si="3"/>
        <v>7</v>
      </c>
      <c r="O19" s="23">
        <f t="shared" si="0"/>
        <v>6</v>
      </c>
      <c r="P19" s="11">
        <f t="shared" si="1"/>
        <v>3.97</v>
      </c>
      <c r="Q19" s="11">
        <f t="shared" si="4"/>
        <v>232</v>
      </c>
      <c r="R19" s="11">
        <f t="shared" si="5"/>
        <v>31</v>
      </c>
      <c r="S19" s="11">
        <f t="shared" si="6"/>
        <v>1602</v>
      </c>
      <c r="T19" s="11">
        <f t="shared" si="7"/>
        <v>1633</v>
      </c>
      <c r="U19" s="12">
        <f t="shared" si="8"/>
        <v>0.1336206896551724</v>
      </c>
      <c r="V19" s="13">
        <f t="shared" si="9"/>
        <v>1.2931034482758621E-2</v>
      </c>
      <c r="W19" s="13">
        <f t="shared" si="10"/>
        <v>0.75566750629722923</v>
      </c>
      <c r="X19" s="28">
        <f t="shared" si="2"/>
        <v>42934</v>
      </c>
      <c r="Y19" s="39">
        <v>0.28561151079136687</v>
      </c>
      <c r="Z19" s="2" t="s">
        <v>28</v>
      </c>
    </row>
    <row r="20" spans="1:26" x14ac:dyDescent="0.15">
      <c r="A20" s="24">
        <v>42934.876388888886</v>
      </c>
      <c r="B20" s="1" t="s">
        <v>33</v>
      </c>
      <c r="C20" s="5" t="s">
        <v>62</v>
      </c>
      <c r="D20" s="5">
        <f>400</f>
        <v>400</v>
      </c>
      <c r="E20" s="7">
        <f>D20+618</f>
        <v>1018</v>
      </c>
      <c r="F20" s="14">
        <v>988</v>
      </c>
      <c r="G20" s="21">
        <v>42934.955555555556</v>
      </c>
      <c r="H20" s="5">
        <v>1753</v>
      </c>
      <c r="I20" s="5">
        <v>0.64</v>
      </c>
      <c r="J20" s="5">
        <v>1855</v>
      </c>
      <c r="K20" s="5">
        <v>0.61</v>
      </c>
      <c r="L20" s="5">
        <v>4</v>
      </c>
      <c r="M20" s="15" t="s">
        <v>60</v>
      </c>
      <c r="N20" s="22">
        <f t="shared" si="3"/>
        <v>588</v>
      </c>
      <c r="O20" s="23">
        <f t="shared" si="0"/>
        <v>587</v>
      </c>
      <c r="P20" s="11">
        <f t="shared" si="1"/>
        <v>1.9</v>
      </c>
      <c r="Q20" s="11">
        <f t="shared" si="4"/>
        <v>102</v>
      </c>
      <c r="R20" s="11">
        <f t="shared" si="5"/>
        <v>10</v>
      </c>
      <c r="S20" s="11">
        <f t="shared" si="6"/>
        <v>1121</v>
      </c>
      <c r="T20" s="11">
        <f t="shared" si="7"/>
        <v>1131</v>
      </c>
      <c r="U20" s="12">
        <f t="shared" si="8"/>
        <v>9.8039215686274508E-2</v>
      </c>
      <c r="V20" s="13">
        <f t="shared" si="9"/>
        <v>1.4387254901960784</v>
      </c>
      <c r="W20" s="13">
        <f t="shared" si="10"/>
        <v>77.236842105263165</v>
      </c>
      <c r="X20" s="28">
        <f t="shared" si="2"/>
        <v>42934</v>
      </c>
      <c r="Y20" s="39">
        <v>0.28561151079136687</v>
      </c>
      <c r="Z20" s="2" t="s">
        <v>32</v>
      </c>
    </row>
    <row r="21" spans="1:26" x14ac:dyDescent="0.15">
      <c r="A21" s="24">
        <v>42934.876388888886</v>
      </c>
      <c r="B21" s="1" t="s">
        <v>5</v>
      </c>
      <c r="C21" s="5" t="s">
        <v>9</v>
      </c>
      <c r="D21" s="5">
        <v>200</v>
      </c>
      <c r="E21" s="7">
        <f>D21+32</f>
        <v>232</v>
      </c>
      <c r="F21" s="14">
        <v>232</v>
      </c>
      <c r="G21" s="21">
        <v>42934.986805555556</v>
      </c>
      <c r="H21" s="5">
        <v>1674</v>
      </c>
      <c r="I21" s="5">
        <v>0.63</v>
      </c>
      <c r="J21" s="5">
        <v>1830</v>
      </c>
      <c r="K21" s="5">
        <v>0.6</v>
      </c>
      <c r="L21" s="5">
        <v>2</v>
      </c>
      <c r="M21" s="15" t="s">
        <v>30</v>
      </c>
      <c r="N21" s="22">
        <f t="shared" si="3"/>
        <v>32</v>
      </c>
      <c r="O21" s="23">
        <f t="shared" si="0"/>
        <v>30</v>
      </c>
      <c r="P21" s="11">
        <f t="shared" si="1"/>
        <v>2.65</v>
      </c>
      <c r="Q21" s="11">
        <f t="shared" si="4"/>
        <v>156</v>
      </c>
      <c r="R21" s="11">
        <f t="shared" si="5"/>
        <v>44</v>
      </c>
      <c r="S21" s="11">
        <f t="shared" si="6"/>
        <v>1054</v>
      </c>
      <c r="T21" s="11">
        <f t="shared" si="7"/>
        <v>1098</v>
      </c>
      <c r="U21" s="12">
        <f t="shared" si="8"/>
        <v>0.28205128205128205</v>
      </c>
      <c r="V21" s="13">
        <f t="shared" si="9"/>
        <v>9.6153846153846159E-2</v>
      </c>
      <c r="W21" s="13">
        <f t="shared" si="10"/>
        <v>5.6603773584905666</v>
      </c>
      <c r="X21" s="28">
        <f t="shared" si="2"/>
        <v>42934</v>
      </c>
      <c r="Y21" s="39">
        <v>0.28561151079136687</v>
      </c>
      <c r="Z21" s="2" t="s">
        <v>8</v>
      </c>
    </row>
    <row r="22" spans="1:26" x14ac:dyDescent="0.15">
      <c r="A22" s="24">
        <v>42934.955555555556</v>
      </c>
      <c r="B22" s="1" t="s">
        <v>33</v>
      </c>
      <c r="C22" s="5" t="s">
        <v>34</v>
      </c>
      <c r="D22" s="5">
        <v>200</v>
      </c>
      <c r="E22" s="7">
        <f>D22+177</f>
        <v>377</v>
      </c>
      <c r="F22" s="14">
        <v>369</v>
      </c>
      <c r="G22" s="21">
        <v>42935.03402777778</v>
      </c>
      <c r="H22" s="5">
        <v>1855</v>
      </c>
      <c r="I22" s="5">
        <v>0.61</v>
      </c>
      <c r="J22" s="5">
        <v>1967</v>
      </c>
      <c r="K22" s="5">
        <v>0.59</v>
      </c>
      <c r="L22" s="5">
        <v>2</v>
      </c>
      <c r="M22" s="15" t="s">
        <v>30</v>
      </c>
      <c r="N22" s="22">
        <f t="shared" si="3"/>
        <v>169</v>
      </c>
      <c r="O22" s="23">
        <f t="shared" si="0"/>
        <v>168</v>
      </c>
      <c r="P22" s="11">
        <f t="shared" si="1"/>
        <v>1.88</v>
      </c>
      <c r="Q22" s="11">
        <f t="shared" si="4"/>
        <v>112</v>
      </c>
      <c r="R22" s="11">
        <f t="shared" si="5"/>
        <v>29</v>
      </c>
      <c r="S22" s="11">
        <f t="shared" si="6"/>
        <v>1131</v>
      </c>
      <c r="T22" s="11">
        <f t="shared" si="7"/>
        <v>1160</v>
      </c>
      <c r="U22" s="12">
        <f t="shared" si="8"/>
        <v>0.25892857142857145</v>
      </c>
      <c r="V22" s="13">
        <f t="shared" si="9"/>
        <v>0.75</v>
      </c>
      <c r="W22" s="13">
        <f t="shared" si="10"/>
        <v>44.680851063829792</v>
      </c>
      <c r="X22" s="28">
        <f t="shared" si="2"/>
        <v>42934</v>
      </c>
      <c r="Y22" s="39">
        <v>0.28561151079136687</v>
      </c>
      <c r="Z22" s="2" t="s">
        <v>32</v>
      </c>
    </row>
    <row r="23" spans="1:26" s="30" customFormat="1" x14ac:dyDescent="0.15">
      <c r="A23" s="29">
        <v>42936.855555555558</v>
      </c>
      <c r="B23" s="30" t="s">
        <v>7</v>
      </c>
      <c r="C23" s="31" t="s">
        <v>61</v>
      </c>
      <c r="D23" s="31">
        <f>200</f>
        <v>200</v>
      </c>
      <c r="E23" s="32">
        <f>D23+150</f>
        <v>350</v>
      </c>
      <c r="F23" s="32">
        <v>342</v>
      </c>
      <c r="G23" s="33">
        <v>42936.959722222222</v>
      </c>
      <c r="H23" s="31">
        <v>2320</v>
      </c>
      <c r="I23" s="31">
        <v>0.63</v>
      </c>
      <c r="J23" s="31">
        <v>2422</v>
      </c>
      <c r="K23" s="31">
        <v>0.61</v>
      </c>
      <c r="L23" s="31">
        <v>2</v>
      </c>
      <c r="M23" s="34" t="s">
        <v>30</v>
      </c>
      <c r="N23" s="32">
        <f t="shared" si="3"/>
        <v>142</v>
      </c>
      <c r="O23" s="31">
        <f t="shared" si="0"/>
        <v>142</v>
      </c>
      <c r="P23" s="30">
        <f t="shared" si="1"/>
        <v>2.5</v>
      </c>
      <c r="Q23" s="30">
        <f t="shared" si="4"/>
        <v>102</v>
      </c>
      <c r="R23" s="30">
        <f t="shared" si="5"/>
        <v>16</v>
      </c>
      <c r="S23" s="30">
        <f t="shared" si="6"/>
        <v>1461</v>
      </c>
      <c r="T23" s="30">
        <f t="shared" si="7"/>
        <v>1477</v>
      </c>
      <c r="U23" s="35">
        <f t="shared" si="8"/>
        <v>0.15686274509803921</v>
      </c>
      <c r="V23" s="36">
        <f t="shared" si="9"/>
        <v>0.69607843137254899</v>
      </c>
      <c r="W23" s="36">
        <f t="shared" si="10"/>
        <v>28.4</v>
      </c>
      <c r="X23" s="37">
        <f t="shared" si="2"/>
        <v>42936</v>
      </c>
      <c r="Y23" s="39">
        <f>MAX($P$23:$P$24)/SUBTOTAL(109,$P$23:$P$24)</f>
        <v>0.51267056530214428</v>
      </c>
      <c r="Z23" s="38" t="s">
        <v>8</v>
      </c>
    </row>
    <row r="24" spans="1:26" s="30" customFormat="1" x14ac:dyDescent="0.15">
      <c r="A24" s="29">
        <v>42936.855555555558</v>
      </c>
      <c r="B24" s="30" t="s">
        <v>33</v>
      </c>
      <c r="C24" s="31" t="s">
        <v>38</v>
      </c>
      <c r="D24" s="31">
        <f>200+200</f>
        <v>400</v>
      </c>
      <c r="E24" s="32">
        <f>D24-132</f>
        <v>268</v>
      </c>
      <c r="F24" s="32">
        <v>268</v>
      </c>
      <c r="G24" s="33">
        <v>42936.965277777781</v>
      </c>
      <c r="H24" s="31">
        <v>1967</v>
      </c>
      <c r="I24" s="31">
        <v>0.59</v>
      </c>
      <c r="J24" s="31">
        <v>2117</v>
      </c>
      <c r="K24" s="31">
        <v>0.56999999999999995</v>
      </c>
      <c r="L24" s="31">
        <v>2</v>
      </c>
      <c r="M24" s="34" t="s">
        <v>30</v>
      </c>
      <c r="N24" s="32">
        <f t="shared" si="3"/>
        <v>-132</v>
      </c>
      <c r="O24" s="31">
        <f t="shared" si="0"/>
        <v>-132</v>
      </c>
      <c r="P24" s="30">
        <f t="shared" si="1"/>
        <v>2.63</v>
      </c>
      <c r="Q24" s="30">
        <f t="shared" si="4"/>
        <v>150</v>
      </c>
      <c r="R24" s="30">
        <f t="shared" si="5"/>
        <v>46</v>
      </c>
      <c r="S24" s="30">
        <f t="shared" si="6"/>
        <v>1160</v>
      </c>
      <c r="T24" s="30">
        <f t="shared" si="7"/>
        <v>1206</v>
      </c>
      <c r="U24" s="35">
        <f>R24/Q24</f>
        <v>0.30666666666666664</v>
      </c>
      <c r="V24" s="36">
        <f t="shared" si="9"/>
        <v>-0.44</v>
      </c>
      <c r="W24" s="36">
        <f t="shared" si="10"/>
        <v>-25.095057034220535</v>
      </c>
      <c r="X24" s="37">
        <f t="shared" si="2"/>
        <v>42936</v>
      </c>
      <c r="Y24" s="39">
        <f>MAX($P$23:$P$24)/SUBTOTAL(109,$P$23:$P$24)</f>
        <v>0.51267056530214428</v>
      </c>
      <c r="Z24" s="38" t="s">
        <v>32</v>
      </c>
    </row>
    <row r="25" spans="1:26" x14ac:dyDescent="0.15">
      <c r="A25" s="24">
        <v>42938.878472222219</v>
      </c>
      <c r="B25" s="1" t="s">
        <v>26</v>
      </c>
      <c r="C25" s="5" t="s">
        <v>27</v>
      </c>
      <c r="D25" s="5">
        <f>200</f>
        <v>200</v>
      </c>
      <c r="E25" s="7">
        <v>189</v>
      </c>
      <c r="G25" s="24">
        <v>42939.000011574077</v>
      </c>
      <c r="H25" s="5">
        <v>2816</v>
      </c>
      <c r="I25" s="5">
        <v>0.57999999999999996</v>
      </c>
      <c r="J25" s="5">
        <v>2997</v>
      </c>
      <c r="K25" s="5">
        <v>0.55000000000000004</v>
      </c>
      <c r="L25" s="5">
        <v>2</v>
      </c>
      <c r="M25" s="15" t="s">
        <v>30</v>
      </c>
      <c r="N25" s="22">
        <f t="shared" si="3"/>
        <v>-200</v>
      </c>
      <c r="O25" s="23">
        <f t="shared" si="0"/>
        <v>-11</v>
      </c>
      <c r="P25" s="11">
        <f t="shared" si="1"/>
        <v>2.92</v>
      </c>
      <c r="Q25" s="11">
        <f t="shared" si="4"/>
        <v>181</v>
      </c>
      <c r="R25" s="11">
        <f t="shared" si="5"/>
        <v>15</v>
      </c>
      <c r="S25" s="11">
        <f t="shared" si="6"/>
        <v>1633</v>
      </c>
      <c r="T25" s="11">
        <f t="shared" si="7"/>
        <v>1648</v>
      </c>
      <c r="U25" s="12">
        <f t="shared" ref="U25:U28" si="11">R25/Q25</f>
        <v>8.2872928176795577E-2</v>
      </c>
      <c r="V25" s="13">
        <f t="shared" si="9"/>
        <v>-3.0386740331491711E-2</v>
      </c>
      <c r="W25" s="13">
        <f t="shared" si="10"/>
        <v>-1.8835616438356164</v>
      </c>
      <c r="X25" s="28">
        <f t="shared" si="2"/>
        <v>42938</v>
      </c>
      <c r="Y25" s="39">
        <f>MAX($P$25:$P$28)/SUBTOTAL(109,$P$25:$P$28)</f>
        <v>0.27222731439046749</v>
      </c>
      <c r="Z25" s="2" t="s">
        <v>28</v>
      </c>
    </row>
    <row r="26" spans="1:26" x14ac:dyDescent="0.15">
      <c r="A26" s="24">
        <v>42938.878472222219</v>
      </c>
      <c r="B26" s="1" t="s">
        <v>5</v>
      </c>
      <c r="C26" s="5" t="s">
        <v>9</v>
      </c>
      <c r="D26" s="5">
        <f>400</f>
        <v>400</v>
      </c>
      <c r="E26" s="7">
        <f>D26+274</f>
        <v>674</v>
      </c>
      <c r="F26" s="14">
        <v>665</v>
      </c>
      <c r="G26" s="24">
        <v>42938.982638888891</v>
      </c>
      <c r="H26" s="5">
        <v>1830</v>
      </c>
      <c r="I26" s="5">
        <v>0.6</v>
      </c>
      <c r="J26" s="5">
        <v>1994</v>
      </c>
      <c r="K26" s="5">
        <v>0.56000000000000005</v>
      </c>
      <c r="L26" s="5">
        <v>4</v>
      </c>
      <c r="M26" s="15" t="s">
        <v>60</v>
      </c>
      <c r="N26" s="22">
        <f t="shared" si="3"/>
        <v>265</v>
      </c>
      <c r="O26" s="23">
        <f t="shared" si="0"/>
        <v>260</v>
      </c>
      <c r="P26" s="11">
        <f t="shared" si="1"/>
        <v>2.5</v>
      </c>
      <c r="Q26" s="11">
        <f t="shared" si="4"/>
        <v>164</v>
      </c>
      <c r="R26" s="11">
        <f t="shared" si="5"/>
        <v>18</v>
      </c>
      <c r="S26" s="11">
        <f t="shared" si="6"/>
        <v>1098</v>
      </c>
      <c r="T26" s="11">
        <f t="shared" si="7"/>
        <v>1116</v>
      </c>
      <c r="U26" s="12">
        <f t="shared" si="11"/>
        <v>0.10975609756097561</v>
      </c>
      <c r="V26" s="13">
        <f t="shared" si="9"/>
        <v>0.39634146341463417</v>
      </c>
      <c r="W26" s="13">
        <f t="shared" si="10"/>
        <v>26</v>
      </c>
      <c r="X26" s="28">
        <f t="shared" si="2"/>
        <v>42938</v>
      </c>
      <c r="Y26" s="39">
        <f>MAX($P$25:$P$28)/SUBTOTAL(109,$P$25:$P$28)</f>
        <v>0.27222731439046749</v>
      </c>
      <c r="Z26" s="2" t="s">
        <v>8</v>
      </c>
    </row>
    <row r="27" spans="1:26" x14ac:dyDescent="0.15">
      <c r="A27" s="24">
        <v>42938.884027777778</v>
      </c>
      <c r="B27" s="1" t="s">
        <v>33</v>
      </c>
      <c r="C27" s="5" t="s">
        <v>62</v>
      </c>
      <c r="D27" s="5">
        <f>400+400+1000</f>
        <v>1800</v>
      </c>
      <c r="E27" s="7">
        <f>D27-828</f>
        <v>972</v>
      </c>
      <c r="F27" s="14">
        <v>972</v>
      </c>
      <c r="G27" s="24">
        <v>42938.988888888889</v>
      </c>
      <c r="H27" s="5">
        <v>2117</v>
      </c>
      <c r="I27" s="5">
        <v>0.56999999999999995</v>
      </c>
      <c r="J27" s="5">
        <v>2265</v>
      </c>
      <c r="K27" s="5">
        <v>0.55000000000000004</v>
      </c>
      <c r="L27" s="5">
        <v>4</v>
      </c>
      <c r="M27" s="15" t="s">
        <v>60</v>
      </c>
      <c r="N27" s="22">
        <f t="shared" si="3"/>
        <v>-828</v>
      </c>
      <c r="O27" s="23">
        <f t="shared" si="0"/>
        <v>-828</v>
      </c>
      <c r="P27" s="11">
        <f t="shared" si="1"/>
        <v>2.52</v>
      </c>
      <c r="Q27" s="11">
        <f t="shared" si="4"/>
        <v>148</v>
      </c>
      <c r="R27" s="11">
        <f t="shared" si="5"/>
        <v>39</v>
      </c>
      <c r="S27" s="11">
        <f t="shared" si="6"/>
        <v>1206</v>
      </c>
      <c r="T27" s="11">
        <f t="shared" si="7"/>
        <v>1245</v>
      </c>
      <c r="U27" s="12">
        <f t="shared" si="11"/>
        <v>0.26351351351351349</v>
      </c>
      <c r="V27" s="13">
        <f t="shared" si="9"/>
        <v>-1.3986486486486487</v>
      </c>
      <c r="W27" s="13">
        <f t="shared" si="10"/>
        <v>-82.142857142857139</v>
      </c>
      <c r="X27" s="28">
        <f t="shared" si="2"/>
        <v>42938</v>
      </c>
      <c r="Y27" s="39">
        <f>MAX($P$25:$P$28)/SUBTOTAL(109,$P$25:$P$28)</f>
        <v>0.27222731439046749</v>
      </c>
      <c r="Z27" s="2" t="s">
        <v>32</v>
      </c>
    </row>
    <row r="28" spans="1:26" x14ac:dyDescent="0.15">
      <c r="A28" s="24">
        <v>42938.876388888886</v>
      </c>
      <c r="B28" s="1" t="s">
        <v>7</v>
      </c>
      <c r="C28" s="5" t="s">
        <v>61</v>
      </c>
      <c r="D28" s="5">
        <v>200</v>
      </c>
      <c r="E28" s="7">
        <v>215</v>
      </c>
      <c r="F28" s="14">
        <v>215</v>
      </c>
      <c r="G28" s="24">
        <v>42939.000011574077</v>
      </c>
      <c r="H28" s="5">
        <v>2422</v>
      </c>
      <c r="I28" s="5">
        <v>0.61</v>
      </c>
      <c r="J28" s="5">
        <v>2557</v>
      </c>
      <c r="K28" s="5">
        <v>0.59</v>
      </c>
      <c r="L28" s="5">
        <v>2</v>
      </c>
      <c r="M28" s="15" t="s">
        <v>30</v>
      </c>
      <c r="N28" s="22">
        <f t="shared" si="3"/>
        <v>15</v>
      </c>
      <c r="O28" s="23">
        <f t="shared" si="0"/>
        <v>14</v>
      </c>
      <c r="P28" s="11">
        <f t="shared" si="1"/>
        <v>2.97</v>
      </c>
      <c r="Q28" s="11">
        <f t="shared" si="4"/>
        <v>135</v>
      </c>
      <c r="R28" s="11">
        <f t="shared" si="5"/>
        <v>31</v>
      </c>
      <c r="S28" s="11">
        <f t="shared" si="6"/>
        <v>1477</v>
      </c>
      <c r="T28" s="11">
        <f t="shared" si="7"/>
        <v>1508</v>
      </c>
      <c r="U28" s="12">
        <f t="shared" si="11"/>
        <v>0.22962962962962963</v>
      </c>
      <c r="V28" s="13">
        <f t="shared" si="9"/>
        <v>5.185185185185185E-2</v>
      </c>
      <c r="W28" s="13">
        <f t="shared" si="10"/>
        <v>2.3569023569023568</v>
      </c>
      <c r="X28" s="28">
        <f t="shared" si="2"/>
        <v>42938</v>
      </c>
      <c r="Y28" s="39">
        <f>MAX($P$25:$P$28)/SUBTOTAL(109,$P$25:$P$28)</f>
        <v>0.27222731439046749</v>
      </c>
      <c r="Z28" s="2" t="s">
        <v>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rec</vt:lpstr>
      <vt:lpstr>tips</vt:lpstr>
      <vt:lpstr>tmplt</vt:lpstr>
      <vt:lpstr>sum_tmplt</vt:lpstr>
      <vt:lpstr>tmp_rec_club</vt:lpstr>
      <vt:lpstr>rec_unusual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</dc:creator>
  <cp:lastModifiedBy>Administrator</cp:lastModifiedBy>
  <dcterms:created xsi:type="dcterms:W3CDTF">2017-07-08T07:05:05Z</dcterms:created>
  <dcterms:modified xsi:type="dcterms:W3CDTF">2017-08-01T04:02:34Z</dcterms:modified>
</cp:coreProperties>
</file>