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ateofalaska-my.sharepoint.com/personal/dom_pannone_alaska_gov/Documents/Log/2022.08.14 - M&amp;O Budget/"/>
    </mc:Choice>
  </mc:AlternateContent>
  <xr:revisionPtr revIDLastSave="0" documentId="8_{85D2B61B-4683-4308-80D9-58F13CBD75E9}" xr6:coauthVersionLast="47" xr6:coauthVersionMax="47" xr10:uidLastSave="{00000000-0000-0000-0000-000000000000}"/>
  <bookViews>
    <workbookView xWindow="-98" yWindow="-98" windowWidth="23236" windowHeight="13681" firstSheet="7" activeTab="7" xr2:uid="{00000000-000D-0000-FFFF-FFFF00000000}"/>
  </bookViews>
  <sheets>
    <sheet name="M&amp;O" sheetId="3" state="hidden" r:id="rId1"/>
    <sheet name="StationMileage2021" sheetId="9" state="hidden" r:id="rId2"/>
    <sheet name="scratch pad 1" sheetId="5" state="hidden" r:id="rId3"/>
    <sheet name="vba_vars" sheetId="11" state="hidden" r:id="rId4"/>
    <sheet name="test_data" sheetId="12" state="hidden" r:id="rId5"/>
    <sheet name="Rural Airports" sheetId="10" r:id="rId6"/>
    <sheet name="Overview" sheetId="6" r:id="rId7"/>
    <sheet name="Budget Overview" sheetId="7" r:id="rId8"/>
    <sheet name="CR Other" sheetId="13" r:id="rId9"/>
    <sheet name="Anchorage" sheetId="14" r:id="rId10"/>
    <sheet name="Girdwood" sheetId="15" r:id="rId11"/>
    <sheet name="Crown Point Station" sheetId="16" r:id="rId12"/>
    <sheet name="Homer" sheetId="17" r:id="rId13"/>
    <sheet name="Homer Airport" sheetId="18" r:id="rId14"/>
    <sheet name="Ninilchik" sheetId="19" r:id="rId15"/>
    <sheet name="North Kenai" sheetId="20" r:id="rId16"/>
    <sheet name="Quartz Creek" sheetId="21" r:id="rId17"/>
    <sheet name="Seldovia" sheetId="22" r:id="rId18"/>
    <sheet name="Silvertip" sheetId="23" r:id="rId19"/>
    <sheet name="Soldotna" sheetId="24" r:id="rId20"/>
    <sheet name="Cascade" sheetId="25" r:id="rId21"/>
    <sheet name="Chulitna" sheetId="26" r:id="rId22"/>
    <sheet name="Mcgrath" sheetId="27" r:id="rId23"/>
    <sheet name="Palmer" sheetId="28" r:id="rId24"/>
    <sheet name="Talkeetna" sheetId="29" r:id="rId25"/>
    <sheet name="Willow" sheetId="30" r:id="rId26"/>
    <sheet name="Aniak" sheetId="31" r:id="rId27"/>
    <sheet name="Bethel" sheetId="32" r:id="rId28"/>
    <sheet name="Dillingham" sheetId="33" r:id="rId29"/>
    <sheet name="NR Other" sheetId="34" r:id="rId30"/>
    <sheet name="Barrow" sheetId="35" r:id="rId31"/>
    <sheet name="Chandalar" sheetId="36" r:id="rId32"/>
    <sheet name="Coldfoot" sheetId="37" r:id="rId33"/>
    <sheet name="Deadhorse" sheetId="38" r:id="rId34"/>
    <sheet name="Jim River" sheetId="39" r:id="rId35"/>
    <sheet name="Livengood" sheetId="40" r:id="rId36"/>
    <sheet name="Manley Hot Springs" sheetId="41" r:id="rId37"/>
    <sheet name="Sag River" sheetId="42" r:id="rId38"/>
    <sheet name="Seven Mile" sheetId="43" r:id="rId39"/>
    <sheet name="Cantwell" sheetId="44" r:id="rId40"/>
    <sheet name="Healy" sheetId="45" r:id="rId41"/>
    <sheet name="Nenana" sheetId="46" r:id="rId42"/>
    <sheet name="Birch Lake" sheetId="47" r:id="rId43"/>
    <sheet name="Central" sheetId="48" r:id="rId44"/>
    <sheet name="Fairbanks" sheetId="49" r:id="rId45"/>
    <sheet name="Montana Creek" sheetId="50" r:id="rId46"/>
    <sheet name="Galena" sheetId="51" r:id="rId47"/>
    <sheet name="Ernestine" sheetId="52" r:id="rId48"/>
    <sheet name="Nelchina" sheetId="53" r:id="rId49"/>
    <sheet name="Paxson" sheetId="54" r:id="rId50"/>
    <sheet name="Slana" sheetId="55" r:id="rId51"/>
    <sheet name="Tazlina" sheetId="56" r:id="rId52"/>
    <sheet name="Delta Junction" sheetId="57" r:id="rId53"/>
    <sheet name="Eagle" sheetId="58" r:id="rId54"/>
    <sheet name="Northway" sheetId="59" r:id="rId55"/>
    <sheet name="South Fork" sheetId="60" r:id="rId56"/>
    <sheet name="Tok" sheetId="61" r:id="rId57"/>
    <sheet name="Trims" sheetId="62" r:id="rId58"/>
    <sheet name="Cordova" sheetId="63" r:id="rId59"/>
    <sheet name="Thompson Pass" sheetId="64" r:id="rId60"/>
    <sheet name="Valdez" sheetId="65" r:id="rId61"/>
    <sheet name="Valdez Airport" sheetId="66" r:id="rId62"/>
    <sheet name="Bear Creek" sheetId="67" r:id="rId63"/>
    <sheet name="Cottonwood" sheetId="68" r:id="rId64"/>
    <sheet name="Kotzebue" sheetId="69" r:id="rId65"/>
    <sheet name="Nome" sheetId="70" r:id="rId66"/>
    <sheet name="Nome Airport" sheetId="71" r:id="rId67"/>
    <sheet name="Saint Marys" sheetId="72" r:id="rId68"/>
    <sheet name="Teller" sheetId="73" r:id="rId69"/>
    <sheet name="Unalakleet" sheetId="74" r:id="rId70"/>
    <sheet name="SC Other" sheetId="75" r:id="rId71"/>
    <sheet name="Adak Station" sheetId="76" r:id="rId72"/>
    <sheet name="Akun" sheetId="77" r:id="rId73"/>
    <sheet name="Cold Bay" sheetId="78" r:id="rId74"/>
    <sheet name="Iliamna" sheetId="79" r:id="rId75"/>
    <sheet name="Kalsin Bay" sheetId="80" r:id="rId76"/>
    <sheet name="King Salmon" sheetId="81" r:id="rId77"/>
    <sheet name="Kodiak" sheetId="82" r:id="rId78"/>
    <sheet name="Unalaska" sheetId="83" r:id="rId79"/>
    <sheet name="Coffman Cove" sheetId="84" r:id="rId80"/>
    <sheet name="Gustavus" sheetId="85" r:id="rId81"/>
    <sheet name="Haines" sheetId="86" r:id="rId82"/>
    <sheet name="Hoonah" sheetId="87" r:id="rId83"/>
    <sheet name="Juneau" sheetId="88" r:id="rId84"/>
    <sheet name="Ketchikan" sheetId="89" r:id="rId85"/>
    <sheet name="Klawock" sheetId="90" r:id="rId86"/>
    <sheet name="Petersburg" sheetId="91" r:id="rId87"/>
    <sheet name="Sitka" sheetId="92" r:id="rId88"/>
    <sheet name="Skagway" sheetId="93" r:id="rId89"/>
    <sheet name="Wrangell" sheetId="94" r:id="rId90"/>
    <sheet name="Yakutat" sheetId="95" r:id="rId91"/>
  </sheets>
  <definedNames>
    <definedName name="_xlnm._FilterDatabase" localSheetId="7" hidden="1">'Budget Overview'!$A$1:$R$84</definedName>
    <definedName name="_xlnm._FilterDatabase" localSheetId="0" hidden="1">'M&amp;O'!$A$1:$C$82</definedName>
    <definedName name="_xlnm._FilterDatabase" localSheetId="5" hidden="1">'Rural Airports'!$A$1:$E$1</definedName>
    <definedName name="StationMileage">StationMileage2021!$A$1:$B$77</definedName>
  </definedNames>
  <calcPr calcId="191029"/>
  <pivotCaches>
    <pivotCache cacheId="0" r:id="rId9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" i="7" l="1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22" i="95"/>
  <c r="A20" i="95"/>
  <c r="A18" i="95"/>
  <c r="C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22" i="94"/>
  <c r="A20" i="94" s="1"/>
  <c r="A18" i="94"/>
  <c r="C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22" i="93"/>
  <c r="A20" i="93" s="1"/>
  <c r="A18" i="93"/>
  <c r="C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22" i="92"/>
  <c r="A20" i="92"/>
  <c r="A18" i="92"/>
  <c r="C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A22" i="91"/>
  <c r="A20" i="91" s="1"/>
  <c r="A18" i="91"/>
  <c r="C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A22" i="90"/>
  <c r="A20" i="90" s="1"/>
  <c r="A18" i="90"/>
  <c r="C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A22" i="89"/>
  <c r="A20" i="89"/>
  <c r="A18" i="89"/>
  <c r="C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A22" i="88"/>
  <c r="A20" i="88"/>
  <c r="A18" i="88"/>
  <c r="C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A22" i="87"/>
  <c r="A20" i="87" s="1"/>
  <c r="A18" i="87"/>
  <c r="C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A22" i="86"/>
  <c r="A20" i="86" s="1"/>
  <c r="A18" i="86"/>
  <c r="C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A22" i="85"/>
  <c r="A20" i="85" s="1"/>
  <c r="A18" i="85"/>
  <c r="C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22" i="84"/>
  <c r="A20" i="84" s="1"/>
  <c r="A18" i="84"/>
  <c r="C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22" i="83"/>
  <c r="A20" i="83" s="1"/>
  <c r="A18" i="83"/>
  <c r="C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22" i="82"/>
  <c r="A20" i="82"/>
  <c r="A18" i="82"/>
  <c r="C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22" i="81"/>
  <c r="A20" i="81" s="1"/>
  <c r="A18" i="81"/>
  <c r="C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22" i="80"/>
  <c r="A20" i="80"/>
  <c r="A18" i="80"/>
  <c r="C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22" i="79"/>
  <c r="A20" i="79"/>
  <c r="A18" i="79"/>
  <c r="C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22" i="78"/>
  <c r="A20" i="78"/>
  <c r="A18" i="78"/>
  <c r="C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22" i="77"/>
  <c r="A20" i="77"/>
  <c r="A18" i="77"/>
  <c r="C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22" i="76"/>
  <c r="A20" i="76" s="1"/>
  <c r="A18" i="76"/>
  <c r="C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22" i="75"/>
  <c r="A20" i="75" s="1"/>
  <c r="A18" i="75"/>
  <c r="C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22" i="74"/>
  <c r="A20" i="74"/>
  <c r="A18" i="74"/>
  <c r="C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22" i="73"/>
  <c r="A20" i="73" s="1"/>
  <c r="A18" i="73"/>
  <c r="C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22" i="72"/>
  <c r="A20" i="72" s="1"/>
  <c r="A18" i="72"/>
  <c r="C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22" i="71"/>
  <c r="A20" i="71"/>
  <c r="A18" i="71"/>
  <c r="C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22" i="70"/>
  <c r="A20" i="70"/>
  <c r="A18" i="70"/>
  <c r="C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22" i="69"/>
  <c r="A20" i="69" s="1"/>
  <c r="A18" i="69"/>
  <c r="C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22" i="68"/>
  <c r="A20" i="68"/>
  <c r="A18" i="68"/>
  <c r="C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A22" i="67"/>
  <c r="A20" i="67" s="1"/>
  <c r="A18" i="67"/>
  <c r="C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A22" i="66"/>
  <c r="A20" i="66"/>
  <c r="A18" i="66"/>
  <c r="C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22" i="65"/>
  <c r="A20" i="65"/>
  <c r="A18" i="65"/>
  <c r="C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22" i="64"/>
  <c r="A20" i="64" s="1"/>
  <c r="A18" i="64"/>
  <c r="C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22" i="63"/>
  <c r="A20" i="63" s="1"/>
  <c r="A18" i="63"/>
  <c r="C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22" i="62"/>
  <c r="A20" i="62" s="1"/>
  <c r="A18" i="62"/>
  <c r="C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22" i="61"/>
  <c r="A20" i="61"/>
  <c r="A18" i="61"/>
  <c r="C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A22" i="60"/>
  <c r="A20" i="60" s="1"/>
  <c r="A18" i="60"/>
  <c r="C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A22" i="59"/>
  <c r="A20" i="59"/>
  <c r="A18" i="59"/>
  <c r="C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A22" i="58"/>
  <c r="A20" i="58"/>
  <c r="A18" i="58"/>
  <c r="C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A22" i="57"/>
  <c r="A20" i="57"/>
  <c r="A18" i="57"/>
  <c r="C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A22" i="56"/>
  <c r="A20" i="56" s="1"/>
  <c r="A18" i="56"/>
  <c r="C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A22" i="55"/>
  <c r="A20" i="55"/>
  <c r="A18" i="55"/>
  <c r="C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A22" i="54"/>
  <c r="A20" i="54"/>
  <c r="A18" i="54"/>
  <c r="C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A22" i="53"/>
  <c r="A20" i="53"/>
  <c r="A18" i="53"/>
  <c r="C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22" i="52"/>
  <c r="A20" i="52" s="1"/>
  <c r="A18" i="52"/>
  <c r="C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A22" i="51"/>
  <c r="A20" i="51" s="1"/>
  <c r="A18" i="51"/>
  <c r="C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A22" i="50"/>
  <c r="A20" i="50" s="1"/>
  <c r="A18" i="50"/>
  <c r="C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A22" i="49"/>
  <c r="A20" i="49" s="1"/>
  <c r="A18" i="49"/>
  <c r="C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A22" i="48"/>
  <c r="A20" i="48" s="1"/>
  <c r="A18" i="48"/>
  <c r="C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A22" i="47"/>
  <c r="A20" i="47"/>
  <c r="A18" i="47"/>
  <c r="C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22" i="46"/>
  <c r="A20" i="46" s="1"/>
  <c r="A18" i="46"/>
  <c r="C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22" i="45"/>
  <c r="A20" i="45" s="1"/>
  <c r="A18" i="45"/>
  <c r="C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22" i="44"/>
  <c r="A20" i="44" s="1"/>
  <c r="A18" i="44"/>
  <c r="C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22" i="43"/>
  <c r="A20" i="43"/>
  <c r="A18" i="43"/>
  <c r="C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22" i="42"/>
  <c r="A20" i="42" s="1"/>
  <c r="A18" i="42"/>
  <c r="C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22" i="41"/>
  <c r="A20" i="41" s="1"/>
  <c r="A18" i="41"/>
  <c r="C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22" i="40"/>
  <c r="A20" i="40" s="1"/>
  <c r="A18" i="40"/>
  <c r="C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22" i="39"/>
  <c r="A20" i="39"/>
  <c r="A18" i="39"/>
  <c r="C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22" i="38"/>
  <c r="A20" i="38" s="1"/>
  <c r="A18" i="38"/>
  <c r="C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22" i="37"/>
  <c r="A20" i="37" s="1"/>
  <c r="A18" i="37"/>
  <c r="C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22" i="36"/>
  <c r="A20" i="36" s="1"/>
  <c r="A18" i="36"/>
  <c r="C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22" i="35"/>
  <c r="A20" i="35"/>
  <c r="A18" i="35"/>
  <c r="C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22" i="34"/>
  <c r="A20" i="34"/>
  <c r="A18" i="34"/>
  <c r="C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22" i="33"/>
  <c r="A20" i="33" s="1"/>
  <c r="A18" i="33"/>
  <c r="C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22" i="32"/>
  <c r="A20" i="32" s="1"/>
  <c r="A18" i="32"/>
  <c r="C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22" i="31"/>
  <c r="A20" i="31" s="1"/>
  <c r="A18" i="31"/>
  <c r="C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22" i="30"/>
  <c r="A20" i="30" s="1"/>
  <c r="A18" i="30"/>
  <c r="C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22" i="29"/>
  <c r="A20" i="29" s="1"/>
  <c r="A18" i="29"/>
  <c r="C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22" i="28"/>
  <c r="A20" i="28" s="1"/>
  <c r="A18" i="28"/>
  <c r="C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22" i="27"/>
  <c r="A20" i="27"/>
  <c r="A18" i="27"/>
  <c r="C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A22" i="26"/>
  <c r="A20" i="26" s="1"/>
  <c r="A18" i="26"/>
  <c r="C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22" i="25"/>
  <c r="A20" i="25" s="1"/>
  <c r="A18" i="25"/>
  <c r="C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22" i="24"/>
  <c r="A20" i="24" s="1"/>
  <c r="A18" i="24"/>
  <c r="C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22" i="23"/>
  <c r="A20" i="23" s="1"/>
  <c r="A18" i="23"/>
  <c r="C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22" i="22"/>
  <c r="A20" i="22" s="1"/>
  <c r="A18" i="22"/>
  <c r="C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22" i="21"/>
  <c r="A20" i="21" s="1"/>
  <c r="A18" i="21"/>
  <c r="C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22" i="20"/>
  <c r="A20" i="20"/>
  <c r="A18" i="20"/>
  <c r="C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22" i="19"/>
  <c r="A20" i="19" s="1"/>
  <c r="A18" i="19"/>
  <c r="C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22" i="18"/>
  <c r="A20" i="18" s="1"/>
  <c r="A18" i="18"/>
  <c r="C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22" i="17"/>
  <c r="A20" i="17" s="1"/>
  <c r="A18" i="17"/>
  <c r="C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A22" i="16"/>
  <c r="A20" i="16"/>
  <c r="A18" i="16"/>
  <c r="C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22" i="15"/>
  <c r="A20" i="15"/>
  <c r="A18" i="15"/>
  <c r="C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A22" i="14"/>
  <c r="A20" i="14"/>
  <c r="A18" i="14"/>
  <c r="C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A22" i="13"/>
  <c r="A20" i="13" s="1"/>
  <c r="A18" i="13"/>
  <c r="A1" i="95"/>
  <c r="A1" i="94"/>
  <c r="A1" i="93"/>
  <c r="A1" i="92"/>
  <c r="A1" i="91"/>
  <c r="A1" i="90"/>
  <c r="A1" i="89"/>
  <c r="A1" i="88"/>
  <c r="A1" i="87"/>
  <c r="A1" i="86"/>
  <c r="A1" i="85"/>
  <c r="A1" i="84"/>
  <c r="A1" i="83"/>
  <c r="A1" i="82"/>
  <c r="A1" i="81"/>
  <c r="A1" i="80"/>
  <c r="A1" i="79"/>
  <c r="A1" i="78"/>
  <c r="A1" i="77"/>
  <c r="A1" i="76"/>
  <c r="A1" i="75"/>
  <c r="A1" i="74"/>
  <c r="A1" i="73"/>
  <c r="A1" i="72"/>
  <c r="A1" i="71"/>
  <c r="A1" i="70"/>
  <c r="A1" i="69"/>
  <c r="A1" i="68"/>
  <c r="A1" i="67"/>
  <c r="A1" i="66"/>
  <c r="A1" i="65"/>
  <c r="A1" i="64"/>
  <c r="A1" i="63"/>
  <c r="A1" i="62"/>
  <c r="A1" i="61"/>
  <c r="A1" i="60"/>
  <c r="A1" i="59"/>
  <c r="A1" i="58"/>
  <c r="A1" i="57"/>
  <c r="A1" i="56"/>
  <c r="A1" i="55"/>
  <c r="A1" i="54"/>
  <c r="A1" i="53"/>
  <c r="A1" i="52"/>
  <c r="A1" i="51"/>
  <c r="A1" i="50"/>
  <c r="A1" i="49"/>
  <c r="A1" i="48"/>
  <c r="A1" i="47"/>
  <c r="A1" i="46"/>
  <c r="A1" i="45"/>
  <c r="A1" i="44"/>
  <c r="A1" i="43"/>
  <c r="A1" i="42"/>
  <c r="A1" i="41"/>
  <c r="A1" i="40"/>
  <c r="A1" i="39"/>
  <c r="A1" i="38"/>
  <c r="A1" i="37"/>
  <c r="A1" i="36"/>
  <c r="A1" i="35"/>
  <c r="A1" i="34"/>
  <c r="A1" i="33"/>
  <c r="A1" i="32"/>
  <c r="A1" i="31"/>
  <c r="A1" i="30"/>
  <c r="A1" i="29"/>
  <c r="A1" i="28"/>
  <c r="A1" i="27"/>
  <c r="A1" i="26"/>
  <c r="A1" i="25"/>
  <c r="A1" i="24"/>
  <c r="A1" i="23"/>
  <c r="A1" i="22"/>
  <c r="A1" i="21"/>
  <c r="A1" i="20"/>
  <c r="A1" i="19"/>
  <c r="A1" i="18"/>
  <c r="A1" i="17"/>
  <c r="A1" i="16"/>
  <c r="A1" i="15"/>
  <c r="A1" i="14"/>
  <c r="A1" i="13"/>
  <c r="E85" i="7" l="1"/>
  <c r="F85" i="7"/>
  <c r="H85" i="7"/>
  <c r="J85" i="7"/>
  <c r="I85" i="7"/>
  <c r="P85" i="7"/>
  <c r="K85" i="7"/>
  <c r="G85" i="7"/>
  <c r="D85" i="7"/>
  <c r="Q85" i="7"/>
  <c r="O85" i="7"/>
  <c r="N85" i="7"/>
  <c r="M85" i="7"/>
  <c r="L85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2" i="7"/>
</calcChain>
</file>

<file path=xl/sharedStrings.xml><?xml version="1.0" encoding="utf-8"?>
<sst xmlns="http://schemas.openxmlformats.org/spreadsheetml/2006/main" count="4019" uniqueCount="538">
  <si>
    <t>Kodiak</t>
  </si>
  <si>
    <t>KODIAK / ALEUTIAN MAINT DISTRICT</t>
  </si>
  <si>
    <t>Kalsin Bay</t>
  </si>
  <si>
    <t>Cold Bay</t>
  </si>
  <si>
    <t>King Salmon</t>
  </si>
  <si>
    <t>Iliamna</t>
  </si>
  <si>
    <t>Adak Station</t>
  </si>
  <si>
    <t>Akun</t>
  </si>
  <si>
    <t>Unalaska</t>
  </si>
  <si>
    <t>Haines</t>
  </si>
  <si>
    <t>SOUTHEAST MAINT DISTRICT</t>
  </si>
  <si>
    <t>Skagway</t>
  </si>
  <si>
    <t>Ketchikan</t>
  </si>
  <si>
    <t>Klawock</t>
  </si>
  <si>
    <t>Petersburg</t>
  </si>
  <si>
    <t>Sitka</t>
  </si>
  <si>
    <t>Hoonah</t>
  </si>
  <si>
    <t>Juneau</t>
  </si>
  <si>
    <t>Yakutat</t>
  </si>
  <si>
    <t>Coffman Cove</t>
  </si>
  <si>
    <t>Gustavus</t>
  </si>
  <si>
    <t>Wrangell</t>
  </si>
  <si>
    <t>Quartz Creek</t>
  </si>
  <si>
    <t>KENAI PENINSULA MAINT DISTRICT</t>
  </si>
  <si>
    <t>Crown Point Station</t>
  </si>
  <si>
    <t>Homer</t>
  </si>
  <si>
    <t>Homer Airport</t>
  </si>
  <si>
    <t>North Kenai</t>
  </si>
  <si>
    <t>Silvertip</t>
  </si>
  <si>
    <t>Seldovia</t>
  </si>
  <si>
    <t>Soldotna</t>
  </si>
  <si>
    <t>Ninilchik</t>
  </si>
  <si>
    <t>Dillingham</t>
  </si>
  <si>
    <t>SOUTHWEST MAINT DISTRICT</t>
  </si>
  <si>
    <t>Bethel</t>
  </si>
  <si>
    <t>Aniak</t>
  </si>
  <si>
    <t>Cascade</t>
  </si>
  <si>
    <t>MAT-SU MAINT DISTRICT</t>
  </si>
  <si>
    <t>Chulitna</t>
  </si>
  <si>
    <t>Palmer</t>
  </si>
  <si>
    <t>Willow</t>
  </si>
  <si>
    <t>Mcgrath</t>
  </si>
  <si>
    <t>Talkeetna</t>
  </si>
  <si>
    <t>Anchorage</t>
  </si>
  <si>
    <t>ANCHORAGE MAINT DISTRICT</t>
  </si>
  <si>
    <t>Girdwood</t>
  </si>
  <si>
    <t>Valdez Airport</t>
  </si>
  <si>
    <t>VALDEZ MAINT DISTRICT</t>
  </si>
  <si>
    <t>Cordova</t>
  </si>
  <si>
    <t>Thompson Pass</t>
  </si>
  <si>
    <t>Valdez</t>
  </si>
  <si>
    <t>Nome</t>
  </si>
  <si>
    <t>WESTERN MAINT DISTRICT</t>
  </si>
  <si>
    <t>Teller</t>
  </si>
  <si>
    <t>Nome Airport</t>
  </si>
  <si>
    <t>Bear Creek</t>
  </si>
  <si>
    <t>Kotzebue</t>
  </si>
  <si>
    <t>Cottonwood</t>
  </si>
  <si>
    <t>Saint Marys</t>
  </si>
  <si>
    <t>Unalakleet</t>
  </si>
  <si>
    <t>Galena</t>
  </si>
  <si>
    <t>NORTHERN RURAL AVIATION MAINT DISTRICT</t>
  </si>
  <si>
    <t>Tok</t>
  </si>
  <si>
    <t>TOK MAINT DISTRICT</t>
  </si>
  <si>
    <t>Eagle</t>
  </si>
  <si>
    <t>South Fork</t>
  </si>
  <si>
    <t>Trims</t>
  </si>
  <si>
    <t>Delta Junction</t>
  </si>
  <si>
    <t>Northway</t>
  </si>
  <si>
    <t>Manley Hot Springs</t>
  </si>
  <si>
    <t>DALTON MAINT DISTRICT</t>
  </si>
  <si>
    <t>Barrow</t>
  </si>
  <si>
    <t>Deadhorse</t>
  </si>
  <si>
    <t>Chandalar</t>
  </si>
  <si>
    <t>Coldfoot</t>
  </si>
  <si>
    <t>Jim River</t>
  </si>
  <si>
    <t>Livengood</t>
  </si>
  <si>
    <t>Sag River</t>
  </si>
  <si>
    <t>Seven Mile</t>
  </si>
  <si>
    <t>Ernestine</t>
  </si>
  <si>
    <t>TAZLINA MAINT DISTRICT</t>
  </si>
  <si>
    <t>Nelchina</t>
  </si>
  <si>
    <t>Paxson</t>
  </si>
  <si>
    <t>Slana</t>
  </si>
  <si>
    <t>Tazlina</t>
  </si>
  <si>
    <t>Central</t>
  </si>
  <si>
    <t>FAIRBANKS MAINT DISTRICT</t>
  </si>
  <si>
    <t>Fairbanks</t>
  </si>
  <si>
    <t>Montana Creek</t>
  </si>
  <si>
    <t>Cantwell</t>
  </si>
  <si>
    <t>DENALI MAINT DISTRICT</t>
  </si>
  <si>
    <t>Healy</t>
  </si>
  <si>
    <t>Nenana</t>
  </si>
  <si>
    <t>Birch Lake</t>
  </si>
  <si>
    <t>Gold King Creek Apt</t>
  </si>
  <si>
    <t>Healy River Apt</t>
  </si>
  <si>
    <t>Summit Apt</t>
  </si>
  <si>
    <t>Clear Apt</t>
  </si>
  <si>
    <t>Kantishna Apt</t>
  </si>
  <si>
    <t>Circle Hot Springs Apt</t>
  </si>
  <si>
    <t>Central Apt</t>
  </si>
  <si>
    <t>Circle City Apt</t>
  </si>
  <si>
    <t>Chisana Apt</t>
  </si>
  <si>
    <t>May Creek Apt</t>
  </si>
  <si>
    <t>Gulkana Apt</t>
  </si>
  <si>
    <t>Chistochina Apt</t>
  </si>
  <si>
    <t>Tazlina Apt</t>
  </si>
  <si>
    <t>McCarthy No 2 Apt</t>
  </si>
  <si>
    <t>Lake Louise Apt</t>
  </si>
  <si>
    <t>Copper Center No 2 Apt</t>
  </si>
  <si>
    <t>Chitina Apt</t>
  </si>
  <si>
    <t>NORTHERN RURAL AVIATION MAINT DISTRICT 2</t>
  </si>
  <si>
    <t>Birch Creek Apt</t>
  </si>
  <si>
    <t>Stevens Village Apt</t>
  </si>
  <si>
    <t>Chalkyitsik Apt</t>
  </si>
  <si>
    <t>Beaver Apt</t>
  </si>
  <si>
    <t>Fort Yukon Apt</t>
  </si>
  <si>
    <t>Manley Hot Springs Apt</t>
  </si>
  <si>
    <t>Wiseman Apt</t>
  </si>
  <si>
    <t>Chandalar Shelf Apt</t>
  </si>
  <si>
    <t>Coldfoot Apt</t>
  </si>
  <si>
    <t>Deadhorse Apt</t>
  </si>
  <si>
    <t>Livengood Camp Apt</t>
  </si>
  <si>
    <t>Galbraith Lake Apt</t>
  </si>
  <si>
    <t>Minto Al Wright Apt</t>
  </si>
  <si>
    <t>Prospect Creek Apt</t>
  </si>
  <si>
    <t>Chandalar Lake Apt</t>
  </si>
  <si>
    <t>Barrow Wiley Post-Will Rogers Apt</t>
  </si>
  <si>
    <t>Tetlin Apt</t>
  </si>
  <si>
    <t>Northway Apt</t>
  </si>
  <si>
    <t>Chicken Apt</t>
  </si>
  <si>
    <t>Boundary Apt</t>
  </si>
  <si>
    <t>Tok Junction Apt</t>
  </si>
  <si>
    <t>Eagle Apt</t>
  </si>
  <si>
    <t>Lake Minchumina Apt</t>
  </si>
  <si>
    <t>Umiat Apt</t>
  </si>
  <si>
    <t>Kaltag Apt</t>
  </si>
  <si>
    <t>Rampart Apt</t>
  </si>
  <si>
    <t>Nulato Apt</t>
  </si>
  <si>
    <t>Ruby Apt</t>
  </si>
  <si>
    <t>Tanana Ralph M Calhoun Apt</t>
  </si>
  <si>
    <t>Bettles Apt</t>
  </si>
  <si>
    <t>Huslia Apt</t>
  </si>
  <si>
    <t>Allakaket Apt</t>
  </si>
  <si>
    <t>Koyukuk Apt</t>
  </si>
  <si>
    <t>Hughes Apt</t>
  </si>
  <si>
    <t>Galena Apt</t>
  </si>
  <si>
    <t>Kivalina Apt</t>
  </si>
  <si>
    <t>Little Diomede Heliport</t>
  </si>
  <si>
    <t>White Mountain Apt</t>
  </si>
  <si>
    <t>Teller Apt</t>
  </si>
  <si>
    <t>Noorvik Robert (Bob) Curtis Memorial Apt</t>
  </si>
  <si>
    <t>Koyuk Apt</t>
  </si>
  <si>
    <t>Dahl Creek Apt</t>
  </si>
  <si>
    <t>Saint Michael Apt</t>
  </si>
  <si>
    <t>Selawik Apt</t>
  </si>
  <si>
    <t>Grayling Apt</t>
  </si>
  <si>
    <t>Pilot Station Apt</t>
  </si>
  <si>
    <t>Elim Apt</t>
  </si>
  <si>
    <t>Stebbins Apt</t>
  </si>
  <si>
    <t>Ambler Apt</t>
  </si>
  <si>
    <t>Buckland Apt</t>
  </si>
  <si>
    <t>Point Hope Apt</t>
  </si>
  <si>
    <t>Emmonak Apt</t>
  </si>
  <si>
    <t>Shungnak Apt</t>
  </si>
  <si>
    <t>Council No 1 Apt</t>
  </si>
  <si>
    <t>Shaktoolik Apt</t>
  </si>
  <si>
    <t>Nome City Field Apt</t>
  </si>
  <si>
    <t>Saint Mary's Apt</t>
  </si>
  <si>
    <t>Kotzebue Ralph Wien Memorial Apt</t>
  </si>
  <si>
    <t>Kobuk Apt</t>
  </si>
  <si>
    <t>Kotlik Apt</t>
  </si>
  <si>
    <t>Salmon Lake Apt</t>
  </si>
  <si>
    <t>Anvik Apt</t>
  </si>
  <si>
    <t>Savoonga Apt</t>
  </si>
  <si>
    <t>Nunam Iqua Apt</t>
  </si>
  <si>
    <t>Russian Mission Apt</t>
  </si>
  <si>
    <t>Unalakleet Apt</t>
  </si>
  <si>
    <t>Brevig Mission Apt</t>
  </si>
  <si>
    <t>Deering Apt</t>
  </si>
  <si>
    <t>Kiana Bob Baker Memorial Apt</t>
  </si>
  <si>
    <t>Marshall Apt</t>
  </si>
  <si>
    <t>Alakanuk Apt</t>
  </si>
  <si>
    <t>Nome Apt</t>
  </si>
  <si>
    <t>Shishmaref Apt</t>
  </si>
  <si>
    <t>Shageluk Apt</t>
  </si>
  <si>
    <t>Wales Apt</t>
  </si>
  <si>
    <t>Mountain Village Apt</t>
  </si>
  <si>
    <t>New Golovin Apt</t>
  </si>
  <si>
    <t>Noatak Apt</t>
  </si>
  <si>
    <t>Quartz Creek-Kougarok Apt</t>
  </si>
  <si>
    <t>Holy Cross Apt</t>
  </si>
  <si>
    <t>Gambell Apt</t>
  </si>
  <si>
    <t>Cordova Merle K "Mudhole" Smith Apt</t>
  </si>
  <si>
    <t>Valdez Apt</t>
  </si>
  <si>
    <t>Tatitlek Apt</t>
  </si>
  <si>
    <t>Cordova Municipal Apt</t>
  </si>
  <si>
    <t>Girdwood Apt</t>
  </si>
  <si>
    <t>Whittier Apt</t>
  </si>
  <si>
    <t>Lake Hood Strip</t>
  </si>
  <si>
    <t>Birchwood Apt</t>
  </si>
  <si>
    <t>Ophir Apt</t>
  </si>
  <si>
    <t>Lime Village Apt</t>
  </si>
  <si>
    <t>Big Lake Apt</t>
  </si>
  <si>
    <t>McGrath Apt</t>
  </si>
  <si>
    <t>Talkeetna Apt</t>
  </si>
  <si>
    <t>Flat Apt</t>
  </si>
  <si>
    <t>Nikolai Apt</t>
  </si>
  <si>
    <t>Willow Apt</t>
  </si>
  <si>
    <t>Takotna Apt</t>
  </si>
  <si>
    <t>Skwentna Apt</t>
  </si>
  <si>
    <t>Sheep Mountain Apt</t>
  </si>
  <si>
    <t>Goose Bay Apt</t>
  </si>
  <si>
    <t>Stony River No 2 Apt</t>
  </si>
  <si>
    <t>Hooper Bay Apt</t>
  </si>
  <si>
    <t>Aleknagik Apt</t>
  </si>
  <si>
    <t>Newtok Apt</t>
  </si>
  <si>
    <t>Akiak Apt</t>
  </si>
  <si>
    <t>Crooked Creek Apt</t>
  </si>
  <si>
    <t>Tununak Apt</t>
  </si>
  <si>
    <t>Portage Creek Apt</t>
  </si>
  <si>
    <t>Togiak Apt</t>
  </si>
  <si>
    <t>Kwigillingok Apt</t>
  </si>
  <si>
    <t>Kongiganak Apt</t>
  </si>
  <si>
    <t>Napakiak Apt</t>
  </si>
  <si>
    <t>Atmautluak Apt</t>
  </si>
  <si>
    <t>Sleetmute Apt</t>
  </si>
  <si>
    <t>Mekoryuk Apt</t>
  </si>
  <si>
    <t>Scammon Bay Apt</t>
  </si>
  <si>
    <t>Clarks Point Apt</t>
  </si>
  <si>
    <t>Platinum Apt</t>
  </si>
  <si>
    <t>Kipnuk Apt</t>
  </si>
  <si>
    <t>Napaskiak Apt</t>
  </si>
  <si>
    <t>Nightmute Apt</t>
  </si>
  <si>
    <t>New Stuyahok Apt</t>
  </si>
  <si>
    <t>Eek Apt</t>
  </si>
  <si>
    <t>Manokotak Apt</t>
  </si>
  <si>
    <t>Akiachak Apt</t>
  </si>
  <si>
    <t>Kalskag Apt</t>
  </si>
  <si>
    <t>Ekwok Apt</t>
  </si>
  <si>
    <t>Tuntutuliak Apt</t>
  </si>
  <si>
    <t>Kasigluk Apt</t>
  </si>
  <si>
    <t>Red Devil Apt</t>
  </si>
  <si>
    <t>Dillingham Apt</t>
  </si>
  <si>
    <t>Chefornak Apt</t>
  </si>
  <si>
    <t>Chuathbaluk Apt</t>
  </si>
  <si>
    <t>Toksook Bay Apt</t>
  </si>
  <si>
    <t>Koliganek Apt</t>
  </si>
  <si>
    <t>Twin Hills Apt</t>
  </si>
  <si>
    <t>Goodnews Apt</t>
  </si>
  <si>
    <t>Aniak Apt</t>
  </si>
  <si>
    <t>Bethel Apt</t>
  </si>
  <si>
    <t>Tuluksak Apt</t>
  </si>
  <si>
    <t>Chevak Apt</t>
  </si>
  <si>
    <t>Kwethluk Apt</t>
  </si>
  <si>
    <t>Nunapitchuk Apt</t>
  </si>
  <si>
    <t>Ninilchik Apt</t>
  </si>
  <si>
    <t>Seward Apt</t>
  </si>
  <si>
    <t>Seldovia Apt</t>
  </si>
  <si>
    <t>Hope Apt</t>
  </si>
  <si>
    <t>Port Graham Apt</t>
  </si>
  <si>
    <t>Chenega Bay Apt</t>
  </si>
  <si>
    <t>Homer-Beluga Lake SPB</t>
  </si>
  <si>
    <t>Kasilof Apt</t>
  </si>
  <si>
    <t>Nanwalek Apt</t>
  </si>
  <si>
    <t>Lawing Apt</t>
  </si>
  <si>
    <t>Homer Apt</t>
  </si>
  <si>
    <t>Quartz Creek Apt</t>
  </si>
  <si>
    <t>Haines Apt</t>
  </si>
  <si>
    <t>Sitka Apt</t>
  </si>
  <si>
    <t>Funter Bay SPB</t>
  </si>
  <si>
    <t>Clark Bay SPB</t>
  </si>
  <si>
    <t>Port Protection SPB</t>
  </si>
  <si>
    <t>Metlakatla SPB</t>
  </si>
  <si>
    <t>Petersburg James A Johnson Apt</t>
  </si>
  <si>
    <t>Elfin Cove SPB</t>
  </si>
  <si>
    <t>Point Baker SPB</t>
  </si>
  <si>
    <t>Angoon SPB</t>
  </si>
  <si>
    <t>Ketchikan Peninsula Point SPB</t>
  </si>
  <si>
    <t>Hoonah SPB</t>
  </si>
  <si>
    <t>Yakutat Apt</t>
  </si>
  <si>
    <t>Petersburg Lloyd R Roundtree SPB</t>
  </si>
  <si>
    <t>Coffman Cove SPB</t>
  </si>
  <si>
    <t>Wrangell Apt</t>
  </si>
  <si>
    <t>Kake Apt</t>
  </si>
  <si>
    <t>Klawock Apt</t>
  </si>
  <si>
    <t>Gustavus Apt</t>
  </si>
  <si>
    <t>Hydaburg SPB</t>
  </si>
  <si>
    <t>Tenakee SPB</t>
  </si>
  <si>
    <t>Kasaan SPB</t>
  </si>
  <si>
    <t>Skagway Apt</t>
  </si>
  <si>
    <t>Hyder SPB</t>
  </si>
  <si>
    <t>Hoonah Apt</t>
  </si>
  <si>
    <t>Ketchikan International Airport</t>
  </si>
  <si>
    <t>Excursion Inlet SPB</t>
  </si>
  <si>
    <t>Nelson Lagoon Apt</t>
  </si>
  <si>
    <t>Perryville Apt</t>
  </si>
  <si>
    <t>South Naknek No 2 Apt</t>
  </si>
  <si>
    <t>Karluk Apt</t>
  </si>
  <si>
    <t>King Salmon SPB</t>
  </si>
  <si>
    <t>Cold Bay Apt</t>
  </si>
  <si>
    <t>Port Heiden Apt</t>
  </si>
  <si>
    <t>Iliamna Apt</t>
  </si>
  <si>
    <t>Atka Apt</t>
  </si>
  <si>
    <t>Levelock Apt</t>
  </si>
  <si>
    <t>Akutan Apt</t>
  </si>
  <si>
    <t>Chignik Apt</t>
  </si>
  <si>
    <t>Akhiok Apt</t>
  </si>
  <si>
    <t>Unalaska / Dutch Harbor Apt</t>
  </si>
  <si>
    <t>Chignik Lake Apt</t>
  </si>
  <si>
    <t>Kodiak Apt</t>
  </si>
  <si>
    <t>Ugashik Apt</t>
  </si>
  <si>
    <t>King Cove Apt</t>
  </si>
  <si>
    <t>Pilot Point Apt</t>
  </si>
  <si>
    <t>Pedro Bay Apt</t>
  </si>
  <si>
    <t>Ouzinkie Apt</t>
  </si>
  <si>
    <t>Kokhanok Apt</t>
  </si>
  <si>
    <t>Adak Apt</t>
  </si>
  <si>
    <t>Igiugig Apt</t>
  </si>
  <si>
    <t>Saint George Apt</t>
  </si>
  <si>
    <t>Naknek Apt</t>
  </si>
  <si>
    <t>Larsen Bay Apt</t>
  </si>
  <si>
    <t>Saint Paul Island Apt</t>
  </si>
  <si>
    <t>False Pass Apt</t>
  </si>
  <si>
    <t>Old Harbor Apt</t>
  </si>
  <si>
    <t>Chignik Lagoon Apt</t>
  </si>
  <si>
    <t>Sand Point Apt</t>
  </si>
  <si>
    <t>King Salmon Apt</t>
  </si>
  <si>
    <t>Nondalton Apt</t>
  </si>
  <si>
    <t>Port Lions Apt</t>
  </si>
  <si>
    <t>Region</t>
  </si>
  <si>
    <t>Maintenance District</t>
  </si>
  <si>
    <t>Maintenance Station</t>
  </si>
  <si>
    <t>Airport</t>
  </si>
  <si>
    <t>Northern</t>
  </si>
  <si>
    <t>Southcoast</t>
  </si>
  <si>
    <t>Rural Airport</t>
  </si>
  <si>
    <t>Row Labels</t>
  </si>
  <si>
    <t>Grand Total</t>
  </si>
  <si>
    <t>Count of Rural Airport</t>
  </si>
  <si>
    <t>Count of Maintenance Station</t>
  </si>
  <si>
    <t>Airport Surface Area</t>
  </si>
  <si>
    <t>Lane Miles</t>
  </si>
  <si>
    <t>Sidewalk Miles</t>
  </si>
  <si>
    <t>Positions</t>
  </si>
  <si>
    <t>ALL CR - OTHER</t>
  </si>
  <si>
    <t>ALL NR - OTHER</t>
  </si>
  <si>
    <t>CR Other</t>
  </si>
  <si>
    <t>NR Other</t>
  </si>
  <si>
    <t>ALL SC - OTHER</t>
  </si>
  <si>
    <t>SC Other</t>
  </si>
  <si>
    <t>Responsible Maintenance Station</t>
  </si>
  <si>
    <t>Sum of Lane Miles</t>
  </si>
  <si>
    <t>ANCHORAGE INTERNATIONAL AIRPORT STATION</t>
  </si>
  <si>
    <t>ANCHORAGE STATION</t>
  </si>
  <si>
    <t>ANGOON STATION</t>
  </si>
  <si>
    <t>ANIAK STATION &amp; OUTLYING LOCATIONS</t>
  </si>
  <si>
    <t>BARROW STATION</t>
  </si>
  <si>
    <t>BETHEL STATION &amp; OUTLYING LOCATIONS</t>
  </si>
  <si>
    <t>CANTWELL STATION</t>
  </si>
  <si>
    <t>CASCADE STATION</t>
  </si>
  <si>
    <t>CHANDALAR STATION</t>
  </si>
  <si>
    <t>CHULITNA STATION</t>
  </si>
  <si>
    <t>COLD BAY STATION &amp; OUTLYING LOCATIONS</t>
  </si>
  <si>
    <t>COLDFOOT STATION</t>
  </si>
  <si>
    <t>CORDOVA STATION</t>
  </si>
  <si>
    <t>CROWN POINT STATION</t>
  </si>
  <si>
    <t>DEADHORSE STATION</t>
  </si>
  <si>
    <t>DELTA JUNCTION STATION</t>
  </si>
  <si>
    <t>DILLINGHAM STATION &amp; OUTLYING LOCATIONS</t>
  </si>
  <si>
    <t>EAGLE STATION</t>
  </si>
  <si>
    <t>ERNESTINE STATION</t>
  </si>
  <si>
    <t>FAIRBANKS INTERNATIONAL AIRPORT STATION</t>
  </si>
  <si>
    <t>FAIRBANKS STATION</t>
  </si>
  <si>
    <t>GALENA STATION</t>
  </si>
  <si>
    <t>GIRDWOOD STATION</t>
  </si>
  <si>
    <t>GUSTAVUS STATION</t>
  </si>
  <si>
    <t>HAINES STATION</t>
  </si>
  <si>
    <t>HEALY STATION</t>
  </si>
  <si>
    <t>HOMER STATION</t>
  </si>
  <si>
    <t>HOONAH STATION</t>
  </si>
  <si>
    <t>HYDER STATION</t>
  </si>
  <si>
    <t>ILIAMNA STATION &amp; OUTLYING LOCATIONS</t>
  </si>
  <si>
    <t>JIM RIVER STATION</t>
  </si>
  <si>
    <t>JUNEAU STATION</t>
  </si>
  <si>
    <t>KAKE STATION</t>
  </si>
  <si>
    <t>KALSIN BAY STATION</t>
  </si>
  <si>
    <t>KETCHIKAN STATION</t>
  </si>
  <si>
    <t>KING SALMON STATION &amp; OUTLYING LOCATIONS</t>
  </si>
  <si>
    <t>KLAWOCK STATION</t>
  </si>
  <si>
    <t>KODIAK STATION</t>
  </si>
  <si>
    <t>KOTZEBUE STATION &amp; OUTLYING LOCATIONS</t>
  </si>
  <si>
    <t>LIVENGOOD STATION</t>
  </si>
  <si>
    <t>MANLEY STATION</t>
  </si>
  <si>
    <t>MCGRATH STATION &amp; OUTLYING LOCATIONS</t>
  </si>
  <si>
    <t>MONTANA CREEK STATION</t>
  </si>
  <si>
    <t>NELCHINA STATION</t>
  </si>
  <si>
    <t>NENANA STATION</t>
  </si>
  <si>
    <t>NINILCHIK STATION</t>
  </si>
  <si>
    <t>NOME AIRPORT &amp; OUTLYING AREAS</t>
  </si>
  <si>
    <t>NOME STATION</t>
  </si>
  <si>
    <t>NORTH KENAI STATION</t>
  </si>
  <si>
    <t>NORTHWAY STATION</t>
  </si>
  <si>
    <t>NRTH REG INT CONTRACT AIRPORTS</t>
  </si>
  <si>
    <t>PALMER STATION</t>
  </si>
  <si>
    <t>PAXSON STATION</t>
  </si>
  <si>
    <t>PETERSBURG STATION</t>
  </si>
  <si>
    <t>QUARTZ CREEK STATION</t>
  </si>
  <si>
    <t>RUBY STATION</t>
  </si>
  <si>
    <t>SAG RIVER STATION</t>
  </si>
  <si>
    <t>SAINT MARY'S STATION &amp; OUTLYING LOCATIONS</t>
  </si>
  <si>
    <t>SELDOVIA STATION</t>
  </si>
  <si>
    <t>SEVEN MILE STATION</t>
  </si>
  <si>
    <t>SITKA STATION</t>
  </si>
  <si>
    <t>SKAGWAY STATION</t>
  </si>
  <si>
    <t>SLANA STATION</t>
  </si>
  <si>
    <t>SOLDOTNA STATION</t>
  </si>
  <si>
    <t>SOUTH FORK STATION</t>
  </si>
  <si>
    <t>TALKEETNA STATION</t>
  </si>
  <si>
    <t>TAZLINA STATION</t>
  </si>
  <si>
    <t>THOMPSON PASS STATION</t>
  </si>
  <si>
    <t>TOK STATION</t>
  </si>
  <si>
    <t>TRIMS STATION</t>
  </si>
  <si>
    <t>UNALAKLEET STATION &amp; OUTLYING LOCATIONS</t>
  </si>
  <si>
    <t>VALDEZ AIRPORT STATION</t>
  </si>
  <si>
    <t>VALDEZ STATION</t>
  </si>
  <si>
    <t>WILLOW STATION</t>
  </si>
  <si>
    <t>WRANGELL STATION</t>
  </si>
  <si>
    <t>YAKUTAT STATION</t>
  </si>
  <si>
    <t>FED / CIP</t>
  </si>
  <si>
    <t>CHECK</t>
  </si>
  <si>
    <t>Through Miles</t>
  </si>
  <si>
    <t>Total</t>
  </si>
  <si>
    <t>Surface Area</t>
  </si>
  <si>
    <t>1000</t>
  </si>
  <si>
    <t>2000</t>
  </si>
  <si>
    <t>3000</t>
  </si>
  <si>
    <t>4000</t>
  </si>
  <si>
    <t>5000</t>
  </si>
  <si>
    <t>Rural Airports</t>
  </si>
  <si>
    <t>A</t>
  </si>
  <si>
    <t>stats_column</t>
  </si>
  <si>
    <t>pcn_column</t>
  </si>
  <si>
    <t>title_column</t>
  </si>
  <si>
    <t>burden_column</t>
  </si>
  <si>
    <t>object_code_column</t>
  </si>
  <si>
    <t>description_column</t>
  </si>
  <si>
    <t>quantity_column</t>
  </si>
  <si>
    <t>cost_column</t>
  </si>
  <si>
    <t>cost_aviation_column</t>
  </si>
  <si>
    <t>rural_airport_column</t>
  </si>
  <si>
    <t>burden_aviation_column</t>
  </si>
  <si>
    <t>Rural Aviation</t>
  </si>
  <si>
    <t>one</t>
  </si>
  <si>
    <t>two</t>
  </si>
  <si>
    <t>three</t>
  </si>
  <si>
    <t>four</t>
  </si>
  <si>
    <t>COLUMN CONSTANTS</t>
  </si>
  <si>
    <t>Public Const stats_column As String = "A"</t>
  </si>
  <si>
    <t>Public Const pcn_column As String = "B"</t>
  </si>
  <si>
    <t>B</t>
  </si>
  <si>
    <t>Public Const title_column As String = "C"</t>
  </si>
  <si>
    <t>C</t>
  </si>
  <si>
    <t>Public Const burden_column As String = "D"</t>
  </si>
  <si>
    <t>D</t>
  </si>
  <si>
    <t>Public Const burden_aviation_column As String = "E"</t>
  </si>
  <si>
    <t>E</t>
  </si>
  <si>
    <t>Public Const object_code_column As String = "F"</t>
  </si>
  <si>
    <t>F</t>
  </si>
  <si>
    <t>Public Const description_column As String = "G"</t>
  </si>
  <si>
    <t>G</t>
  </si>
  <si>
    <t>Public Const quantity_column As String = "H"</t>
  </si>
  <si>
    <t>H</t>
  </si>
  <si>
    <t>Public Const cost_column As String = "I"</t>
  </si>
  <si>
    <t>I</t>
  </si>
  <si>
    <t>Public Const cost_aviation_column As String = "J"</t>
  </si>
  <si>
    <t>J</t>
  </si>
  <si>
    <t>Public Const rural_airport_column As String = "K"</t>
  </si>
  <si>
    <t>K</t>
  </si>
  <si>
    <t>CELL CONSTANTS</t>
  </si>
  <si>
    <t>Public Const stats_name_cell As String = stats_column &amp; "3"</t>
  </si>
  <si>
    <t>stats_name_cell</t>
  </si>
  <si>
    <t>Public Const stats_through_miles_title_cell As String = stats_column &amp; "5"</t>
  </si>
  <si>
    <t>stats_through_miles_title_cell</t>
  </si>
  <si>
    <t>Public Const stats_through_miles_cell As String = stats_column &amp; "6"</t>
  </si>
  <si>
    <t>stats_through_miles_cell</t>
  </si>
  <si>
    <t>Public Const stats_lane_miles_title_cell As String = stats_column &amp; "7"</t>
  </si>
  <si>
    <t>stats_lane_miles_title_cell</t>
  </si>
  <si>
    <t>Public Const stats_lane_miles_cell As String = stats_column &amp; "8"</t>
  </si>
  <si>
    <t>stats_lane_miles_cell</t>
  </si>
  <si>
    <t>Public Const stats_sidewalk_miles_title_cell As String = stats_column &amp; "9"</t>
  </si>
  <si>
    <t>stats_sidewalk_miles_title_cell</t>
  </si>
  <si>
    <t>Public Const stats_sidewalk_miles_cell As String = stats_column &amp; "10"</t>
  </si>
  <si>
    <t>stats_sidewalk_miles_cell</t>
  </si>
  <si>
    <t>Public Const stats_airport_surface_area_title_cell As String = stats_column &amp; "11"</t>
  </si>
  <si>
    <t>stats_airport_surface_area_title_cell</t>
  </si>
  <si>
    <t>Public Const stats_airport_surface_area_cell As String = stats_column &amp; "12"</t>
  </si>
  <si>
    <t>stats_airport_surface_area_cell</t>
  </si>
  <si>
    <t>Public Const stats_fed_cip_title_cell As String = stats_column &amp; "13"</t>
  </si>
  <si>
    <t>stats_fed_cip_title_cell</t>
  </si>
  <si>
    <t>Public Const stats_fed_cip_cell As String = stats_column &amp; "14"</t>
  </si>
  <si>
    <t>stats_fed_cip_cell</t>
  </si>
  <si>
    <t>Public Const stats_aviation_title_cell As String = stats_column &amp; "17"</t>
  </si>
  <si>
    <t>stats_aviation_title_cell</t>
  </si>
  <si>
    <t>Public Const stats_aviation_cell As String = stats_column &amp; "18"</t>
  </si>
  <si>
    <t>stats_aviation_cell</t>
  </si>
  <si>
    <t>Public Const stats_aviation_percent_title_cell As String = stats_column &amp; "19"</t>
  </si>
  <si>
    <t>stats_aviation_percent_title_cell</t>
  </si>
  <si>
    <t>Public Const stats_aviation_percent_cell As String = stats_column &amp; "20"</t>
  </si>
  <si>
    <t>stats_aviation_percent_cell</t>
  </si>
  <si>
    <t>Public Const stats_total_title_cell As String = stats_column &amp; "21"</t>
  </si>
  <si>
    <t>stats_total_title_cell</t>
  </si>
  <si>
    <t>Public Const stats_total_cell As String = stats_column &amp; "22"</t>
  </si>
  <si>
    <t>stats_total_cell</t>
  </si>
  <si>
    <t>Public Const stats_district_cell As String = stats_column &amp; "25"</t>
  </si>
  <si>
    <t>stats_district_cell</t>
  </si>
  <si>
    <t>Public Const stats_region_cell As String = stats_column &amp; "26"</t>
  </si>
  <si>
    <t>stats_region_cell</t>
  </si>
  <si>
    <t>Through Miles:</t>
  </si>
  <si>
    <t>thru</t>
  </si>
  <si>
    <t>Lane Miles:</t>
  </si>
  <si>
    <t>lane</t>
  </si>
  <si>
    <t>Sidewalk Miles:</t>
  </si>
  <si>
    <t>side</t>
  </si>
  <si>
    <t>Airport Surface Area:</t>
  </si>
  <si>
    <t>air</t>
  </si>
  <si>
    <t>FED/CIP:</t>
  </si>
  <si>
    <t>Aviation:</t>
  </si>
  <si>
    <t>Aviation (%):</t>
  </si>
  <si>
    <t>Total:</t>
  </si>
  <si>
    <t>PCN</t>
  </si>
  <si>
    <t>Class/Title</t>
  </si>
  <si>
    <t>Full Burden</t>
  </si>
  <si>
    <t>(%) Aviation</t>
  </si>
  <si>
    <t>Object Code</t>
  </si>
  <si>
    <t>Description</t>
  </si>
  <si>
    <t>Quantity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</si>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</sst>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10"/>
      </right>
      <top/>
      <bottom/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2" borderId="0" xfId="0" applyFont="1" applyFill="1" applyAlignment="1">
      <alignment horizontal="left"/>
    </xf>
    <xf numFmtId="0" fontId="3" fillId="3" borderId="2" xfId="1" applyFont="1" applyFill="1" applyBorder="1" applyAlignment="1">
      <alignment horizontal="center" vertical="center"/>
    </xf>
    <xf numFmtId="0" fontId="1" fillId="0" borderId="0" xfId="1"/>
    <xf numFmtId="164" fontId="0" fillId="0" borderId="0" xfId="2" applyNumberFormat="1" applyFont="1"/>
    <xf numFmtId="164" fontId="0" fillId="0" borderId="0" xfId="2" applyNumberFormat="1" applyFont="1" applyAlignment="1">
      <alignment horizontal="left"/>
    </xf>
    <xf numFmtId="164" fontId="0" fillId="0" borderId="1" xfId="2" applyNumberFormat="1" applyFont="1" applyBorder="1"/>
    <xf numFmtId="164" fontId="0" fillId="0" borderId="1" xfId="2" applyNumberFormat="1" applyFont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/>
    <xf numFmtId="0" fontId="0" fillId="4" borderId="11" xfId="0" applyFill="1" applyBorder="1"/>
    <xf numFmtId="0" fontId="0" fillId="0" borderId="11" xfId="0" applyBorder="1"/>
    <xf numFmtId="164" fontId="0" fillId="4" borderId="12" xfId="0" applyNumberFormat="1" applyFill="1" applyBorder="1"/>
    <xf numFmtId="0" fontId="6" fillId="0" borderId="0" xfId="3"/>
    <xf numFmtId="0" fontId="9" fillId="7" borderId="0" xfId="0" applyFont="1" applyFill="1"/>
    <xf numFmtId="0" fontId="7" fillId="0" borderId="13" xfId="3" applyFont="1" applyBorder="1" applyAlignment="1">
      <alignment horizontal="center"/>
    </xf>
    <xf numFmtId="0" fontId="8" fillId="5" borderId="13" xfId="0" applyFont="1" applyFill="1" applyBorder="1"/>
    <xf numFmtId="0" fontId="0" fillId="0" borderId="13" xfId="0" applyBorder="1"/>
    <xf numFmtId="0" fontId="0" fillId="4" borderId="13" xfId="0" applyFill="1" applyBorder="1"/>
    <xf numFmtId="164" fontId="0" fillId="4" borderId="13" xfId="0" applyNumberFormat="1" applyFill="1" applyBorder="1"/>
    <xf numFmtId="0" fontId="0" fillId="6" borderId="13" xfId="0" applyFill="1" applyBorder="1"/>
    <xf numFmtId="164" fontId="0" fillId="6" borderId="13" xfId="0" applyNumberFormat="1" applyFill="1" applyBorder="1"/>
    <xf numFmtId="9" fontId="0" fillId="6" borderId="13" xfId="0" applyNumberFormat="1" applyFill="1" applyBorder="1"/>
    <xf numFmtId="0" fontId="0" fillId="6" borderId="13" xfId="0" applyFill="1" applyBorder="1" applyAlignment="1">
      <alignment horizontal="right"/>
    </xf>
    <xf numFmtId="0" fontId="9" fillId="7" borderId="13" xfId="0" applyFont="1" applyFill="1" applyBorder="1"/>
    <xf numFmtId="9" fontId="0" fillId="0" borderId="13" xfId="0" applyNumberFormat="1" applyBorder="1"/>
    <xf numFmtId="0" fontId="6" fillId="0" borderId="1" xfId="3" applyBorder="1"/>
  </cellXfs>
  <cellStyles count="4">
    <cellStyle name="Currency" xfId="2" builtinId="4"/>
    <cellStyle name="Hyperlink" xfId="3" builtinId="8"/>
    <cellStyle name="Normal" xfId="0" builtinId="0"/>
    <cellStyle name="Normal 2" xfId="1" xr:uid="{CE109716-2090-422C-9657-C187873D3DB0}"/>
  </cellStyles>
  <dxfs count="19"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&quot;$&quot;* #,##0.0_);_(&quot;$&quot;* \(#,##0.0\);_(&quot;$&quot;* &quot;-&quot;??_);_(@_)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pannone" refreshedDate="44790.899046412036" createdVersion="8" refreshedVersion="8" minRefreshableVersion="3" recordCount="315" xr:uid="{BEC1BBC1-91BC-458C-A303-EA3CB0EC27E7}">
  <cacheSource type="worksheet">
    <worksheetSource ref="A1:D316" sheet="scratch pad 1"/>
  </cacheSource>
  <cacheFields count="4">
    <cacheField name="Maintenance Station" numFmtId="0">
      <sharedItems containsBlank="1"/>
    </cacheField>
    <cacheField name="Rural Airport" numFmtId="0">
      <sharedItems containsBlank="1"/>
    </cacheField>
    <cacheField name="Maintenance District" numFmtId="0">
      <sharedItems count="15">
        <s v="ANCHORAGE MAINT DISTRICT"/>
        <s v="KENAI PENINSULA MAINT DISTRICT"/>
        <s v="MAT-SU MAINT DISTRICT"/>
        <s v="SOUTHWEST MAINT DISTRICT"/>
        <s v="DALTON MAINT DISTRICT"/>
        <s v="DENALI MAINT DISTRICT"/>
        <s v="FAIRBANKS MAINT DISTRICT"/>
        <s v="NORTHERN RURAL AVIATION MAINT DISTRICT"/>
        <s v="TAZLINA MAINT DISTRICT"/>
        <s v="TOK MAINT DISTRICT"/>
        <s v="VALDEZ MAINT DISTRICT"/>
        <s v="WESTERN MAINT DISTRICT"/>
        <s v="KODIAK / ALEUTIAN MAINT DISTRICT"/>
        <s v="SOUTHEAST MAINT DISTRICT"/>
        <s v="NORTHERN RURAL AVIATION MAINT DISTRICT 2"/>
      </sharedItems>
    </cacheField>
    <cacheField name="Region" numFmtId="0">
      <sharedItems count="3">
        <s v="Central"/>
        <s v="Northern"/>
        <s v="Southco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s v="Anchorage"/>
    <m/>
    <x v="0"/>
    <x v="0"/>
  </r>
  <r>
    <s v="Girdwood"/>
    <m/>
    <x v="0"/>
    <x v="0"/>
  </r>
  <r>
    <s v="Crown Point Station"/>
    <m/>
    <x v="1"/>
    <x v="0"/>
  </r>
  <r>
    <s v="Homer"/>
    <m/>
    <x v="1"/>
    <x v="0"/>
  </r>
  <r>
    <s v="Homer Airport"/>
    <m/>
    <x v="1"/>
    <x v="0"/>
  </r>
  <r>
    <s v="Ninilchik"/>
    <m/>
    <x v="1"/>
    <x v="0"/>
  </r>
  <r>
    <s v="North Kenai"/>
    <m/>
    <x v="1"/>
    <x v="0"/>
  </r>
  <r>
    <s v="Quartz Creek"/>
    <m/>
    <x v="1"/>
    <x v="0"/>
  </r>
  <r>
    <s v="Seldovia"/>
    <m/>
    <x v="1"/>
    <x v="0"/>
  </r>
  <r>
    <s v="Silvertip"/>
    <m/>
    <x v="1"/>
    <x v="0"/>
  </r>
  <r>
    <s v="Soldotna"/>
    <m/>
    <x v="1"/>
    <x v="0"/>
  </r>
  <r>
    <s v="Cascade"/>
    <m/>
    <x v="2"/>
    <x v="0"/>
  </r>
  <r>
    <s v="Chulitna"/>
    <m/>
    <x v="2"/>
    <x v="0"/>
  </r>
  <r>
    <s v="Mcgrath"/>
    <m/>
    <x v="2"/>
    <x v="0"/>
  </r>
  <r>
    <s v="Palmer"/>
    <m/>
    <x v="2"/>
    <x v="0"/>
  </r>
  <r>
    <s v="Talkeetna"/>
    <m/>
    <x v="2"/>
    <x v="0"/>
  </r>
  <r>
    <s v="Willow"/>
    <m/>
    <x v="2"/>
    <x v="0"/>
  </r>
  <r>
    <s v="Aniak"/>
    <m/>
    <x v="3"/>
    <x v="0"/>
  </r>
  <r>
    <s v="Bethel"/>
    <m/>
    <x v="3"/>
    <x v="0"/>
  </r>
  <r>
    <s v="Dillingham"/>
    <m/>
    <x v="3"/>
    <x v="0"/>
  </r>
  <r>
    <s v="Barrow"/>
    <m/>
    <x v="4"/>
    <x v="1"/>
  </r>
  <r>
    <s v="Chandalar"/>
    <m/>
    <x v="4"/>
    <x v="1"/>
  </r>
  <r>
    <s v="Coldfoot"/>
    <m/>
    <x v="4"/>
    <x v="1"/>
  </r>
  <r>
    <s v="Deadhorse"/>
    <m/>
    <x v="4"/>
    <x v="1"/>
  </r>
  <r>
    <s v="Jim River"/>
    <m/>
    <x v="4"/>
    <x v="1"/>
  </r>
  <r>
    <s v="Livengood"/>
    <m/>
    <x v="4"/>
    <x v="1"/>
  </r>
  <r>
    <s v="Manley Hot Springs"/>
    <m/>
    <x v="4"/>
    <x v="1"/>
  </r>
  <r>
    <s v="Sag River"/>
    <m/>
    <x v="4"/>
    <x v="1"/>
  </r>
  <r>
    <s v="Seven Mile"/>
    <m/>
    <x v="4"/>
    <x v="1"/>
  </r>
  <r>
    <s v="Cantwell"/>
    <m/>
    <x v="5"/>
    <x v="1"/>
  </r>
  <r>
    <s v="Healy"/>
    <m/>
    <x v="5"/>
    <x v="1"/>
  </r>
  <r>
    <s v="Nenana"/>
    <m/>
    <x v="5"/>
    <x v="1"/>
  </r>
  <r>
    <s v="Central"/>
    <m/>
    <x v="6"/>
    <x v="1"/>
  </r>
  <r>
    <s v="Fairbanks"/>
    <m/>
    <x v="6"/>
    <x v="1"/>
  </r>
  <r>
    <s v="Montana Creek"/>
    <m/>
    <x v="6"/>
    <x v="1"/>
  </r>
  <r>
    <s v="Galena"/>
    <m/>
    <x v="7"/>
    <x v="1"/>
  </r>
  <r>
    <s v="Ernestine"/>
    <m/>
    <x v="8"/>
    <x v="1"/>
  </r>
  <r>
    <s v="Nelchina"/>
    <m/>
    <x v="8"/>
    <x v="1"/>
  </r>
  <r>
    <s v="Paxson"/>
    <m/>
    <x v="8"/>
    <x v="1"/>
  </r>
  <r>
    <s v="Slana"/>
    <m/>
    <x v="8"/>
    <x v="1"/>
  </r>
  <r>
    <s v="Tazlina"/>
    <m/>
    <x v="8"/>
    <x v="1"/>
  </r>
  <r>
    <s v="Birch Lake"/>
    <m/>
    <x v="9"/>
    <x v="1"/>
  </r>
  <r>
    <s v="Delta Junction"/>
    <m/>
    <x v="9"/>
    <x v="1"/>
  </r>
  <r>
    <s v="Eagle"/>
    <m/>
    <x v="9"/>
    <x v="1"/>
  </r>
  <r>
    <s v="Northway"/>
    <m/>
    <x v="9"/>
    <x v="1"/>
  </r>
  <r>
    <s v="South Fork"/>
    <m/>
    <x v="9"/>
    <x v="1"/>
  </r>
  <r>
    <s v="Tok"/>
    <m/>
    <x v="9"/>
    <x v="1"/>
  </r>
  <r>
    <s v="Trims"/>
    <m/>
    <x v="9"/>
    <x v="1"/>
  </r>
  <r>
    <s v="Cordova"/>
    <m/>
    <x v="10"/>
    <x v="1"/>
  </r>
  <r>
    <s v="Thompson Pass"/>
    <m/>
    <x v="10"/>
    <x v="1"/>
  </r>
  <r>
    <s v="Valdez"/>
    <m/>
    <x v="10"/>
    <x v="1"/>
  </r>
  <r>
    <s v="Valdez Airport"/>
    <m/>
    <x v="10"/>
    <x v="1"/>
  </r>
  <r>
    <s v="Bear Creek"/>
    <m/>
    <x v="11"/>
    <x v="1"/>
  </r>
  <r>
    <s v="Cottonwood"/>
    <m/>
    <x v="11"/>
    <x v="1"/>
  </r>
  <r>
    <s v="Kotzebue"/>
    <m/>
    <x v="11"/>
    <x v="1"/>
  </r>
  <r>
    <s v="Nome"/>
    <m/>
    <x v="11"/>
    <x v="1"/>
  </r>
  <r>
    <s v="Nome Airport"/>
    <m/>
    <x v="11"/>
    <x v="1"/>
  </r>
  <r>
    <s v="Saint Marys"/>
    <m/>
    <x v="11"/>
    <x v="1"/>
  </r>
  <r>
    <s v="Teller"/>
    <m/>
    <x v="11"/>
    <x v="1"/>
  </r>
  <r>
    <s v="Unalakleet"/>
    <m/>
    <x v="11"/>
    <x v="1"/>
  </r>
  <r>
    <s v="Adak Station"/>
    <m/>
    <x v="12"/>
    <x v="2"/>
  </r>
  <r>
    <s v="Akun"/>
    <m/>
    <x v="12"/>
    <x v="2"/>
  </r>
  <r>
    <s v="Cold Bay"/>
    <m/>
    <x v="12"/>
    <x v="2"/>
  </r>
  <r>
    <s v="Iliamna"/>
    <m/>
    <x v="12"/>
    <x v="2"/>
  </r>
  <r>
    <s v="Kalsin Bay"/>
    <m/>
    <x v="12"/>
    <x v="2"/>
  </r>
  <r>
    <s v="King Salmon"/>
    <m/>
    <x v="12"/>
    <x v="2"/>
  </r>
  <r>
    <s v="Kodiak"/>
    <m/>
    <x v="12"/>
    <x v="2"/>
  </r>
  <r>
    <s v="Unalaska"/>
    <m/>
    <x v="12"/>
    <x v="2"/>
  </r>
  <r>
    <s v="Coffman Cove"/>
    <m/>
    <x v="13"/>
    <x v="2"/>
  </r>
  <r>
    <s v="Gustavus"/>
    <m/>
    <x v="13"/>
    <x v="2"/>
  </r>
  <r>
    <s v="Haines"/>
    <m/>
    <x v="13"/>
    <x v="2"/>
  </r>
  <r>
    <s v="Hoonah"/>
    <m/>
    <x v="13"/>
    <x v="2"/>
  </r>
  <r>
    <s v="Juneau"/>
    <m/>
    <x v="13"/>
    <x v="2"/>
  </r>
  <r>
    <s v="Ketchikan"/>
    <m/>
    <x v="13"/>
    <x v="2"/>
  </r>
  <r>
    <s v="Klawock"/>
    <m/>
    <x v="13"/>
    <x v="2"/>
  </r>
  <r>
    <s v="Petersburg"/>
    <m/>
    <x v="13"/>
    <x v="2"/>
  </r>
  <r>
    <s v="Sitka"/>
    <m/>
    <x v="13"/>
    <x v="2"/>
  </r>
  <r>
    <s v="Skagway"/>
    <m/>
    <x v="13"/>
    <x v="2"/>
  </r>
  <r>
    <s v="Wrangell"/>
    <m/>
    <x v="13"/>
    <x v="2"/>
  </r>
  <r>
    <s v="Yakutat"/>
    <m/>
    <x v="13"/>
    <x v="2"/>
  </r>
  <r>
    <m/>
    <s v="Birchwood Apt"/>
    <x v="0"/>
    <x v="0"/>
  </r>
  <r>
    <m/>
    <s v="Girdwood Apt"/>
    <x v="0"/>
    <x v="0"/>
  </r>
  <r>
    <m/>
    <s v="Lake Hood Strip"/>
    <x v="0"/>
    <x v="0"/>
  </r>
  <r>
    <m/>
    <s v="Whittier Apt"/>
    <x v="0"/>
    <x v="0"/>
  </r>
  <r>
    <m/>
    <s v="Chenega Bay Apt"/>
    <x v="1"/>
    <x v="0"/>
  </r>
  <r>
    <m/>
    <s v="Homer Apt"/>
    <x v="1"/>
    <x v="0"/>
  </r>
  <r>
    <m/>
    <s v="Homer-Beluga Lake SPB"/>
    <x v="1"/>
    <x v="0"/>
  </r>
  <r>
    <m/>
    <s v="Hope Apt"/>
    <x v="1"/>
    <x v="0"/>
  </r>
  <r>
    <m/>
    <s v="Kasilof Apt"/>
    <x v="1"/>
    <x v="0"/>
  </r>
  <r>
    <m/>
    <s v="Lawing Apt"/>
    <x v="1"/>
    <x v="0"/>
  </r>
  <r>
    <m/>
    <s v="Nanwalek Apt"/>
    <x v="1"/>
    <x v="0"/>
  </r>
  <r>
    <m/>
    <s v="Ninilchik Apt"/>
    <x v="1"/>
    <x v="0"/>
  </r>
  <r>
    <m/>
    <s v="Port Graham Apt"/>
    <x v="1"/>
    <x v="0"/>
  </r>
  <r>
    <m/>
    <s v="Quartz Creek Apt"/>
    <x v="1"/>
    <x v="0"/>
  </r>
  <r>
    <m/>
    <s v="Seldovia Apt"/>
    <x v="1"/>
    <x v="0"/>
  </r>
  <r>
    <m/>
    <s v="Seward Apt"/>
    <x v="1"/>
    <x v="0"/>
  </r>
  <r>
    <m/>
    <s v="Big Lake Apt"/>
    <x v="2"/>
    <x v="0"/>
  </r>
  <r>
    <m/>
    <s v="Flat Apt"/>
    <x v="2"/>
    <x v="0"/>
  </r>
  <r>
    <m/>
    <s v="Goose Bay Apt"/>
    <x v="2"/>
    <x v="0"/>
  </r>
  <r>
    <m/>
    <s v="Lime Village Apt"/>
    <x v="2"/>
    <x v="0"/>
  </r>
  <r>
    <m/>
    <s v="McGrath Apt"/>
    <x v="2"/>
    <x v="0"/>
  </r>
  <r>
    <m/>
    <s v="Nikolai Apt"/>
    <x v="2"/>
    <x v="0"/>
  </r>
  <r>
    <m/>
    <s v="Ophir Apt"/>
    <x v="2"/>
    <x v="0"/>
  </r>
  <r>
    <m/>
    <s v="Sheep Mountain Apt"/>
    <x v="2"/>
    <x v="0"/>
  </r>
  <r>
    <m/>
    <s v="Skwentna Apt"/>
    <x v="2"/>
    <x v="0"/>
  </r>
  <r>
    <m/>
    <s v="Takotna Apt"/>
    <x v="2"/>
    <x v="0"/>
  </r>
  <r>
    <m/>
    <s v="Talkeetna Apt"/>
    <x v="2"/>
    <x v="0"/>
  </r>
  <r>
    <m/>
    <s v="Willow Apt"/>
    <x v="2"/>
    <x v="0"/>
  </r>
  <r>
    <m/>
    <s v="Akiachak Apt"/>
    <x v="3"/>
    <x v="0"/>
  </r>
  <r>
    <m/>
    <s v="Akiak Apt"/>
    <x v="3"/>
    <x v="0"/>
  </r>
  <r>
    <m/>
    <s v="Aleknagik Apt"/>
    <x v="3"/>
    <x v="0"/>
  </r>
  <r>
    <m/>
    <s v="Aniak Apt"/>
    <x v="3"/>
    <x v="0"/>
  </r>
  <r>
    <m/>
    <s v="Atmautluak Apt"/>
    <x v="3"/>
    <x v="0"/>
  </r>
  <r>
    <m/>
    <s v="Bethel Apt"/>
    <x v="3"/>
    <x v="0"/>
  </r>
  <r>
    <m/>
    <s v="Chefornak Apt"/>
    <x v="3"/>
    <x v="0"/>
  </r>
  <r>
    <m/>
    <s v="Chevak Apt"/>
    <x v="3"/>
    <x v="0"/>
  </r>
  <r>
    <m/>
    <s v="Chuathbaluk Apt"/>
    <x v="3"/>
    <x v="0"/>
  </r>
  <r>
    <m/>
    <s v="Clarks Point Apt"/>
    <x v="3"/>
    <x v="0"/>
  </r>
  <r>
    <m/>
    <s v="Crooked Creek Apt"/>
    <x v="3"/>
    <x v="0"/>
  </r>
  <r>
    <m/>
    <s v="Dillingham Apt"/>
    <x v="3"/>
    <x v="0"/>
  </r>
  <r>
    <m/>
    <s v="Eek Apt"/>
    <x v="3"/>
    <x v="0"/>
  </r>
  <r>
    <m/>
    <s v="Ekwok Apt"/>
    <x v="3"/>
    <x v="0"/>
  </r>
  <r>
    <m/>
    <s v="Goodnews Apt"/>
    <x v="3"/>
    <x v="0"/>
  </r>
  <r>
    <m/>
    <s v="Hooper Bay Apt"/>
    <x v="3"/>
    <x v="0"/>
  </r>
  <r>
    <m/>
    <s v="Kalskag Apt"/>
    <x v="3"/>
    <x v="0"/>
  </r>
  <r>
    <m/>
    <s v="Kasigluk Apt"/>
    <x v="3"/>
    <x v="0"/>
  </r>
  <r>
    <m/>
    <s v="Kipnuk Apt"/>
    <x v="3"/>
    <x v="0"/>
  </r>
  <r>
    <m/>
    <s v="Koliganek Apt"/>
    <x v="3"/>
    <x v="0"/>
  </r>
  <r>
    <m/>
    <s v="Kongiganak Apt"/>
    <x v="3"/>
    <x v="0"/>
  </r>
  <r>
    <m/>
    <s v="Kwethluk Apt"/>
    <x v="3"/>
    <x v="0"/>
  </r>
  <r>
    <m/>
    <s v="Kwigillingok Apt"/>
    <x v="3"/>
    <x v="0"/>
  </r>
  <r>
    <m/>
    <s v="Manokotak Apt"/>
    <x v="3"/>
    <x v="0"/>
  </r>
  <r>
    <m/>
    <s v="Mekoryuk Apt"/>
    <x v="3"/>
    <x v="0"/>
  </r>
  <r>
    <m/>
    <s v="Napakiak Apt"/>
    <x v="3"/>
    <x v="0"/>
  </r>
  <r>
    <m/>
    <s v="Napaskiak Apt"/>
    <x v="3"/>
    <x v="0"/>
  </r>
  <r>
    <m/>
    <s v="New Stuyahok Apt"/>
    <x v="3"/>
    <x v="0"/>
  </r>
  <r>
    <m/>
    <s v="Newtok Apt"/>
    <x v="3"/>
    <x v="0"/>
  </r>
  <r>
    <m/>
    <s v="Nightmute Apt"/>
    <x v="3"/>
    <x v="0"/>
  </r>
  <r>
    <m/>
    <s v="Nunapitchuk Apt"/>
    <x v="3"/>
    <x v="0"/>
  </r>
  <r>
    <m/>
    <s v="Platinum Apt"/>
    <x v="3"/>
    <x v="0"/>
  </r>
  <r>
    <m/>
    <s v="Portage Creek Apt"/>
    <x v="3"/>
    <x v="0"/>
  </r>
  <r>
    <m/>
    <s v="Red Devil Apt"/>
    <x v="3"/>
    <x v="0"/>
  </r>
  <r>
    <m/>
    <s v="Scammon Bay Apt"/>
    <x v="3"/>
    <x v="0"/>
  </r>
  <r>
    <m/>
    <s v="Sleetmute Apt"/>
    <x v="3"/>
    <x v="0"/>
  </r>
  <r>
    <m/>
    <s v="Stony River No 2 Apt"/>
    <x v="3"/>
    <x v="0"/>
  </r>
  <r>
    <m/>
    <s v="Togiak Apt"/>
    <x v="3"/>
    <x v="0"/>
  </r>
  <r>
    <m/>
    <s v="Toksook Bay Apt"/>
    <x v="3"/>
    <x v="0"/>
  </r>
  <r>
    <m/>
    <s v="Tuluksak Apt"/>
    <x v="3"/>
    <x v="0"/>
  </r>
  <r>
    <m/>
    <s v="Tuntutuliak Apt"/>
    <x v="3"/>
    <x v="0"/>
  </r>
  <r>
    <m/>
    <s v="Tununak Apt"/>
    <x v="3"/>
    <x v="0"/>
  </r>
  <r>
    <m/>
    <s v="Twin Hills Apt"/>
    <x v="3"/>
    <x v="0"/>
  </r>
  <r>
    <m/>
    <s v="Barrow Wiley Post-Will Rogers Apt"/>
    <x v="4"/>
    <x v="1"/>
  </r>
  <r>
    <m/>
    <s v="Chandalar Lake Apt"/>
    <x v="4"/>
    <x v="1"/>
  </r>
  <r>
    <m/>
    <s v="Chandalar Shelf Apt"/>
    <x v="4"/>
    <x v="1"/>
  </r>
  <r>
    <m/>
    <s v="Coldfoot Apt"/>
    <x v="4"/>
    <x v="1"/>
  </r>
  <r>
    <m/>
    <s v="Deadhorse Apt"/>
    <x v="4"/>
    <x v="1"/>
  </r>
  <r>
    <m/>
    <s v="Galbraith Lake Apt"/>
    <x v="4"/>
    <x v="1"/>
  </r>
  <r>
    <m/>
    <s v="Livengood Camp Apt"/>
    <x v="4"/>
    <x v="1"/>
  </r>
  <r>
    <m/>
    <s v="Manley Hot Springs Apt"/>
    <x v="4"/>
    <x v="1"/>
  </r>
  <r>
    <m/>
    <s v="Minto Al Wright Apt"/>
    <x v="4"/>
    <x v="1"/>
  </r>
  <r>
    <m/>
    <s v="Prospect Creek Apt"/>
    <x v="4"/>
    <x v="1"/>
  </r>
  <r>
    <m/>
    <s v="Wiseman Apt"/>
    <x v="4"/>
    <x v="1"/>
  </r>
  <r>
    <m/>
    <s v="Clear Apt"/>
    <x v="5"/>
    <x v="1"/>
  </r>
  <r>
    <m/>
    <s v="Gold King Creek Apt"/>
    <x v="5"/>
    <x v="1"/>
  </r>
  <r>
    <m/>
    <s v="Healy River Apt"/>
    <x v="5"/>
    <x v="1"/>
  </r>
  <r>
    <m/>
    <s v="Kantishna Apt"/>
    <x v="5"/>
    <x v="1"/>
  </r>
  <r>
    <m/>
    <s v="Summit Apt"/>
    <x v="5"/>
    <x v="1"/>
  </r>
  <r>
    <m/>
    <s v="Central Apt"/>
    <x v="6"/>
    <x v="1"/>
  </r>
  <r>
    <m/>
    <s v="Circle City Apt"/>
    <x v="6"/>
    <x v="1"/>
  </r>
  <r>
    <m/>
    <s v="Circle Hot Springs Apt"/>
    <x v="6"/>
    <x v="1"/>
  </r>
  <r>
    <m/>
    <s v="Allakaket Apt"/>
    <x v="7"/>
    <x v="1"/>
  </r>
  <r>
    <m/>
    <s v="Bettles Apt"/>
    <x v="7"/>
    <x v="1"/>
  </r>
  <r>
    <m/>
    <s v="Galena Apt"/>
    <x v="7"/>
    <x v="1"/>
  </r>
  <r>
    <m/>
    <s v="Hughes Apt"/>
    <x v="7"/>
    <x v="1"/>
  </r>
  <r>
    <m/>
    <s v="Huslia Apt"/>
    <x v="7"/>
    <x v="1"/>
  </r>
  <r>
    <m/>
    <s v="Kaltag Apt"/>
    <x v="7"/>
    <x v="1"/>
  </r>
  <r>
    <m/>
    <s v="Koyukuk Apt"/>
    <x v="7"/>
    <x v="1"/>
  </r>
  <r>
    <m/>
    <s v="Lake Minchumina Apt"/>
    <x v="7"/>
    <x v="1"/>
  </r>
  <r>
    <m/>
    <s v="Nulato Apt"/>
    <x v="7"/>
    <x v="1"/>
  </r>
  <r>
    <m/>
    <s v="Rampart Apt"/>
    <x v="7"/>
    <x v="1"/>
  </r>
  <r>
    <m/>
    <s v="Ruby Apt"/>
    <x v="7"/>
    <x v="1"/>
  </r>
  <r>
    <m/>
    <s v="Tanana Ralph M Calhoun Apt"/>
    <x v="7"/>
    <x v="1"/>
  </r>
  <r>
    <m/>
    <s v="Umiat Apt"/>
    <x v="7"/>
    <x v="1"/>
  </r>
  <r>
    <m/>
    <s v="Beaver Apt"/>
    <x v="14"/>
    <x v="1"/>
  </r>
  <r>
    <m/>
    <s v="Birch Creek Apt"/>
    <x v="14"/>
    <x v="1"/>
  </r>
  <r>
    <m/>
    <s v="Chalkyitsik Apt"/>
    <x v="14"/>
    <x v="1"/>
  </r>
  <r>
    <m/>
    <s v="Fort Yukon Apt"/>
    <x v="14"/>
    <x v="1"/>
  </r>
  <r>
    <m/>
    <s v="Stevens Village Apt"/>
    <x v="14"/>
    <x v="1"/>
  </r>
  <r>
    <m/>
    <s v="Chisana Apt"/>
    <x v="8"/>
    <x v="1"/>
  </r>
  <r>
    <m/>
    <s v="Chistochina Apt"/>
    <x v="8"/>
    <x v="1"/>
  </r>
  <r>
    <m/>
    <s v="Chitina Apt"/>
    <x v="8"/>
    <x v="1"/>
  </r>
  <r>
    <m/>
    <s v="Copper Center No 2 Apt"/>
    <x v="8"/>
    <x v="1"/>
  </r>
  <r>
    <m/>
    <s v="Gulkana Apt"/>
    <x v="8"/>
    <x v="1"/>
  </r>
  <r>
    <m/>
    <s v="Lake Louise Apt"/>
    <x v="8"/>
    <x v="1"/>
  </r>
  <r>
    <m/>
    <s v="May Creek Apt"/>
    <x v="8"/>
    <x v="1"/>
  </r>
  <r>
    <m/>
    <s v="McCarthy No 2 Apt"/>
    <x v="8"/>
    <x v="1"/>
  </r>
  <r>
    <m/>
    <s v="Tazlina Apt"/>
    <x v="8"/>
    <x v="1"/>
  </r>
  <r>
    <m/>
    <s v="Boundary Apt"/>
    <x v="9"/>
    <x v="1"/>
  </r>
  <r>
    <m/>
    <s v="Chicken Apt"/>
    <x v="9"/>
    <x v="1"/>
  </r>
  <r>
    <m/>
    <s v="Eagle Apt"/>
    <x v="9"/>
    <x v="1"/>
  </r>
  <r>
    <m/>
    <s v="Northway Apt"/>
    <x v="9"/>
    <x v="1"/>
  </r>
  <r>
    <m/>
    <s v="Tetlin Apt"/>
    <x v="9"/>
    <x v="1"/>
  </r>
  <r>
    <m/>
    <s v="Tok Junction Apt"/>
    <x v="9"/>
    <x v="1"/>
  </r>
  <r>
    <m/>
    <s v="Cordova Merle K &quot;Mudhole&quot; Smith Apt"/>
    <x v="10"/>
    <x v="1"/>
  </r>
  <r>
    <m/>
    <s v="Cordova Municipal Apt"/>
    <x v="10"/>
    <x v="1"/>
  </r>
  <r>
    <m/>
    <s v="Tatitlek Apt"/>
    <x v="10"/>
    <x v="1"/>
  </r>
  <r>
    <m/>
    <s v="Valdez Apt"/>
    <x v="10"/>
    <x v="1"/>
  </r>
  <r>
    <m/>
    <s v="Alakanuk Apt"/>
    <x v="11"/>
    <x v="1"/>
  </r>
  <r>
    <m/>
    <s v="Ambler Apt"/>
    <x v="11"/>
    <x v="1"/>
  </r>
  <r>
    <m/>
    <s v="Anvik Apt"/>
    <x v="11"/>
    <x v="1"/>
  </r>
  <r>
    <m/>
    <s v="Brevig Mission Apt"/>
    <x v="11"/>
    <x v="1"/>
  </r>
  <r>
    <m/>
    <s v="Buckland Apt"/>
    <x v="11"/>
    <x v="1"/>
  </r>
  <r>
    <m/>
    <s v="Council No 1 Apt"/>
    <x v="11"/>
    <x v="1"/>
  </r>
  <r>
    <m/>
    <s v="Dahl Creek Apt"/>
    <x v="11"/>
    <x v="1"/>
  </r>
  <r>
    <m/>
    <s v="Deering Apt"/>
    <x v="11"/>
    <x v="1"/>
  </r>
  <r>
    <m/>
    <s v="Elim Apt"/>
    <x v="11"/>
    <x v="1"/>
  </r>
  <r>
    <m/>
    <s v="Emmonak Apt"/>
    <x v="11"/>
    <x v="1"/>
  </r>
  <r>
    <m/>
    <s v="Gambell Apt"/>
    <x v="11"/>
    <x v="1"/>
  </r>
  <r>
    <m/>
    <s v="Grayling Apt"/>
    <x v="11"/>
    <x v="1"/>
  </r>
  <r>
    <m/>
    <s v="Holy Cross Apt"/>
    <x v="11"/>
    <x v="1"/>
  </r>
  <r>
    <m/>
    <s v="Kiana Bob Baker Memorial Apt"/>
    <x v="11"/>
    <x v="1"/>
  </r>
  <r>
    <m/>
    <s v="Kivalina Apt"/>
    <x v="11"/>
    <x v="1"/>
  </r>
  <r>
    <m/>
    <s v="Kobuk Apt"/>
    <x v="11"/>
    <x v="1"/>
  </r>
  <r>
    <m/>
    <s v="Kotlik Apt"/>
    <x v="11"/>
    <x v="1"/>
  </r>
  <r>
    <m/>
    <s v="Kotzebue Ralph Wien Memorial Apt"/>
    <x v="11"/>
    <x v="1"/>
  </r>
  <r>
    <m/>
    <s v="Koyuk Apt"/>
    <x v="11"/>
    <x v="1"/>
  </r>
  <r>
    <m/>
    <s v="Little Diomede Heliport"/>
    <x v="11"/>
    <x v="1"/>
  </r>
  <r>
    <m/>
    <s v="Marshall Apt"/>
    <x v="11"/>
    <x v="1"/>
  </r>
  <r>
    <m/>
    <s v="Mountain Village Apt"/>
    <x v="11"/>
    <x v="1"/>
  </r>
  <r>
    <m/>
    <s v="New Golovin Apt"/>
    <x v="11"/>
    <x v="1"/>
  </r>
  <r>
    <m/>
    <s v="Noatak Apt"/>
    <x v="11"/>
    <x v="1"/>
  </r>
  <r>
    <m/>
    <s v="Nome Apt"/>
    <x v="11"/>
    <x v="1"/>
  </r>
  <r>
    <m/>
    <s v="Nome City Field Apt"/>
    <x v="11"/>
    <x v="1"/>
  </r>
  <r>
    <m/>
    <s v="Noorvik Robert (Bob) Curtis Memorial Apt"/>
    <x v="11"/>
    <x v="1"/>
  </r>
  <r>
    <m/>
    <s v="Nunam Iqua Apt"/>
    <x v="11"/>
    <x v="1"/>
  </r>
  <r>
    <m/>
    <s v="Pilot Station Apt"/>
    <x v="11"/>
    <x v="1"/>
  </r>
  <r>
    <m/>
    <s v="Point Hope Apt"/>
    <x v="11"/>
    <x v="1"/>
  </r>
  <r>
    <m/>
    <s v="Quartz Creek-Kougarok Apt"/>
    <x v="11"/>
    <x v="1"/>
  </r>
  <r>
    <m/>
    <s v="Russian Mission Apt"/>
    <x v="11"/>
    <x v="1"/>
  </r>
  <r>
    <m/>
    <s v="Saint Mary's Apt"/>
    <x v="11"/>
    <x v="1"/>
  </r>
  <r>
    <m/>
    <s v="Saint Michael Apt"/>
    <x v="11"/>
    <x v="1"/>
  </r>
  <r>
    <m/>
    <s v="Salmon Lake Apt"/>
    <x v="11"/>
    <x v="1"/>
  </r>
  <r>
    <m/>
    <s v="Savoonga Apt"/>
    <x v="11"/>
    <x v="1"/>
  </r>
  <r>
    <m/>
    <s v="Selawik Apt"/>
    <x v="11"/>
    <x v="1"/>
  </r>
  <r>
    <m/>
    <s v="Shageluk Apt"/>
    <x v="11"/>
    <x v="1"/>
  </r>
  <r>
    <m/>
    <s v="Shaktoolik Apt"/>
    <x v="11"/>
    <x v="1"/>
  </r>
  <r>
    <m/>
    <s v="Shishmaref Apt"/>
    <x v="11"/>
    <x v="1"/>
  </r>
  <r>
    <m/>
    <s v="Shungnak Apt"/>
    <x v="11"/>
    <x v="1"/>
  </r>
  <r>
    <m/>
    <s v="Stebbins Apt"/>
    <x v="11"/>
    <x v="1"/>
  </r>
  <r>
    <m/>
    <s v="Teller Apt"/>
    <x v="11"/>
    <x v="1"/>
  </r>
  <r>
    <m/>
    <s v="Unalakleet Apt"/>
    <x v="11"/>
    <x v="1"/>
  </r>
  <r>
    <m/>
    <s v="Wales Apt"/>
    <x v="11"/>
    <x v="1"/>
  </r>
  <r>
    <m/>
    <s v="White Mountain Apt"/>
    <x v="11"/>
    <x v="1"/>
  </r>
  <r>
    <m/>
    <s v="Adak Apt"/>
    <x v="12"/>
    <x v="2"/>
  </r>
  <r>
    <m/>
    <s v="Akhiok Apt"/>
    <x v="12"/>
    <x v="2"/>
  </r>
  <r>
    <m/>
    <s v="Akutan Apt"/>
    <x v="12"/>
    <x v="2"/>
  </r>
  <r>
    <m/>
    <s v="Atka Apt"/>
    <x v="12"/>
    <x v="2"/>
  </r>
  <r>
    <m/>
    <s v="Chignik Apt"/>
    <x v="12"/>
    <x v="2"/>
  </r>
  <r>
    <m/>
    <s v="Chignik Lagoon Apt"/>
    <x v="12"/>
    <x v="2"/>
  </r>
  <r>
    <m/>
    <s v="Chignik Lake Apt"/>
    <x v="12"/>
    <x v="2"/>
  </r>
  <r>
    <m/>
    <s v="Cold Bay Apt"/>
    <x v="12"/>
    <x v="2"/>
  </r>
  <r>
    <m/>
    <s v="False Pass Apt"/>
    <x v="12"/>
    <x v="2"/>
  </r>
  <r>
    <m/>
    <s v="Igiugig Apt"/>
    <x v="12"/>
    <x v="2"/>
  </r>
  <r>
    <m/>
    <s v="Iliamna Apt"/>
    <x v="12"/>
    <x v="2"/>
  </r>
  <r>
    <m/>
    <s v="Karluk Apt"/>
    <x v="12"/>
    <x v="2"/>
  </r>
  <r>
    <m/>
    <s v="King Cove Apt"/>
    <x v="12"/>
    <x v="2"/>
  </r>
  <r>
    <m/>
    <s v="King Salmon Apt"/>
    <x v="12"/>
    <x v="2"/>
  </r>
  <r>
    <m/>
    <s v="King Salmon SPB"/>
    <x v="12"/>
    <x v="2"/>
  </r>
  <r>
    <m/>
    <s v="Kodiak Apt"/>
    <x v="12"/>
    <x v="2"/>
  </r>
  <r>
    <m/>
    <s v="Kokhanok Apt"/>
    <x v="12"/>
    <x v="2"/>
  </r>
  <r>
    <m/>
    <s v="Larsen Bay Apt"/>
    <x v="12"/>
    <x v="2"/>
  </r>
  <r>
    <m/>
    <s v="Levelock Apt"/>
    <x v="12"/>
    <x v="2"/>
  </r>
  <r>
    <m/>
    <s v="Naknek Apt"/>
    <x v="12"/>
    <x v="2"/>
  </r>
  <r>
    <m/>
    <s v="Nelson Lagoon Apt"/>
    <x v="12"/>
    <x v="2"/>
  </r>
  <r>
    <m/>
    <s v="Nondalton Apt"/>
    <x v="12"/>
    <x v="2"/>
  </r>
  <r>
    <m/>
    <s v="Old Harbor Apt"/>
    <x v="12"/>
    <x v="2"/>
  </r>
  <r>
    <m/>
    <s v="Ouzinkie Apt"/>
    <x v="12"/>
    <x v="2"/>
  </r>
  <r>
    <m/>
    <s v="Pedro Bay Apt"/>
    <x v="12"/>
    <x v="2"/>
  </r>
  <r>
    <m/>
    <s v="Perryville Apt"/>
    <x v="12"/>
    <x v="2"/>
  </r>
  <r>
    <m/>
    <s v="Pilot Point Apt"/>
    <x v="12"/>
    <x v="2"/>
  </r>
  <r>
    <m/>
    <s v="Port Heiden Apt"/>
    <x v="12"/>
    <x v="2"/>
  </r>
  <r>
    <m/>
    <s v="Port Lions Apt"/>
    <x v="12"/>
    <x v="2"/>
  </r>
  <r>
    <m/>
    <s v="Saint George Apt"/>
    <x v="12"/>
    <x v="2"/>
  </r>
  <r>
    <m/>
    <s v="Saint Paul Island Apt"/>
    <x v="12"/>
    <x v="2"/>
  </r>
  <r>
    <m/>
    <s v="Sand Point Apt"/>
    <x v="12"/>
    <x v="2"/>
  </r>
  <r>
    <m/>
    <s v="South Naknek No 2 Apt"/>
    <x v="12"/>
    <x v="2"/>
  </r>
  <r>
    <m/>
    <s v="Ugashik Apt"/>
    <x v="12"/>
    <x v="2"/>
  </r>
  <r>
    <m/>
    <s v="Unalaska / Dutch Harbor Apt"/>
    <x v="12"/>
    <x v="2"/>
  </r>
  <r>
    <m/>
    <s v="Angoon SPB"/>
    <x v="13"/>
    <x v="2"/>
  </r>
  <r>
    <m/>
    <s v="Clark Bay SPB"/>
    <x v="13"/>
    <x v="2"/>
  </r>
  <r>
    <m/>
    <s v="Coffman Cove SPB"/>
    <x v="13"/>
    <x v="2"/>
  </r>
  <r>
    <m/>
    <s v="Elfin Cove SPB"/>
    <x v="13"/>
    <x v="2"/>
  </r>
  <r>
    <m/>
    <s v="Excursion Inlet SPB"/>
    <x v="13"/>
    <x v="2"/>
  </r>
  <r>
    <m/>
    <s v="Funter Bay SPB"/>
    <x v="13"/>
    <x v="2"/>
  </r>
  <r>
    <m/>
    <s v="Gustavus Apt"/>
    <x v="13"/>
    <x v="2"/>
  </r>
  <r>
    <m/>
    <s v="Haines Apt"/>
    <x v="13"/>
    <x v="2"/>
  </r>
  <r>
    <m/>
    <s v="Hoonah Apt"/>
    <x v="13"/>
    <x v="2"/>
  </r>
  <r>
    <m/>
    <s v="Hoonah SPB"/>
    <x v="13"/>
    <x v="2"/>
  </r>
  <r>
    <m/>
    <s v="Hydaburg SPB"/>
    <x v="13"/>
    <x v="2"/>
  </r>
  <r>
    <m/>
    <s v="Hyder SPB"/>
    <x v="13"/>
    <x v="2"/>
  </r>
  <r>
    <m/>
    <s v="Kake Apt"/>
    <x v="13"/>
    <x v="2"/>
  </r>
  <r>
    <m/>
    <s v="Kasaan SPB"/>
    <x v="13"/>
    <x v="2"/>
  </r>
  <r>
    <m/>
    <s v="Ketchikan International Airport"/>
    <x v="13"/>
    <x v="2"/>
  </r>
  <r>
    <m/>
    <s v="Ketchikan Peninsula Point SPB"/>
    <x v="13"/>
    <x v="2"/>
  </r>
  <r>
    <m/>
    <s v="Klawock Apt"/>
    <x v="13"/>
    <x v="2"/>
  </r>
  <r>
    <m/>
    <s v="Metlakatla SPB"/>
    <x v="13"/>
    <x v="2"/>
  </r>
  <r>
    <m/>
    <s v="Petersburg James A Johnson Apt"/>
    <x v="13"/>
    <x v="2"/>
  </r>
  <r>
    <m/>
    <s v="Petersburg Lloyd R Roundtree SPB"/>
    <x v="13"/>
    <x v="2"/>
  </r>
  <r>
    <m/>
    <s v="Point Baker SPB"/>
    <x v="13"/>
    <x v="2"/>
  </r>
  <r>
    <m/>
    <s v="Port Protection SPB"/>
    <x v="13"/>
    <x v="2"/>
  </r>
  <r>
    <m/>
    <s v="Sitka Apt"/>
    <x v="13"/>
    <x v="2"/>
  </r>
  <r>
    <m/>
    <s v="Skagway Apt"/>
    <x v="13"/>
    <x v="2"/>
  </r>
  <r>
    <m/>
    <s v="Tenakee SPB"/>
    <x v="13"/>
    <x v="2"/>
  </r>
  <r>
    <m/>
    <s v="Wrangell Apt"/>
    <x v="13"/>
    <x v="2"/>
  </r>
  <r>
    <m/>
    <s v="Yakutat Apt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714C3-C8C0-4050-9FE5-DD395CA07EB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4">
    <pivotField dataField="1" showAll="0"/>
    <pivotField dataField="1" showAll="0"/>
    <pivotField axis="axisRow" showAll="0">
      <items count="16">
        <item x="0"/>
        <item x="4"/>
        <item x="5"/>
        <item x="6"/>
        <item x="1"/>
        <item x="12"/>
        <item x="2"/>
        <item x="7"/>
        <item x="14"/>
        <item x="13"/>
        <item x="3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2"/>
  </rowFields>
  <rowItems count="19">
    <i>
      <x/>
    </i>
    <i r="1">
      <x/>
    </i>
    <i r="1">
      <x v="4"/>
    </i>
    <i r="1">
      <x v="6"/>
    </i>
    <i r="1">
      <x v="10"/>
    </i>
    <i>
      <x v="1"/>
    </i>
    <i r="1">
      <x v="1"/>
    </i>
    <i r="1">
      <x v="2"/>
    </i>
    <i r="1">
      <x v="3"/>
    </i>
    <i r="1">
      <x v="7"/>
    </i>
    <i r="1">
      <x v="8"/>
    </i>
    <i r="1">
      <x v="11"/>
    </i>
    <i r="1">
      <x v="12"/>
    </i>
    <i r="1">
      <x v="13"/>
    </i>
    <i r="1">
      <x v="14"/>
    </i>
    <i>
      <x v="2"/>
    </i>
    <i r="1"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ural Airport" fld="1" subtotal="count" baseField="0" baseItem="0"/>
    <dataField name="Count of Maintenance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65CC84-CD29-4A39-8822-33093AB4F80A}" name="Table2" displayName="Table2" ref="A1:Q85" totalsRowCount="1" headerRowDxfId="18" dataDxfId="17" dataCellStyle="Currency">
  <autoFilter ref="A1:Q84" xr:uid="{1A65CC84-CD29-4A39-8822-33093AB4F80A}"/>
  <tableColumns count="17">
    <tableColumn id="1" xr3:uid="{D8D7D49C-ADCA-4872-8DC5-2725511A88E6}" name="Region" totalsRowLabel="Total" dataDxfId="16"/>
    <tableColumn id="2" xr3:uid="{688EA513-FE92-40BF-BAE0-51679731284A}" name="Maintenance District"/>
    <tableColumn id="3" xr3:uid="{A64A9923-A43A-440E-A5A2-9D121E7C44F1}" name="Maintenance Station"/>
    <tableColumn id="4" xr3:uid="{A8FBA0DD-A017-47D8-BF7C-08210FDD1304}" name="Rural Airports" totalsRowFunction="sum"/>
    <tableColumn id="5" xr3:uid="{4A52D861-0867-4946-B99F-498E920FE929}" name="Airport Surface Area" totalsRowFunction="sum"/>
    <tableColumn id="6" xr3:uid="{1CD0D57B-3BC5-4F2B-BE1F-6F0C532BA2DA}" name="Through Miles" totalsRowFunction="sum"/>
    <tableColumn id="7" xr3:uid="{B33FB260-226E-44C6-98D6-0C68EDCEA2E3}" name="Lane Miles" totalsRowFunction="sum"/>
    <tableColumn id="8" xr3:uid="{20BB787E-0240-41AA-82A6-D7B09B1D5EB3}" name="Sidewalk Miles" totalsRowFunction="sum"/>
    <tableColumn id="9" xr3:uid="{4780FACD-12C2-432A-9C05-A0C8156801E8}" name="Positions" totalsRowFunction="sum"/>
    <tableColumn id="10" xr3:uid="{08E04F86-264A-4C65-BB88-7F4B7F33AFD6}" name="Total" totalsRowFunction="sum" dataDxfId="15" totalsRowDxfId="7" dataCellStyle="Currency"/>
    <tableColumn id="11" xr3:uid="{914B3ADF-2721-4568-9AB5-76A145C42CE3}" name="1000" totalsRowFunction="sum" dataDxfId="14" totalsRowDxfId="6" dataCellStyle="Currency"/>
    <tableColumn id="12" xr3:uid="{1644446B-22CC-4D8A-879E-939DE24D69F3}" name="2000" totalsRowFunction="sum" dataDxfId="13" totalsRowDxfId="5" dataCellStyle="Currency"/>
    <tableColumn id="13" xr3:uid="{B313E50A-65B2-4E49-973A-48535EA90314}" name="3000" totalsRowFunction="sum" dataDxfId="12" totalsRowDxfId="4" dataCellStyle="Currency"/>
    <tableColumn id="14" xr3:uid="{CE38B36C-E715-4795-B363-2BA0E76B6732}" name="4000" totalsRowFunction="sum" dataDxfId="11" totalsRowDxfId="3" dataCellStyle="Currency"/>
    <tableColumn id="15" xr3:uid="{C4F69A6B-285F-4120-AF52-36E1A90286F0}" name="5000" totalsRowFunction="sum" dataDxfId="10" totalsRowDxfId="2" dataCellStyle="Currency"/>
    <tableColumn id="16" xr3:uid="{AE969FD7-C1D0-4665-A3F0-124B8407FA93}" name="FED / CIP" totalsRowFunction="sum" dataDxfId="9" totalsRowDxfId="1" dataCellStyle="Currency"/>
    <tableColumn id="17" xr3:uid="{99450E4C-127A-4852-B173-8B3BEE751AA9}" name="Rural Aviation" totalsRowFunction="sum" dataDxfId="8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C3D5-11AB-407A-B5F4-C5CB9F67383C}">
  <sheetPr codeName="Sheet2"/>
  <dimension ref="A1:C82"/>
  <sheetViews>
    <sheetView workbookViewId="0">
      <selection activeCell="F14" sqref="F14"/>
    </sheetView>
  </sheetViews>
  <sheetFormatPr defaultRowHeight="12.75"/>
  <cols>
    <col min="1" max="1" width="20.73046875" customWidth="1"/>
    <col min="2" max="2" width="39" customWidth="1"/>
  </cols>
  <sheetData>
    <row r="1" spans="1:3">
      <c r="A1" t="s">
        <v>332</v>
      </c>
      <c r="B1" t="s">
        <v>331</v>
      </c>
      <c r="C1" t="s">
        <v>330</v>
      </c>
    </row>
    <row r="2" spans="1:3">
      <c r="A2" t="s">
        <v>43</v>
      </c>
      <c r="B2" t="s">
        <v>44</v>
      </c>
      <c r="C2" t="s">
        <v>85</v>
      </c>
    </row>
    <row r="3" spans="1:3">
      <c r="A3" t="s">
        <v>45</v>
      </c>
      <c r="B3" t="s">
        <v>44</v>
      </c>
      <c r="C3" t="s">
        <v>85</v>
      </c>
    </row>
    <row r="4" spans="1:3">
      <c r="A4" t="s">
        <v>24</v>
      </c>
      <c r="B4" t="s">
        <v>23</v>
      </c>
      <c r="C4" t="s">
        <v>85</v>
      </c>
    </row>
    <row r="5" spans="1:3">
      <c r="A5" t="s">
        <v>25</v>
      </c>
      <c r="B5" t="s">
        <v>23</v>
      </c>
      <c r="C5" t="s">
        <v>85</v>
      </c>
    </row>
    <row r="6" spans="1:3">
      <c r="A6" t="s">
        <v>26</v>
      </c>
      <c r="B6" t="s">
        <v>23</v>
      </c>
      <c r="C6" t="s">
        <v>85</v>
      </c>
    </row>
    <row r="7" spans="1:3">
      <c r="A7" t="s">
        <v>31</v>
      </c>
      <c r="B7" t="s">
        <v>23</v>
      </c>
      <c r="C7" t="s">
        <v>85</v>
      </c>
    </row>
    <row r="8" spans="1:3">
      <c r="A8" t="s">
        <v>27</v>
      </c>
      <c r="B8" t="s">
        <v>23</v>
      </c>
      <c r="C8" t="s">
        <v>85</v>
      </c>
    </row>
    <row r="9" spans="1:3">
      <c r="A9" t="s">
        <v>22</v>
      </c>
      <c r="B9" t="s">
        <v>23</v>
      </c>
      <c r="C9" t="s">
        <v>85</v>
      </c>
    </row>
    <row r="10" spans="1:3">
      <c r="A10" t="s">
        <v>29</v>
      </c>
      <c r="B10" t="s">
        <v>23</v>
      </c>
      <c r="C10" t="s">
        <v>85</v>
      </c>
    </row>
    <row r="11" spans="1:3">
      <c r="A11" t="s">
        <v>28</v>
      </c>
      <c r="B11" t="s">
        <v>23</v>
      </c>
      <c r="C11" t="s">
        <v>85</v>
      </c>
    </row>
    <row r="12" spans="1:3">
      <c r="A12" t="s">
        <v>30</v>
      </c>
      <c r="B12" t="s">
        <v>23</v>
      </c>
      <c r="C12" t="s">
        <v>85</v>
      </c>
    </row>
    <row r="13" spans="1:3">
      <c r="A13" t="s">
        <v>36</v>
      </c>
      <c r="B13" t="s">
        <v>37</v>
      </c>
      <c r="C13" t="s">
        <v>85</v>
      </c>
    </row>
    <row r="14" spans="1:3">
      <c r="A14" t="s">
        <v>38</v>
      </c>
      <c r="B14" t="s">
        <v>37</v>
      </c>
      <c r="C14" t="s">
        <v>85</v>
      </c>
    </row>
    <row r="15" spans="1:3">
      <c r="A15" t="s">
        <v>41</v>
      </c>
      <c r="B15" t="s">
        <v>37</v>
      </c>
      <c r="C15" t="s">
        <v>85</v>
      </c>
    </row>
    <row r="16" spans="1:3">
      <c r="A16" t="s">
        <v>39</v>
      </c>
      <c r="B16" t="s">
        <v>37</v>
      </c>
      <c r="C16" t="s">
        <v>85</v>
      </c>
    </row>
    <row r="17" spans="1:3">
      <c r="A17" t="s">
        <v>42</v>
      </c>
      <c r="B17" t="s">
        <v>37</v>
      </c>
      <c r="C17" t="s">
        <v>85</v>
      </c>
    </row>
    <row r="18" spans="1:3">
      <c r="A18" t="s">
        <v>40</v>
      </c>
      <c r="B18" t="s">
        <v>37</v>
      </c>
      <c r="C18" t="s">
        <v>85</v>
      </c>
    </row>
    <row r="19" spans="1:3">
      <c r="A19" t="s">
        <v>35</v>
      </c>
      <c r="B19" t="s">
        <v>33</v>
      </c>
      <c r="C19" t="s">
        <v>85</v>
      </c>
    </row>
    <row r="20" spans="1:3">
      <c r="A20" t="s">
        <v>34</v>
      </c>
      <c r="B20" t="s">
        <v>33</v>
      </c>
      <c r="C20" t="s">
        <v>85</v>
      </c>
    </row>
    <row r="21" spans="1:3">
      <c r="A21" t="s">
        <v>32</v>
      </c>
      <c r="B21" t="s">
        <v>33</v>
      </c>
      <c r="C21" t="s">
        <v>85</v>
      </c>
    </row>
    <row r="22" spans="1:3">
      <c r="A22" t="s">
        <v>71</v>
      </c>
      <c r="B22" t="s">
        <v>70</v>
      </c>
      <c r="C22" t="s">
        <v>334</v>
      </c>
    </row>
    <row r="23" spans="1:3">
      <c r="A23" t="s">
        <v>73</v>
      </c>
      <c r="B23" t="s">
        <v>70</v>
      </c>
      <c r="C23" t="s">
        <v>334</v>
      </c>
    </row>
    <row r="24" spans="1:3">
      <c r="A24" t="s">
        <v>74</v>
      </c>
      <c r="B24" t="s">
        <v>70</v>
      </c>
      <c r="C24" t="s">
        <v>334</v>
      </c>
    </row>
    <row r="25" spans="1:3">
      <c r="A25" t="s">
        <v>72</v>
      </c>
      <c r="B25" t="s">
        <v>70</v>
      </c>
      <c r="C25" t="s">
        <v>334</v>
      </c>
    </row>
    <row r="26" spans="1:3">
      <c r="A26" t="s">
        <v>75</v>
      </c>
      <c r="B26" t="s">
        <v>70</v>
      </c>
      <c r="C26" t="s">
        <v>334</v>
      </c>
    </row>
    <row r="27" spans="1:3">
      <c r="A27" t="s">
        <v>76</v>
      </c>
      <c r="B27" t="s">
        <v>70</v>
      </c>
      <c r="C27" t="s">
        <v>334</v>
      </c>
    </row>
    <row r="28" spans="1:3">
      <c r="A28" t="s">
        <v>69</v>
      </c>
      <c r="B28" t="s">
        <v>70</v>
      </c>
      <c r="C28" t="s">
        <v>334</v>
      </c>
    </row>
    <row r="29" spans="1:3">
      <c r="A29" t="s">
        <v>77</v>
      </c>
      <c r="B29" t="s">
        <v>70</v>
      </c>
      <c r="C29" t="s">
        <v>334</v>
      </c>
    </row>
    <row r="30" spans="1:3">
      <c r="A30" t="s">
        <v>78</v>
      </c>
      <c r="B30" t="s">
        <v>70</v>
      </c>
      <c r="C30" t="s">
        <v>334</v>
      </c>
    </row>
    <row r="31" spans="1:3">
      <c r="A31" t="s">
        <v>89</v>
      </c>
      <c r="B31" t="s">
        <v>90</v>
      </c>
      <c r="C31" t="s">
        <v>334</v>
      </c>
    </row>
    <row r="32" spans="1:3">
      <c r="A32" t="s">
        <v>91</v>
      </c>
      <c r="B32" t="s">
        <v>90</v>
      </c>
      <c r="C32" t="s">
        <v>334</v>
      </c>
    </row>
    <row r="33" spans="1:3">
      <c r="A33" t="s">
        <v>92</v>
      </c>
      <c r="B33" t="s">
        <v>90</v>
      </c>
      <c r="C33" t="s">
        <v>334</v>
      </c>
    </row>
    <row r="34" spans="1:3">
      <c r="A34" t="s">
        <v>85</v>
      </c>
      <c r="B34" t="s">
        <v>86</v>
      </c>
      <c r="C34" t="s">
        <v>334</v>
      </c>
    </row>
    <row r="35" spans="1:3">
      <c r="A35" t="s">
        <v>87</v>
      </c>
      <c r="B35" t="s">
        <v>86</v>
      </c>
      <c r="C35" t="s">
        <v>334</v>
      </c>
    </row>
    <row r="36" spans="1:3">
      <c r="A36" t="s">
        <v>88</v>
      </c>
      <c r="B36" t="s">
        <v>86</v>
      </c>
      <c r="C36" t="s">
        <v>334</v>
      </c>
    </row>
    <row r="37" spans="1:3">
      <c r="A37" t="s">
        <v>60</v>
      </c>
      <c r="B37" t="s">
        <v>61</v>
      </c>
      <c r="C37" t="s">
        <v>334</v>
      </c>
    </row>
    <row r="38" spans="1:3">
      <c r="A38" t="s">
        <v>79</v>
      </c>
      <c r="B38" t="s">
        <v>80</v>
      </c>
      <c r="C38" t="s">
        <v>334</v>
      </c>
    </row>
    <row r="39" spans="1:3">
      <c r="A39" t="s">
        <v>81</v>
      </c>
      <c r="B39" t="s">
        <v>80</v>
      </c>
      <c r="C39" t="s">
        <v>334</v>
      </c>
    </row>
    <row r="40" spans="1:3">
      <c r="A40" t="s">
        <v>82</v>
      </c>
      <c r="B40" t="s">
        <v>80</v>
      </c>
      <c r="C40" t="s">
        <v>334</v>
      </c>
    </row>
    <row r="41" spans="1:3">
      <c r="A41" t="s">
        <v>83</v>
      </c>
      <c r="B41" t="s">
        <v>80</v>
      </c>
      <c r="C41" t="s">
        <v>334</v>
      </c>
    </row>
    <row r="42" spans="1:3">
      <c r="A42" t="s">
        <v>84</v>
      </c>
      <c r="B42" t="s">
        <v>80</v>
      </c>
      <c r="C42" t="s">
        <v>334</v>
      </c>
    </row>
    <row r="43" spans="1:3">
      <c r="A43" t="s">
        <v>93</v>
      </c>
      <c r="B43" t="s">
        <v>63</v>
      </c>
      <c r="C43" t="s">
        <v>334</v>
      </c>
    </row>
    <row r="44" spans="1:3">
      <c r="A44" t="s">
        <v>67</v>
      </c>
      <c r="B44" t="s">
        <v>63</v>
      </c>
      <c r="C44" t="s">
        <v>334</v>
      </c>
    </row>
    <row r="45" spans="1:3">
      <c r="A45" t="s">
        <v>64</v>
      </c>
      <c r="B45" t="s">
        <v>63</v>
      </c>
      <c r="C45" t="s">
        <v>334</v>
      </c>
    </row>
    <row r="46" spans="1:3">
      <c r="A46" t="s">
        <v>68</v>
      </c>
      <c r="B46" t="s">
        <v>63</v>
      </c>
      <c r="C46" t="s">
        <v>334</v>
      </c>
    </row>
    <row r="47" spans="1:3">
      <c r="A47" t="s">
        <v>65</v>
      </c>
      <c r="B47" t="s">
        <v>63</v>
      </c>
      <c r="C47" t="s">
        <v>334</v>
      </c>
    </row>
    <row r="48" spans="1:3">
      <c r="A48" t="s">
        <v>62</v>
      </c>
      <c r="B48" t="s">
        <v>63</v>
      </c>
      <c r="C48" t="s">
        <v>334</v>
      </c>
    </row>
    <row r="49" spans="1:3">
      <c r="A49" t="s">
        <v>66</v>
      </c>
      <c r="B49" t="s">
        <v>63</v>
      </c>
      <c r="C49" t="s">
        <v>334</v>
      </c>
    </row>
    <row r="50" spans="1:3">
      <c r="A50" t="s">
        <v>48</v>
      </c>
      <c r="B50" t="s">
        <v>47</v>
      </c>
      <c r="C50" t="s">
        <v>334</v>
      </c>
    </row>
    <row r="51" spans="1:3">
      <c r="A51" t="s">
        <v>49</v>
      </c>
      <c r="B51" t="s">
        <v>47</v>
      </c>
      <c r="C51" t="s">
        <v>334</v>
      </c>
    </row>
    <row r="52" spans="1:3">
      <c r="A52" t="s">
        <v>50</v>
      </c>
      <c r="B52" t="s">
        <v>47</v>
      </c>
      <c r="C52" t="s">
        <v>334</v>
      </c>
    </row>
    <row r="53" spans="1:3">
      <c r="A53" t="s">
        <v>46</v>
      </c>
      <c r="B53" t="s">
        <v>47</v>
      </c>
      <c r="C53" t="s">
        <v>334</v>
      </c>
    </row>
    <row r="54" spans="1:3">
      <c r="A54" t="s">
        <v>55</v>
      </c>
      <c r="B54" t="s">
        <v>52</v>
      </c>
      <c r="C54" t="s">
        <v>334</v>
      </c>
    </row>
    <row r="55" spans="1:3">
      <c r="A55" t="s">
        <v>57</v>
      </c>
      <c r="B55" t="s">
        <v>52</v>
      </c>
      <c r="C55" t="s">
        <v>334</v>
      </c>
    </row>
    <row r="56" spans="1:3">
      <c r="A56" t="s">
        <v>56</v>
      </c>
      <c r="B56" t="s">
        <v>52</v>
      </c>
      <c r="C56" t="s">
        <v>334</v>
      </c>
    </row>
    <row r="57" spans="1:3">
      <c r="A57" t="s">
        <v>51</v>
      </c>
      <c r="B57" t="s">
        <v>52</v>
      </c>
      <c r="C57" t="s">
        <v>334</v>
      </c>
    </row>
    <row r="58" spans="1:3">
      <c r="A58" t="s">
        <v>54</v>
      </c>
      <c r="B58" t="s">
        <v>52</v>
      </c>
      <c r="C58" t="s">
        <v>334</v>
      </c>
    </row>
    <row r="59" spans="1:3">
      <c r="A59" t="s">
        <v>58</v>
      </c>
      <c r="B59" t="s">
        <v>52</v>
      </c>
      <c r="C59" t="s">
        <v>334</v>
      </c>
    </row>
    <row r="60" spans="1:3">
      <c r="A60" t="s">
        <v>53</v>
      </c>
      <c r="B60" t="s">
        <v>52</v>
      </c>
      <c r="C60" t="s">
        <v>334</v>
      </c>
    </row>
    <row r="61" spans="1:3">
      <c r="A61" t="s">
        <v>59</v>
      </c>
      <c r="B61" t="s">
        <v>52</v>
      </c>
      <c r="C61" t="s">
        <v>334</v>
      </c>
    </row>
    <row r="62" spans="1:3">
      <c r="A62" t="s">
        <v>6</v>
      </c>
      <c r="B62" t="s">
        <v>1</v>
      </c>
      <c r="C62" t="s">
        <v>335</v>
      </c>
    </row>
    <row r="63" spans="1:3">
      <c r="A63" t="s">
        <v>7</v>
      </c>
      <c r="B63" t="s">
        <v>1</v>
      </c>
      <c r="C63" t="s">
        <v>335</v>
      </c>
    </row>
    <row r="64" spans="1:3">
      <c r="A64" t="s">
        <v>3</v>
      </c>
      <c r="B64" t="s">
        <v>1</v>
      </c>
      <c r="C64" t="s">
        <v>335</v>
      </c>
    </row>
    <row r="65" spans="1:3">
      <c r="A65" t="s">
        <v>5</v>
      </c>
      <c r="B65" t="s">
        <v>1</v>
      </c>
      <c r="C65" t="s">
        <v>335</v>
      </c>
    </row>
    <row r="66" spans="1:3">
      <c r="A66" t="s">
        <v>2</v>
      </c>
      <c r="B66" t="s">
        <v>1</v>
      </c>
      <c r="C66" t="s">
        <v>335</v>
      </c>
    </row>
    <row r="67" spans="1:3">
      <c r="A67" t="s">
        <v>4</v>
      </c>
      <c r="B67" t="s">
        <v>1</v>
      </c>
      <c r="C67" t="s">
        <v>335</v>
      </c>
    </row>
    <row r="68" spans="1:3">
      <c r="A68" t="s">
        <v>0</v>
      </c>
      <c r="B68" t="s">
        <v>1</v>
      </c>
      <c r="C68" t="s">
        <v>335</v>
      </c>
    </row>
    <row r="69" spans="1:3">
      <c r="A69" t="s">
        <v>8</v>
      </c>
      <c r="B69" t="s">
        <v>1</v>
      </c>
      <c r="C69" t="s">
        <v>335</v>
      </c>
    </row>
    <row r="70" spans="1:3">
      <c r="A70" t="s">
        <v>19</v>
      </c>
      <c r="B70" t="s">
        <v>10</v>
      </c>
      <c r="C70" t="s">
        <v>335</v>
      </c>
    </row>
    <row r="71" spans="1:3">
      <c r="A71" t="s">
        <v>20</v>
      </c>
      <c r="B71" t="s">
        <v>10</v>
      </c>
      <c r="C71" t="s">
        <v>335</v>
      </c>
    </row>
    <row r="72" spans="1:3">
      <c r="A72" t="s">
        <v>9</v>
      </c>
      <c r="B72" t="s">
        <v>10</v>
      </c>
      <c r="C72" t="s">
        <v>335</v>
      </c>
    </row>
    <row r="73" spans="1:3">
      <c r="A73" t="s">
        <v>16</v>
      </c>
      <c r="B73" t="s">
        <v>10</v>
      </c>
      <c r="C73" t="s">
        <v>335</v>
      </c>
    </row>
    <row r="74" spans="1:3">
      <c r="A74" t="s">
        <v>17</v>
      </c>
      <c r="B74" t="s">
        <v>10</v>
      </c>
      <c r="C74" t="s">
        <v>335</v>
      </c>
    </row>
    <row r="75" spans="1:3">
      <c r="A75" t="s">
        <v>12</v>
      </c>
      <c r="B75" t="s">
        <v>10</v>
      </c>
      <c r="C75" t="s">
        <v>335</v>
      </c>
    </row>
    <row r="76" spans="1:3">
      <c r="A76" t="s">
        <v>13</v>
      </c>
      <c r="B76" t="s">
        <v>10</v>
      </c>
      <c r="C76" t="s">
        <v>335</v>
      </c>
    </row>
    <row r="77" spans="1:3">
      <c r="A77" t="s">
        <v>13</v>
      </c>
      <c r="B77" t="s">
        <v>10</v>
      </c>
      <c r="C77" t="s">
        <v>335</v>
      </c>
    </row>
    <row r="78" spans="1:3">
      <c r="A78" t="s">
        <v>14</v>
      </c>
      <c r="B78" t="s">
        <v>10</v>
      </c>
      <c r="C78" t="s">
        <v>335</v>
      </c>
    </row>
    <row r="79" spans="1:3">
      <c r="A79" t="s">
        <v>15</v>
      </c>
      <c r="B79" t="s">
        <v>10</v>
      </c>
      <c r="C79" t="s">
        <v>335</v>
      </c>
    </row>
    <row r="80" spans="1:3">
      <c r="A80" t="s">
        <v>11</v>
      </c>
      <c r="B80" t="s">
        <v>10</v>
      </c>
      <c r="C80" t="s">
        <v>335</v>
      </c>
    </row>
    <row r="81" spans="1:3">
      <c r="A81" t="s">
        <v>21</v>
      </c>
      <c r="B81" t="s">
        <v>10</v>
      </c>
      <c r="C81" t="s">
        <v>335</v>
      </c>
    </row>
    <row r="82" spans="1:3">
      <c r="A82" t="s">
        <v>18</v>
      </c>
      <c r="B82" t="s">
        <v>10</v>
      </c>
      <c r="C82" t="s">
        <v>335</v>
      </c>
    </row>
  </sheetData>
  <autoFilter ref="A1:C82" xr:uid="{7167C3D5-11AB-407A-B5F4-C5CB9F67383C}">
    <sortState xmlns:xlrd2="http://schemas.microsoft.com/office/spreadsheetml/2017/richdata2" ref="A2:C82">
      <sortCondition ref="C2:C82"/>
      <sortCondition ref="B2:B82"/>
      <sortCondition ref="A2:A82"/>
    </sortState>
  </autoFilter>
  <sortState xmlns:xlrd2="http://schemas.microsoft.com/office/spreadsheetml/2017/richdata2" ref="A2:C82">
    <sortCondition ref="A1:A8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1299-44EA-4C3B-BEB9-BBD6404363F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"Anchorage",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44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A44A3B56-D375-4862-A483-5CCB43A1EAFD}">
      <formula1>2000</formula1>
      <formula2>5999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6C9F-AF24-4C94-8521-726B489A535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"Girdwood",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44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F893911F-D3A0-4E30-BB44-08A20FCA7495}">
      <formula1>2000</formula1>
      <formula2>5999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7EA1-025C-4095-9574-691B957D543D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"Crown Point Station",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2C881229-8635-4AC4-B86D-C2D57FA7D5CF}">
      <formula1>2000</formula1>
      <formula2>5999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CB55-2A87-4C8F-9418-47FBBE835AE9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"Homer",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F278AB6C-6B83-466F-B774-A059DBCEFE54}">
      <formula1>2000</formula1>
      <formula2>5999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05AF-D3CA-4775-BE42-35E6816CB4B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"Homer Airport",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3109CCDD-7ACE-4422-8372-3BE94CD11EAD}">
      <formula1>2000</formula1>
      <formula2>5999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6CD1-BC1B-43BB-B142-08E7F8A5211D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"Ninilchik",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6C52B210-B0FA-4E4C-8CC0-8EEEA815F4F8}">
      <formula1>2000</formula1>
      <formula2>5999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DD19-6674-4793-BBF7-4B73CF3C4C9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"North Kenai",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F4FD9947-239E-4425-B061-4CD4E4E36338}">
      <formula1>2000</formula1>
      <formula2>5999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E41-0C2C-459D-96B1-AA30D6CF3EE4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"Quartz Creek",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B67C67ED-09C2-4258-8D77-9BC5CF2B4A52}">
      <formula1>2000</formula1>
      <formula2>5999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EEF-8896-493C-A97F-7F6222C0364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"Seldovia",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F27BCAFF-2CE2-4527-B2B9-B80C7034EA80}">
      <formula1>2000</formula1>
      <formula2>5999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083B-E508-4FDD-AD21-6C8A6CBB000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"Silvertip",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5C90E9D3-2B88-4F94-9448-49E66AE309A1}">
      <formula1>2000</formula1>
      <formula2>5999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BC10-CEF5-4BB7-92FD-A8286AF1A119}">
  <sheetPr codeName="Sheet7"/>
  <dimension ref="A1:B77"/>
  <sheetViews>
    <sheetView workbookViewId="0">
      <pane ySplit="1" topLeftCell="A2" activePane="bottomLeft" state="frozen"/>
      <selection pane="bottomLeft" activeCell="A21" sqref="A21"/>
    </sheetView>
  </sheetViews>
  <sheetFormatPr defaultRowHeight="14.25"/>
  <cols>
    <col min="1" max="1" width="55.46484375" style="7" customWidth="1"/>
    <col min="2" max="2" width="23" style="7" customWidth="1"/>
    <col min="3" max="5" width="9.06640625" style="7"/>
    <col min="6" max="6" width="15.6640625" style="7" customWidth="1"/>
    <col min="7" max="16384" width="9.06640625" style="7"/>
  </cols>
  <sheetData>
    <row r="1" spans="1:2">
      <c r="A1" s="6" t="s">
        <v>351</v>
      </c>
      <c r="B1" s="6" t="s">
        <v>352</v>
      </c>
    </row>
    <row r="2" spans="1:2">
      <c r="A2" s="7" t="s">
        <v>353</v>
      </c>
      <c r="B2" s="7">
        <v>29.80104214</v>
      </c>
    </row>
    <row r="3" spans="1:2">
      <c r="A3" s="7" t="s">
        <v>354</v>
      </c>
      <c r="B3" s="7">
        <v>827.33517092000102</v>
      </c>
    </row>
    <row r="4" spans="1:2">
      <c r="A4" s="7" t="s">
        <v>355</v>
      </c>
      <c r="B4" s="7">
        <v>5.9080252800000004</v>
      </c>
    </row>
    <row r="5" spans="1:2">
      <c r="A5" s="7" t="s">
        <v>356</v>
      </c>
      <c r="B5" s="7">
        <v>9.1825025199999999</v>
      </c>
    </row>
    <row r="6" spans="1:2">
      <c r="A6" s="7" t="s">
        <v>357</v>
      </c>
      <c r="B6" s="7">
        <v>1.2083918199999999</v>
      </c>
    </row>
    <row r="7" spans="1:2">
      <c r="A7" s="7" t="s">
        <v>358</v>
      </c>
      <c r="B7" s="7">
        <v>35.168368469999997</v>
      </c>
    </row>
    <row r="8" spans="1:2">
      <c r="A8" s="7" t="s">
        <v>359</v>
      </c>
      <c r="B8" s="7">
        <v>287.29814465999999</v>
      </c>
    </row>
    <row r="9" spans="1:2">
      <c r="A9" s="7" t="s">
        <v>360</v>
      </c>
      <c r="B9" s="7">
        <v>109.45107976</v>
      </c>
    </row>
    <row r="10" spans="1:2">
      <c r="A10" s="7" t="s">
        <v>361</v>
      </c>
      <c r="B10" s="7">
        <v>150.26246698</v>
      </c>
    </row>
    <row r="11" spans="1:2">
      <c r="A11" s="7" t="s">
        <v>362</v>
      </c>
      <c r="B11" s="7">
        <v>215.96564022000001</v>
      </c>
    </row>
    <row r="12" spans="1:2">
      <c r="A12" s="7" t="s">
        <v>363</v>
      </c>
      <c r="B12" s="7">
        <v>17.515097879999999</v>
      </c>
    </row>
    <row r="13" spans="1:2">
      <c r="A13" s="7" t="s">
        <v>364</v>
      </c>
      <c r="B13" s="7">
        <v>124.98958304</v>
      </c>
    </row>
    <row r="14" spans="1:2">
      <c r="A14" s="7" t="s">
        <v>365</v>
      </c>
      <c r="B14" s="7">
        <v>107.10871091999999</v>
      </c>
    </row>
    <row r="15" spans="1:2">
      <c r="A15" s="7" t="s">
        <v>366</v>
      </c>
      <c r="B15" s="7">
        <v>180.96844906000001</v>
      </c>
    </row>
    <row r="16" spans="1:2">
      <c r="A16" s="7" t="s">
        <v>367</v>
      </c>
      <c r="B16" s="7">
        <v>117.49439580000001</v>
      </c>
    </row>
    <row r="17" spans="1:2">
      <c r="A17" s="7" t="s">
        <v>368</v>
      </c>
      <c r="B17" s="7">
        <v>424.09530101000001</v>
      </c>
    </row>
    <row r="18" spans="1:2">
      <c r="A18" s="7" t="s">
        <v>369</v>
      </c>
      <c r="B18" s="7">
        <v>84.783203839999999</v>
      </c>
    </row>
    <row r="19" spans="1:2">
      <c r="A19" s="7" t="s">
        <v>370</v>
      </c>
      <c r="B19" s="7">
        <v>108.46645463999999</v>
      </c>
    </row>
    <row r="20" spans="1:2">
      <c r="A20" s="7" t="s">
        <v>371</v>
      </c>
      <c r="B20" s="7">
        <v>301.02995499999997</v>
      </c>
    </row>
    <row r="21" spans="1:2">
      <c r="A21" s="7" t="s">
        <v>372</v>
      </c>
      <c r="B21" s="7">
        <v>16.31224971</v>
      </c>
    </row>
    <row r="22" spans="1:2">
      <c r="A22" s="7" t="s">
        <v>373</v>
      </c>
      <c r="B22" s="7">
        <v>1196.7580142500001</v>
      </c>
    </row>
    <row r="23" spans="1:2">
      <c r="A23" s="7" t="s">
        <v>374</v>
      </c>
      <c r="B23" s="7">
        <v>33.967887599999997</v>
      </c>
    </row>
    <row r="24" spans="1:2">
      <c r="A24" s="7" t="s">
        <v>375</v>
      </c>
      <c r="B24" s="7">
        <v>127.1119199</v>
      </c>
    </row>
    <row r="25" spans="1:2">
      <c r="A25" s="7" t="s">
        <v>376</v>
      </c>
      <c r="B25" s="7">
        <v>24.264076500000002</v>
      </c>
    </row>
    <row r="26" spans="1:2">
      <c r="A26" s="7" t="s">
        <v>377</v>
      </c>
      <c r="B26" s="7">
        <v>140.86593001</v>
      </c>
    </row>
    <row r="27" spans="1:2">
      <c r="A27" s="7" t="s">
        <v>378</v>
      </c>
      <c r="B27" s="7">
        <v>195.69497415999999</v>
      </c>
    </row>
    <row r="28" spans="1:2">
      <c r="A28" s="7" t="s">
        <v>379</v>
      </c>
      <c r="B28" s="7">
        <v>207.95130685000001</v>
      </c>
    </row>
    <row r="29" spans="1:2">
      <c r="A29" s="7" t="s">
        <v>380</v>
      </c>
      <c r="B29" s="7">
        <v>5.3678199400000004</v>
      </c>
    </row>
    <row r="30" spans="1:2">
      <c r="A30" s="7" t="s">
        <v>381</v>
      </c>
      <c r="B30" s="7">
        <v>23.767292380000001</v>
      </c>
    </row>
    <row r="31" spans="1:2">
      <c r="A31" s="7" t="s">
        <v>382</v>
      </c>
      <c r="B31" s="7">
        <v>82.350454439999993</v>
      </c>
    </row>
    <row r="32" spans="1:2">
      <c r="A32" s="7" t="s">
        <v>383</v>
      </c>
      <c r="B32" s="7">
        <v>112.3899782</v>
      </c>
    </row>
    <row r="33" spans="1:2">
      <c r="A33" s="7" t="s">
        <v>384</v>
      </c>
      <c r="B33" s="7">
        <v>235.79730225</v>
      </c>
    </row>
    <row r="34" spans="1:2">
      <c r="A34" s="7" t="s">
        <v>385</v>
      </c>
      <c r="B34" s="7">
        <v>19.24893221</v>
      </c>
    </row>
    <row r="35" spans="1:2">
      <c r="A35" s="7" t="s">
        <v>386</v>
      </c>
      <c r="B35" s="7">
        <v>79.438317420000004</v>
      </c>
    </row>
    <row r="36" spans="1:2">
      <c r="A36" s="7" t="s">
        <v>387</v>
      </c>
      <c r="B36" s="7">
        <v>132.38612219999999</v>
      </c>
    </row>
    <row r="37" spans="1:2">
      <c r="A37" s="7" t="s">
        <v>388</v>
      </c>
      <c r="B37" s="7">
        <v>41.124190499999997</v>
      </c>
    </row>
    <row r="38" spans="1:2">
      <c r="A38" s="7" t="s">
        <v>389</v>
      </c>
      <c r="B38" s="7">
        <v>295.16859368000001</v>
      </c>
    </row>
    <row r="39" spans="1:2">
      <c r="A39" s="7" t="s">
        <v>390</v>
      </c>
      <c r="B39" s="7">
        <v>107.7866027</v>
      </c>
    </row>
    <row r="40" spans="1:2">
      <c r="A40" s="7" t="s">
        <v>391</v>
      </c>
      <c r="B40" s="7">
        <v>57.652736939999997</v>
      </c>
    </row>
    <row r="41" spans="1:2">
      <c r="A41" s="7" t="s">
        <v>392</v>
      </c>
      <c r="B41" s="7">
        <v>218.63868923999999</v>
      </c>
    </row>
    <row r="42" spans="1:2">
      <c r="A42" s="7" t="s">
        <v>393</v>
      </c>
      <c r="B42" s="7">
        <v>232.52210203999999</v>
      </c>
    </row>
    <row r="43" spans="1:2">
      <c r="A43" s="7" t="s">
        <v>394</v>
      </c>
      <c r="B43" s="7">
        <v>143.39285792000001</v>
      </c>
    </row>
    <row r="44" spans="1:2">
      <c r="A44" s="7" t="s">
        <v>395</v>
      </c>
      <c r="B44" s="7">
        <v>312.76208759999997</v>
      </c>
    </row>
    <row r="45" spans="1:2">
      <c r="A45" s="7" t="s">
        <v>396</v>
      </c>
      <c r="B45" s="7">
        <v>151.19010384000001</v>
      </c>
    </row>
    <row r="46" spans="1:2">
      <c r="A46" s="7" t="s">
        <v>397</v>
      </c>
      <c r="B46" s="7">
        <v>147.64028242000001</v>
      </c>
    </row>
    <row r="47" spans="1:2">
      <c r="A47" s="7" t="s">
        <v>398</v>
      </c>
      <c r="B47" s="7">
        <v>144.7628761</v>
      </c>
    </row>
    <row r="48" spans="1:2">
      <c r="A48" s="7" t="s">
        <v>399</v>
      </c>
      <c r="B48" s="7">
        <v>5.6896430599999999</v>
      </c>
    </row>
    <row r="49" spans="1:2">
      <c r="A49" s="7" t="s">
        <v>400</v>
      </c>
      <c r="B49" s="7">
        <v>550.73384968000005</v>
      </c>
    </row>
    <row r="50" spans="1:2">
      <c r="A50" s="7" t="s">
        <v>401</v>
      </c>
      <c r="B50" s="7">
        <v>104.0299931</v>
      </c>
    </row>
    <row r="51" spans="1:2">
      <c r="A51" s="7" t="s">
        <v>402</v>
      </c>
      <c r="B51" s="7">
        <v>144.45589826</v>
      </c>
    </row>
    <row r="52" spans="1:2">
      <c r="A52" s="7" t="s">
        <v>403</v>
      </c>
      <c r="B52" s="7">
        <v>20.902422359999999</v>
      </c>
    </row>
    <row r="53" spans="1:2">
      <c r="A53" s="7" t="s">
        <v>404</v>
      </c>
      <c r="B53" s="7">
        <v>647.25732000999994</v>
      </c>
    </row>
    <row r="54" spans="1:2">
      <c r="A54" s="7" t="s">
        <v>405</v>
      </c>
      <c r="B54" s="7">
        <v>234.19209828000001</v>
      </c>
    </row>
    <row r="55" spans="1:2">
      <c r="A55" s="7" t="s">
        <v>406</v>
      </c>
      <c r="B55" s="7">
        <v>72.482599010000001</v>
      </c>
    </row>
    <row r="56" spans="1:2">
      <c r="A56" s="7" t="s">
        <v>407</v>
      </c>
      <c r="B56" s="7">
        <v>89.307310079999993</v>
      </c>
    </row>
    <row r="57" spans="1:2">
      <c r="A57" s="7" t="s">
        <v>408</v>
      </c>
      <c r="B57" s="7">
        <v>74.805610700000003</v>
      </c>
    </row>
    <row r="58" spans="1:2">
      <c r="A58" s="7" t="s">
        <v>409</v>
      </c>
      <c r="B58" s="7">
        <v>144.82202183999999</v>
      </c>
    </row>
    <row r="59" spans="1:2">
      <c r="A59" s="7" t="s">
        <v>410</v>
      </c>
      <c r="B59" s="7">
        <v>65.836179139999999</v>
      </c>
    </row>
    <row r="60" spans="1:2">
      <c r="A60" s="7" t="s">
        <v>411</v>
      </c>
      <c r="B60" s="7">
        <v>27.80216338</v>
      </c>
    </row>
    <row r="61" spans="1:2">
      <c r="A61" s="7" t="s">
        <v>412</v>
      </c>
      <c r="B61" s="7">
        <v>142.63666549999999</v>
      </c>
    </row>
    <row r="62" spans="1:2">
      <c r="A62" s="7" t="s">
        <v>413</v>
      </c>
      <c r="B62" s="7">
        <v>33.575186649999999</v>
      </c>
    </row>
    <row r="63" spans="1:2">
      <c r="A63" s="7" t="s">
        <v>414</v>
      </c>
      <c r="B63" s="7">
        <v>47.48367794</v>
      </c>
    </row>
    <row r="64" spans="1:2">
      <c r="A64" s="7" t="s">
        <v>415</v>
      </c>
      <c r="B64" s="7">
        <v>242.05791742</v>
      </c>
    </row>
    <row r="65" spans="1:2">
      <c r="A65" s="7" t="s">
        <v>416</v>
      </c>
      <c r="B65" s="7">
        <v>382.08833779000003</v>
      </c>
    </row>
    <row r="66" spans="1:2">
      <c r="A66" s="7" t="s">
        <v>417</v>
      </c>
      <c r="B66" s="7">
        <v>183.06137709999999</v>
      </c>
    </row>
    <row r="67" spans="1:2">
      <c r="A67" s="7" t="s">
        <v>418</v>
      </c>
      <c r="B67" s="7">
        <v>38.856561120000002</v>
      </c>
    </row>
    <row r="68" spans="1:2">
      <c r="A68" s="7" t="s">
        <v>419</v>
      </c>
      <c r="B68" s="7">
        <v>290.08180326000002</v>
      </c>
    </row>
    <row r="69" spans="1:2">
      <c r="A69" s="7" t="s">
        <v>420</v>
      </c>
      <c r="B69" s="7">
        <v>65.133078019999999</v>
      </c>
    </row>
    <row r="70" spans="1:2">
      <c r="A70" s="7" t="s">
        <v>421</v>
      </c>
      <c r="B70" s="7">
        <v>361.03839825</v>
      </c>
    </row>
    <row r="71" spans="1:2">
      <c r="A71" s="7" t="s">
        <v>422</v>
      </c>
      <c r="B71" s="7">
        <v>70.904128600000007</v>
      </c>
    </row>
    <row r="72" spans="1:2">
      <c r="A72" s="7" t="s">
        <v>423</v>
      </c>
      <c r="B72" s="7">
        <v>16.735718250000001</v>
      </c>
    </row>
    <row r="73" spans="1:2">
      <c r="A73" s="7" t="s">
        <v>424</v>
      </c>
      <c r="B73" s="7">
        <v>3.8560194399999999</v>
      </c>
    </row>
    <row r="74" spans="1:2">
      <c r="A74" s="7" t="s">
        <v>425</v>
      </c>
      <c r="B74" s="7">
        <v>63.285753900000003</v>
      </c>
    </row>
    <row r="75" spans="1:2">
      <c r="A75" s="7" t="s">
        <v>426</v>
      </c>
      <c r="B75" s="7">
        <v>174.87551207999999</v>
      </c>
    </row>
    <row r="76" spans="1:2">
      <c r="A76" s="7" t="s">
        <v>427</v>
      </c>
      <c r="B76" s="7">
        <v>33.517543060000001</v>
      </c>
    </row>
    <row r="77" spans="1:2">
      <c r="A77" s="7" t="s">
        <v>428</v>
      </c>
      <c r="B77" s="7">
        <v>88.555476979999995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A583-DCC4-4A53-A7F4-C61ABE38F7F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"Soldotna",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23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6E5CD5CC-EE98-4A94-9B35-5B9D141C21B3}">
      <formula1>2000</formula1>
      <formula2>5999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20BD-1A79-462F-97E1-F6A2FA33721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"Cascade",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36DCA8FD-F707-4A14-8BF0-3CD38C61DB85}">
      <formula1>2000</formula1>
      <formula2>5999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AB8-5290-4B55-B787-3083E2457BB6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"Chulitna",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FFCB9ABA-6D55-4D12-93E1-97E63A425F52}">
      <formula1>2000</formula1>
      <formula2>5999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25DA-30E4-40C2-B586-3CD452E6C5E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"Mcgrath",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C6A39BC7-BF5A-415D-9752-DBDE2151BDAC}">
      <formula1>2000</formula1>
      <formula2>5999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D728-0EF5-493F-B666-398498E0F5CD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"Palmer",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DF0962EB-1DEF-4EEC-8BF6-8C13FB4E18E8}">
      <formula1>2000</formula1>
      <formula2>5999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C713-8F7E-4F73-8A9C-8CA58A4E4981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"Talkeetna",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4D54738E-18DD-4370-AFB4-8E65AD494484}">
      <formula1>2000</formula1>
      <formula2>5999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C7F-0A95-4F7E-80F1-7B81A00B71A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"Willow",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37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CD80FA81-6A27-46A7-A89F-FF0A0108F7A4}">
      <formula1>2000</formula1>
      <formula2>5999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EF36-3FC0-4B4F-AEE0-0700DB986F1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"Aniak",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AA646372-F548-462E-8281-585F331CBD30}">
      <formula1>2000</formula1>
      <formula2>5999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58F-E02E-4A5B-A043-73588BD5592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"Bethel",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78EBAA08-62C8-47D3-A956-52A543C77C91}">
      <formula1>2000</formula1>
      <formula2>5999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FDF6-786F-4B8E-ABE2-AC918281E1A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"Dillingham",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33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D01581B4-726E-43E4-9C03-790710441B50}">
      <formula1>2000</formula1>
      <formula2>5999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5BE1-41E0-4E4B-B428-FB06EC37ACA7}">
  <sheetPr codeName="Sheet3"/>
  <dimension ref="A1:D316"/>
  <sheetViews>
    <sheetView topLeftCell="A70" workbookViewId="0">
      <selection activeCell="A77" sqref="A77:XFD77"/>
    </sheetView>
  </sheetViews>
  <sheetFormatPr defaultRowHeight="12.75"/>
  <cols>
    <col min="1" max="2" width="15.73046875" customWidth="1"/>
    <col min="3" max="3" width="32.73046875" customWidth="1"/>
    <col min="4" max="4" width="18" customWidth="1"/>
  </cols>
  <sheetData>
    <row r="1" spans="1:4">
      <c r="A1" t="s">
        <v>332</v>
      </c>
      <c r="B1" t="s">
        <v>336</v>
      </c>
      <c r="C1" t="s">
        <v>331</v>
      </c>
      <c r="D1" t="s">
        <v>330</v>
      </c>
    </row>
    <row r="2" spans="1:4">
      <c r="A2" t="s">
        <v>43</v>
      </c>
      <c r="C2" t="s">
        <v>44</v>
      </c>
      <c r="D2" t="s">
        <v>85</v>
      </c>
    </row>
    <row r="3" spans="1:4">
      <c r="A3" t="s">
        <v>45</v>
      </c>
      <c r="C3" t="s">
        <v>44</v>
      </c>
      <c r="D3" t="s">
        <v>85</v>
      </c>
    </row>
    <row r="4" spans="1:4">
      <c r="A4" t="s">
        <v>24</v>
      </c>
      <c r="C4" t="s">
        <v>23</v>
      </c>
      <c r="D4" t="s">
        <v>85</v>
      </c>
    </row>
    <row r="5" spans="1:4">
      <c r="A5" t="s">
        <v>25</v>
      </c>
      <c r="C5" t="s">
        <v>23</v>
      </c>
      <c r="D5" t="s">
        <v>85</v>
      </c>
    </row>
    <row r="6" spans="1:4">
      <c r="A6" t="s">
        <v>26</v>
      </c>
      <c r="C6" t="s">
        <v>23</v>
      </c>
      <c r="D6" t="s">
        <v>85</v>
      </c>
    </row>
    <row r="7" spans="1:4">
      <c r="A7" t="s">
        <v>31</v>
      </c>
      <c r="C7" t="s">
        <v>23</v>
      </c>
      <c r="D7" t="s">
        <v>85</v>
      </c>
    </row>
    <row r="8" spans="1:4">
      <c r="A8" t="s">
        <v>27</v>
      </c>
      <c r="C8" t="s">
        <v>23</v>
      </c>
      <c r="D8" t="s">
        <v>85</v>
      </c>
    </row>
    <row r="9" spans="1:4">
      <c r="A9" t="s">
        <v>22</v>
      </c>
      <c r="C9" t="s">
        <v>23</v>
      </c>
      <c r="D9" t="s">
        <v>85</v>
      </c>
    </row>
    <row r="10" spans="1:4">
      <c r="A10" t="s">
        <v>29</v>
      </c>
      <c r="C10" t="s">
        <v>23</v>
      </c>
      <c r="D10" t="s">
        <v>85</v>
      </c>
    </row>
    <row r="11" spans="1:4">
      <c r="A11" t="s">
        <v>28</v>
      </c>
      <c r="C11" t="s">
        <v>23</v>
      </c>
      <c r="D11" t="s">
        <v>85</v>
      </c>
    </row>
    <row r="12" spans="1:4">
      <c r="A12" t="s">
        <v>30</v>
      </c>
      <c r="C12" t="s">
        <v>23</v>
      </c>
      <c r="D12" t="s">
        <v>85</v>
      </c>
    </row>
    <row r="13" spans="1:4">
      <c r="A13" t="s">
        <v>36</v>
      </c>
      <c r="C13" t="s">
        <v>37</v>
      </c>
      <c r="D13" t="s">
        <v>85</v>
      </c>
    </row>
    <row r="14" spans="1:4">
      <c r="A14" t="s">
        <v>38</v>
      </c>
      <c r="C14" t="s">
        <v>37</v>
      </c>
      <c r="D14" t="s">
        <v>85</v>
      </c>
    </row>
    <row r="15" spans="1:4">
      <c r="A15" t="s">
        <v>41</v>
      </c>
      <c r="C15" t="s">
        <v>37</v>
      </c>
      <c r="D15" t="s">
        <v>85</v>
      </c>
    </row>
    <row r="16" spans="1:4">
      <c r="A16" t="s">
        <v>39</v>
      </c>
      <c r="C16" t="s">
        <v>37</v>
      </c>
      <c r="D16" t="s">
        <v>85</v>
      </c>
    </row>
    <row r="17" spans="1:4">
      <c r="A17" t="s">
        <v>42</v>
      </c>
      <c r="C17" t="s">
        <v>37</v>
      </c>
      <c r="D17" t="s">
        <v>85</v>
      </c>
    </row>
    <row r="18" spans="1:4">
      <c r="A18" t="s">
        <v>40</v>
      </c>
      <c r="C18" t="s">
        <v>37</v>
      </c>
      <c r="D18" t="s">
        <v>85</v>
      </c>
    </row>
    <row r="19" spans="1:4">
      <c r="A19" t="s">
        <v>35</v>
      </c>
      <c r="C19" t="s">
        <v>33</v>
      </c>
      <c r="D19" t="s">
        <v>85</v>
      </c>
    </row>
    <row r="20" spans="1:4">
      <c r="A20" t="s">
        <v>34</v>
      </c>
      <c r="C20" t="s">
        <v>33</v>
      </c>
      <c r="D20" t="s">
        <v>85</v>
      </c>
    </row>
    <row r="21" spans="1:4">
      <c r="A21" t="s">
        <v>32</v>
      </c>
      <c r="C21" t="s">
        <v>33</v>
      </c>
      <c r="D21" t="s">
        <v>85</v>
      </c>
    </row>
    <row r="22" spans="1:4">
      <c r="A22" t="s">
        <v>71</v>
      </c>
      <c r="C22" t="s">
        <v>70</v>
      </c>
      <c r="D22" t="s">
        <v>334</v>
      </c>
    </row>
    <row r="23" spans="1:4">
      <c r="A23" t="s">
        <v>73</v>
      </c>
      <c r="C23" t="s">
        <v>70</v>
      </c>
      <c r="D23" t="s">
        <v>334</v>
      </c>
    </row>
    <row r="24" spans="1:4">
      <c r="A24" t="s">
        <v>74</v>
      </c>
      <c r="C24" t="s">
        <v>70</v>
      </c>
      <c r="D24" t="s">
        <v>334</v>
      </c>
    </row>
    <row r="25" spans="1:4">
      <c r="A25" t="s">
        <v>72</v>
      </c>
      <c r="C25" t="s">
        <v>70</v>
      </c>
      <c r="D25" t="s">
        <v>334</v>
      </c>
    </row>
    <row r="26" spans="1:4">
      <c r="A26" t="s">
        <v>75</v>
      </c>
      <c r="C26" t="s">
        <v>70</v>
      </c>
      <c r="D26" t="s">
        <v>334</v>
      </c>
    </row>
    <row r="27" spans="1:4">
      <c r="A27" t="s">
        <v>76</v>
      </c>
      <c r="C27" t="s">
        <v>70</v>
      </c>
      <c r="D27" t="s">
        <v>334</v>
      </c>
    </row>
    <row r="28" spans="1:4">
      <c r="A28" t="s">
        <v>69</v>
      </c>
      <c r="C28" t="s">
        <v>70</v>
      </c>
      <c r="D28" t="s">
        <v>334</v>
      </c>
    </row>
    <row r="29" spans="1:4">
      <c r="A29" t="s">
        <v>77</v>
      </c>
      <c r="C29" t="s">
        <v>70</v>
      </c>
      <c r="D29" t="s">
        <v>334</v>
      </c>
    </row>
    <row r="30" spans="1:4">
      <c r="A30" t="s">
        <v>78</v>
      </c>
      <c r="C30" t="s">
        <v>70</v>
      </c>
      <c r="D30" t="s">
        <v>334</v>
      </c>
    </row>
    <row r="31" spans="1:4">
      <c r="A31" t="s">
        <v>89</v>
      </c>
      <c r="C31" t="s">
        <v>90</v>
      </c>
      <c r="D31" t="s">
        <v>334</v>
      </c>
    </row>
    <row r="32" spans="1:4">
      <c r="A32" t="s">
        <v>91</v>
      </c>
      <c r="C32" t="s">
        <v>90</v>
      </c>
      <c r="D32" t="s">
        <v>334</v>
      </c>
    </row>
    <row r="33" spans="1:4">
      <c r="A33" t="s">
        <v>92</v>
      </c>
      <c r="C33" t="s">
        <v>90</v>
      </c>
      <c r="D33" t="s">
        <v>334</v>
      </c>
    </row>
    <row r="34" spans="1:4">
      <c r="A34" t="s">
        <v>85</v>
      </c>
      <c r="C34" t="s">
        <v>86</v>
      </c>
      <c r="D34" t="s">
        <v>334</v>
      </c>
    </row>
    <row r="35" spans="1:4">
      <c r="A35" t="s">
        <v>87</v>
      </c>
      <c r="C35" t="s">
        <v>86</v>
      </c>
      <c r="D35" t="s">
        <v>334</v>
      </c>
    </row>
    <row r="36" spans="1:4">
      <c r="A36" t="s">
        <v>88</v>
      </c>
      <c r="C36" t="s">
        <v>86</v>
      </c>
      <c r="D36" t="s">
        <v>334</v>
      </c>
    </row>
    <row r="37" spans="1:4">
      <c r="A37" t="s">
        <v>60</v>
      </c>
      <c r="C37" t="s">
        <v>61</v>
      </c>
      <c r="D37" t="s">
        <v>334</v>
      </c>
    </row>
    <row r="38" spans="1:4">
      <c r="A38" t="s">
        <v>79</v>
      </c>
      <c r="C38" t="s">
        <v>80</v>
      </c>
      <c r="D38" t="s">
        <v>334</v>
      </c>
    </row>
    <row r="39" spans="1:4">
      <c r="A39" t="s">
        <v>81</v>
      </c>
      <c r="C39" t="s">
        <v>80</v>
      </c>
      <c r="D39" t="s">
        <v>334</v>
      </c>
    </row>
    <row r="40" spans="1:4">
      <c r="A40" t="s">
        <v>82</v>
      </c>
      <c r="C40" t="s">
        <v>80</v>
      </c>
      <c r="D40" t="s">
        <v>334</v>
      </c>
    </row>
    <row r="41" spans="1:4">
      <c r="A41" t="s">
        <v>83</v>
      </c>
      <c r="C41" t="s">
        <v>80</v>
      </c>
      <c r="D41" t="s">
        <v>334</v>
      </c>
    </row>
    <row r="42" spans="1:4">
      <c r="A42" t="s">
        <v>84</v>
      </c>
      <c r="C42" t="s">
        <v>80</v>
      </c>
      <c r="D42" t="s">
        <v>334</v>
      </c>
    </row>
    <row r="43" spans="1:4">
      <c r="A43" t="s">
        <v>93</v>
      </c>
      <c r="C43" t="s">
        <v>63</v>
      </c>
      <c r="D43" t="s">
        <v>334</v>
      </c>
    </row>
    <row r="44" spans="1:4">
      <c r="A44" t="s">
        <v>67</v>
      </c>
      <c r="C44" t="s">
        <v>63</v>
      </c>
      <c r="D44" t="s">
        <v>334</v>
      </c>
    </row>
    <row r="45" spans="1:4">
      <c r="A45" t="s">
        <v>64</v>
      </c>
      <c r="C45" t="s">
        <v>63</v>
      </c>
      <c r="D45" t="s">
        <v>334</v>
      </c>
    </row>
    <row r="46" spans="1:4">
      <c r="A46" t="s">
        <v>68</v>
      </c>
      <c r="C46" t="s">
        <v>63</v>
      </c>
      <c r="D46" t="s">
        <v>334</v>
      </c>
    </row>
    <row r="47" spans="1:4">
      <c r="A47" t="s">
        <v>65</v>
      </c>
      <c r="C47" t="s">
        <v>63</v>
      </c>
      <c r="D47" t="s">
        <v>334</v>
      </c>
    </row>
    <row r="48" spans="1:4">
      <c r="A48" t="s">
        <v>62</v>
      </c>
      <c r="C48" t="s">
        <v>63</v>
      </c>
      <c r="D48" t="s">
        <v>334</v>
      </c>
    </row>
    <row r="49" spans="1:4">
      <c r="A49" t="s">
        <v>66</v>
      </c>
      <c r="C49" t="s">
        <v>63</v>
      </c>
      <c r="D49" t="s">
        <v>334</v>
      </c>
    </row>
    <row r="50" spans="1:4">
      <c r="A50" t="s">
        <v>48</v>
      </c>
      <c r="C50" t="s">
        <v>47</v>
      </c>
      <c r="D50" t="s">
        <v>334</v>
      </c>
    </row>
    <row r="51" spans="1:4">
      <c r="A51" t="s">
        <v>49</v>
      </c>
      <c r="C51" t="s">
        <v>47</v>
      </c>
      <c r="D51" t="s">
        <v>334</v>
      </c>
    </row>
    <row r="52" spans="1:4">
      <c r="A52" t="s">
        <v>50</v>
      </c>
      <c r="C52" t="s">
        <v>47</v>
      </c>
      <c r="D52" t="s">
        <v>334</v>
      </c>
    </row>
    <row r="53" spans="1:4">
      <c r="A53" t="s">
        <v>46</v>
      </c>
      <c r="C53" t="s">
        <v>47</v>
      </c>
      <c r="D53" t="s">
        <v>334</v>
      </c>
    </row>
    <row r="54" spans="1:4">
      <c r="A54" t="s">
        <v>55</v>
      </c>
      <c r="C54" t="s">
        <v>52</v>
      </c>
      <c r="D54" t="s">
        <v>334</v>
      </c>
    </row>
    <row r="55" spans="1:4">
      <c r="A55" t="s">
        <v>57</v>
      </c>
      <c r="C55" t="s">
        <v>52</v>
      </c>
      <c r="D55" t="s">
        <v>334</v>
      </c>
    </row>
    <row r="56" spans="1:4">
      <c r="A56" t="s">
        <v>56</v>
      </c>
      <c r="C56" t="s">
        <v>52</v>
      </c>
      <c r="D56" t="s">
        <v>334</v>
      </c>
    </row>
    <row r="57" spans="1:4">
      <c r="A57" t="s">
        <v>51</v>
      </c>
      <c r="C57" t="s">
        <v>52</v>
      </c>
      <c r="D57" t="s">
        <v>334</v>
      </c>
    </row>
    <row r="58" spans="1:4">
      <c r="A58" t="s">
        <v>54</v>
      </c>
      <c r="C58" t="s">
        <v>52</v>
      </c>
      <c r="D58" t="s">
        <v>334</v>
      </c>
    </row>
    <row r="59" spans="1:4">
      <c r="A59" t="s">
        <v>58</v>
      </c>
      <c r="C59" t="s">
        <v>52</v>
      </c>
      <c r="D59" t="s">
        <v>334</v>
      </c>
    </row>
    <row r="60" spans="1:4">
      <c r="A60" t="s">
        <v>53</v>
      </c>
      <c r="C60" t="s">
        <v>52</v>
      </c>
      <c r="D60" t="s">
        <v>334</v>
      </c>
    </row>
    <row r="61" spans="1:4">
      <c r="A61" t="s">
        <v>59</v>
      </c>
      <c r="C61" t="s">
        <v>52</v>
      </c>
      <c r="D61" t="s">
        <v>334</v>
      </c>
    </row>
    <row r="62" spans="1:4">
      <c r="A62" t="s">
        <v>6</v>
      </c>
      <c r="C62" t="s">
        <v>1</v>
      </c>
      <c r="D62" t="s">
        <v>335</v>
      </c>
    </row>
    <row r="63" spans="1:4">
      <c r="A63" t="s">
        <v>7</v>
      </c>
      <c r="C63" t="s">
        <v>1</v>
      </c>
      <c r="D63" t="s">
        <v>335</v>
      </c>
    </row>
    <row r="64" spans="1:4">
      <c r="A64" t="s">
        <v>3</v>
      </c>
      <c r="C64" t="s">
        <v>1</v>
      </c>
      <c r="D64" t="s">
        <v>335</v>
      </c>
    </row>
    <row r="65" spans="1:4">
      <c r="A65" t="s">
        <v>5</v>
      </c>
      <c r="C65" t="s">
        <v>1</v>
      </c>
      <c r="D65" t="s">
        <v>335</v>
      </c>
    </row>
    <row r="66" spans="1:4">
      <c r="A66" t="s">
        <v>2</v>
      </c>
      <c r="C66" t="s">
        <v>1</v>
      </c>
      <c r="D66" t="s">
        <v>335</v>
      </c>
    </row>
    <row r="67" spans="1:4">
      <c r="A67" t="s">
        <v>4</v>
      </c>
      <c r="C67" t="s">
        <v>1</v>
      </c>
      <c r="D67" t="s">
        <v>335</v>
      </c>
    </row>
    <row r="68" spans="1:4">
      <c r="A68" t="s">
        <v>0</v>
      </c>
      <c r="C68" t="s">
        <v>1</v>
      </c>
      <c r="D68" t="s">
        <v>335</v>
      </c>
    </row>
    <row r="69" spans="1:4">
      <c r="A69" t="s">
        <v>8</v>
      </c>
      <c r="C69" t="s">
        <v>1</v>
      </c>
      <c r="D69" t="s">
        <v>335</v>
      </c>
    </row>
    <row r="70" spans="1:4">
      <c r="A70" t="s">
        <v>19</v>
      </c>
      <c r="C70" t="s">
        <v>10</v>
      </c>
      <c r="D70" t="s">
        <v>335</v>
      </c>
    </row>
    <row r="71" spans="1:4">
      <c r="A71" t="s">
        <v>20</v>
      </c>
      <c r="C71" t="s">
        <v>10</v>
      </c>
      <c r="D71" t="s">
        <v>335</v>
      </c>
    </row>
    <row r="72" spans="1:4">
      <c r="A72" t="s">
        <v>9</v>
      </c>
      <c r="C72" t="s">
        <v>10</v>
      </c>
      <c r="D72" t="s">
        <v>335</v>
      </c>
    </row>
    <row r="73" spans="1:4">
      <c r="A73" t="s">
        <v>16</v>
      </c>
      <c r="C73" t="s">
        <v>10</v>
      </c>
      <c r="D73" t="s">
        <v>335</v>
      </c>
    </row>
    <row r="74" spans="1:4">
      <c r="A74" t="s">
        <v>17</v>
      </c>
      <c r="C74" t="s">
        <v>10</v>
      </c>
      <c r="D74" t="s">
        <v>335</v>
      </c>
    </row>
    <row r="75" spans="1:4">
      <c r="A75" t="s">
        <v>12</v>
      </c>
      <c r="C75" t="s">
        <v>10</v>
      </c>
      <c r="D75" t="s">
        <v>335</v>
      </c>
    </row>
    <row r="76" spans="1:4">
      <c r="A76" t="s">
        <v>13</v>
      </c>
      <c r="C76" t="s">
        <v>10</v>
      </c>
      <c r="D76" t="s">
        <v>335</v>
      </c>
    </row>
    <row r="77" spans="1:4">
      <c r="A77" t="s">
        <v>14</v>
      </c>
      <c r="C77" t="s">
        <v>10</v>
      </c>
      <c r="D77" t="s">
        <v>335</v>
      </c>
    </row>
    <row r="78" spans="1:4">
      <c r="A78" t="s">
        <v>15</v>
      </c>
      <c r="C78" t="s">
        <v>10</v>
      </c>
      <c r="D78" t="s">
        <v>335</v>
      </c>
    </row>
    <row r="79" spans="1:4">
      <c r="A79" t="s">
        <v>11</v>
      </c>
      <c r="C79" t="s">
        <v>10</v>
      </c>
      <c r="D79" t="s">
        <v>335</v>
      </c>
    </row>
    <row r="80" spans="1:4">
      <c r="A80" t="s">
        <v>21</v>
      </c>
      <c r="C80" t="s">
        <v>10</v>
      </c>
      <c r="D80" t="s">
        <v>335</v>
      </c>
    </row>
    <row r="81" spans="1:4">
      <c r="A81" t="s">
        <v>18</v>
      </c>
      <c r="C81" t="s">
        <v>10</v>
      </c>
      <c r="D81" t="s">
        <v>335</v>
      </c>
    </row>
    <row r="82" spans="1:4">
      <c r="B82" t="s">
        <v>200</v>
      </c>
      <c r="C82" t="s">
        <v>44</v>
      </c>
      <c r="D82" t="s">
        <v>85</v>
      </c>
    </row>
    <row r="83" spans="1:4">
      <c r="B83" t="s">
        <v>197</v>
      </c>
      <c r="C83" t="s">
        <v>44</v>
      </c>
      <c r="D83" t="s">
        <v>85</v>
      </c>
    </row>
    <row r="84" spans="1:4">
      <c r="B84" t="s">
        <v>199</v>
      </c>
      <c r="C84" t="s">
        <v>44</v>
      </c>
      <c r="D84" t="s">
        <v>85</v>
      </c>
    </row>
    <row r="85" spans="1:4">
      <c r="B85" t="s">
        <v>198</v>
      </c>
      <c r="C85" t="s">
        <v>44</v>
      </c>
      <c r="D85" t="s">
        <v>85</v>
      </c>
    </row>
    <row r="86" spans="1:4">
      <c r="B86" t="s">
        <v>261</v>
      </c>
      <c r="C86" t="s">
        <v>23</v>
      </c>
      <c r="D86" t="s">
        <v>85</v>
      </c>
    </row>
    <row r="87" spans="1:4">
      <c r="B87" t="s">
        <v>266</v>
      </c>
      <c r="C87" t="s">
        <v>23</v>
      </c>
      <c r="D87" t="s">
        <v>85</v>
      </c>
    </row>
    <row r="88" spans="1:4">
      <c r="B88" t="s">
        <v>262</v>
      </c>
      <c r="C88" t="s">
        <v>23</v>
      </c>
      <c r="D88" t="s">
        <v>85</v>
      </c>
    </row>
    <row r="89" spans="1:4">
      <c r="B89" t="s">
        <v>259</v>
      </c>
      <c r="C89" t="s">
        <v>23</v>
      </c>
      <c r="D89" t="s">
        <v>85</v>
      </c>
    </row>
    <row r="90" spans="1:4">
      <c r="B90" t="s">
        <v>263</v>
      </c>
      <c r="C90" t="s">
        <v>23</v>
      </c>
      <c r="D90" t="s">
        <v>85</v>
      </c>
    </row>
    <row r="91" spans="1:4">
      <c r="B91" t="s">
        <v>265</v>
      </c>
      <c r="C91" t="s">
        <v>23</v>
      </c>
      <c r="D91" t="s">
        <v>85</v>
      </c>
    </row>
    <row r="92" spans="1:4">
      <c r="B92" t="s">
        <v>264</v>
      </c>
      <c r="C92" t="s">
        <v>23</v>
      </c>
      <c r="D92" t="s">
        <v>85</v>
      </c>
    </row>
    <row r="93" spans="1:4">
      <c r="B93" t="s">
        <v>256</v>
      </c>
      <c r="C93" t="s">
        <v>23</v>
      </c>
      <c r="D93" t="s">
        <v>85</v>
      </c>
    </row>
    <row r="94" spans="1:4">
      <c r="B94" t="s">
        <v>260</v>
      </c>
      <c r="C94" t="s">
        <v>23</v>
      </c>
      <c r="D94" t="s">
        <v>85</v>
      </c>
    </row>
    <row r="95" spans="1:4">
      <c r="B95" t="s">
        <v>267</v>
      </c>
      <c r="C95" t="s">
        <v>23</v>
      </c>
      <c r="D95" t="s">
        <v>85</v>
      </c>
    </row>
    <row r="96" spans="1:4">
      <c r="B96" t="s">
        <v>258</v>
      </c>
      <c r="C96" t="s">
        <v>23</v>
      </c>
      <c r="D96" t="s">
        <v>85</v>
      </c>
    </row>
    <row r="97" spans="2:4">
      <c r="B97" t="s">
        <v>257</v>
      </c>
      <c r="C97" t="s">
        <v>23</v>
      </c>
      <c r="D97" t="s">
        <v>85</v>
      </c>
    </row>
    <row r="98" spans="2:4">
      <c r="B98" t="s">
        <v>203</v>
      </c>
      <c r="C98" t="s">
        <v>37</v>
      </c>
      <c r="D98" t="s">
        <v>85</v>
      </c>
    </row>
    <row r="99" spans="2:4">
      <c r="B99" t="s">
        <v>206</v>
      </c>
      <c r="C99" t="s">
        <v>37</v>
      </c>
      <c r="D99" t="s">
        <v>85</v>
      </c>
    </row>
    <row r="100" spans="2:4">
      <c r="B100" t="s">
        <v>212</v>
      </c>
      <c r="C100" t="s">
        <v>37</v>
      </c>
      <c r="D100" t="s">
        <v>85</v>
      </c>
    </row>
    <row r="101" spans="2:4">
      <c r="B101" t="s">
        <v>202</v>
      </c>
      <c r="C101" t="s">
        <v>37</v>
      </c>
      <c r="D101" t="s">
        <v>85</v>
      </c>
    </row>
    <row r="102" spans="2:4">
      <c r="B102" t="s">
        <v>204</v>
      </c>
      <c r="C102" t="s">
        <v>37</v>
      </c>
      <c r="D102" t="s">
        <v>85</v>
      </c>
    </row>
    <row r="103" spans="2:4">
      <c r="B103" t="s">
        <v>207</v>
      </c>
      <c r="C103" t="s">
        <v>37</v>
      </c>
      <c r="D103" t="s">
        <v>85</v>
      </c>
    </row>
    <row r="104" spans="2:4">
      <c r="B104" t="s">
        <v>201</v>
      </c>
      <c r="C104" t="s">
        <v>37</v>
      </c>
      <c r="D104" t="s">
        <v>85</v>
      </c>
    </row>
    <row r="105" spans="2:4">
      <c r="B105" t="s">
        <v>211</v>
      </c>
      <c r="C105" t="s">
        <v>37</v>
      </c>
      <c r="D105" t="s">
        <v>85</v>
      </c>
    </row>
    <row r="106" spans="2:4">
      <c r="B106" t="s">
        <v>210</v>
      </c>
      <c r="C106" t="s">
        <v>37</v>
      </c>
      <c r="D106" t="s">
        <v>85</v>
      </c>
    </row>
    <row r="107" spans="2:4">
      <c r="B107" t="s">
        <v>209</v>
      </c>
      <c r="C107" t="s">
        <v>37</v>
      </c>
      <c r="D107" t="s">
        <v>85</v>
      </c>
    </row>
    <row r="108" spans="2:4">
      <c r="B108" t="s">
        <v>205</v>
      </c>
      <c r="C108" t="s">
        <v>37</v>
      </c>
      <c r="D108" t="s">
        <v>85</v>
      </c>
    </row>
    <row r="109" spans="2:4">
      <c r="B109" t="s">
        <v>208</v>
      </c>
      <c r="C109" t="s">
        <v>37</v>
      </c>
      <c r="D109" t="s">
        <v>85</v>
      </c>
    </row>
    <row r="110" spans="2:4">
      <c r="B110" t="s">
        <v>237</v>
      </c>
      <c r="C110" t="s">
        <v>33</v>
      </c>
      <c r="D110" t="s">
        <v>85</v>
      </c>
    </row>
    <row r="111" spans="2:4">
      <c r="B111" t="s">
        <v>217</v>
      </c>
      <c r="C111" t="s">
        <v>33</v>
      </c>
      <c r="D111" t="s">
        <v>85</v>
      </c>
    </row>
    <row r="112" spans="2:4">
      <c r="B112" t="s">
        <v>215</v>
      </c>
      <c r="C112" t="s">
        <v>33</v>
      </c>
      <c r="D112" t="s">
        <v>85</v>
      </c>
    </row>
    <row r="113" spans="2:4">
      <c r="B113" t="s">
        <v>250</v>
      </c>
      <c r="C113" t="s">
        <v>33</v>
      </c>
      <c r="D113" t="s">
        <v>85</v>
      </c>
    </row>
    <row r="114" spans="2:4">
      <c r="B114" t="s">
        <v>225</v>
      </c>
      <c r="C114" t="s">
        <v>33</v>
      </c>
      <c r="D114" t="s">
        <v>85</v>
      </c>
    </row>
    <row r="115" spans="2:4">
      <c r="B115" t="s">
        <v>251</v>
      </c>
      <c r="C115" t="s">
        <v>33</v>
      </c>
      <c r="D115" t="s">
        <v>85</v>
      </c>
    </row>
    <row r="116" spans="2:4">
      <c r="B116" t="s">
        <v>244</v>
      </c>
      <c r="C116" t="s">
        <v>33</v>
      </c>
      <c r="D116" t="s">
        <v>85</v>
      </c>
    </row>
    <row r="117" spans="2:4">
      <c r="B117" t="s">
        <v>253</v>
      </c>
      <c r="C117" t="s">
        <v>33</v>
      </c>
      <c r="D117" t="s">
        <v>85</v>
      </c>
    </row>
    <row r="118" spans="2:4">
      <c r="B118" t="s">
        <v>245</v>
      </c>
      <c r="C118" t="s">
        <v>33</v>
      </c>
      <c r="D118" t="s">
        <v>85</v>
      </c>
    </row>
    <row r="119" spans="2:4">
      <c r="B119" t="s">
        <v>229</v>
      </c>
      <c r="C119" t="s">
        <v>33</v>
      </c>
      <c r="D119" t="s">
        <v>85</v>
      </c>
    </row>
    <row r="120" spans="2:4">
      <c r="B120" t="s">
        <v>218</v>
      </c>
      <c r="C120" t="s">
        <v>33</v>
      </c>
      <c r="D120" t="s">
        <v>85</v>
      </c>
    </row>
    <row r="121" spans="2:4">
      <c r="B121" t="s">
        <v>243</v>
      </c>
      <c r="C121" t="s">
        <v>33</v>
      </c>
      <c r="D121" t="s">
        <v>85</v>
      </c>
    </row>
    <row r="122" spans="2:4">
      <c r="B122" t="s">
        <v>235</v>
      </c>
      <c r="C122" t="s">
        <v>33</v>
      </c>
      <c r="D122" t="s">
        <v>85</v>
      </c>
    </row>
    <row r="123" spans="2:4">
      <c r="B123" t="s">
        <v>239</v>
      </c>
      <c r="C123" t="s">
        <v>33</v>
      </c>
      <c r="D123" t="s">
        <v>85</v>
      </c>
    </row>
    <row r="124" spans="2:4">
      <c r="B124" t="s">
        <v>249</v>
      </c>
      <c r="C124" t="s">
        <v>33</v>
      </c>
      <c r="D124" t="s">
        <v>85</v>
      </c>
    </row>
    <row r="125" spans="2:4">
      <c r="B125" t="s">
        <v>214</v>
      </c>
      <c r="C125" t="s">
        <v>33</v>
      </c>
      <c r="D125" t="s">
        <v>85</v>
      </c>
    </row>
    <row r="126" spans="2:4">
      <c r="B126" t="s">
        <v>238</v>
      </c>
      <c r="C126" t="s">
        <v>33</v>
      </c>
      <c r="D126" t="s">
        <v>85</v>
      </c>
    </row>
    <row r="127" spans="2:4">
      <c r="B127" t="s">
        <v>241</v>
      </c>
      <c r="C127" t="s">
        <v>33</v>
      </c>
      <c r="D127" t="s">
        <v>85</v>
      </c>
    </row>
    <row r="128" spans="2:4">
      <c r="B128" t="s">
        <v>231</v>
      </c>
      <c r="C128" t="s">
        <v>33</v>
      </c>
      <c r="D128" t="s">
        <v>85</v>
      </c>
    </row>
    <row r="129" spans="2:4">
      <c r="B129" t="s">
        <v>247</v>
      </c>
      <c r="C129" t="s">
        <v>33</v>
      </c>
      <c r="D129" t="s">
        <v>85</v>
      </c>
    </row>
    <row r="130" spans="2:4">
      <c r="B130" t="s">
        <v>223</v>
      </c>
      <c r="C130" t="s">
        <v>33</v>
      </c>
      <c r="D130" t="s">
        <v>85</v>
      </c>
    </row>
    <row r="131" spans="2:4">
      <c r="B131" t="s">
        <v>254</v>
      </c>
      <c r="C131" t="s">
        <v>33</v>
      </c>
      <c r="D131" t="s">
        <v>85</v>
      </c>
    </row>
    <row r="132" spans="2:4">
      <c r="B132" t="s">
        <v>222</v>
      </c>
      <c r="C132" t="s">
        <v>33</v>
      </c>
      <c r="D132" t="s">
        <v>85</v>
      </c>
    </row>
    <row r="133" spans="2:4">
      <c r="B133" t="s">
        <v>236</v>
      </c>
      <c r="C133" t="s">
        <v>33</v>
      </c>
      <c r="D133" t="s">
        <v>85</v>
      </c>
    </row>
    <row r="134" spans="2:4">
      <c r="B134" t="s">
        <v>227</v>
      </c>
      <c r="C134" t="s">
        <v>33</v>
      </c>
      <c r="D134" t="s">
        <v>85</v>
      </c>
    </row>
    <row r="135" spans="2:4">
      <c r="B135" t="s">
        <v>224</v>
      </c>
      <c r="C135" t="s">
        <v>33</v>
      </c>
      <c r="D135" t="s">
        <v>85</v>
      </c>
    </row>
    <row r="136" spans="2:4">
      <c r="B136" t="s">
        <v>232</v>
      </c>
      <c r="C136" t="s">
        <v>33</v>
      </c>
      <c r="D136" t="s">
        <v>85</v>
      </c>
    </row>
    <row r="137" spans="2:4">
      <c r="B137" t="s">
        <v>234</v>
      </c>
      <c r="C137" t="s">
        <v>33</v>
      </c>
      <c r="D137" t="s">
        <v>85</v>
      </c>
    </row>
    <row r="138" spans="2:4">
      <c r="B138" t="s">
        <v>216</v>
      </c>
      <c r="C138" t="s">
        <v>33</v>
      </c>
      <c r="D138" t="s">
        <v>85</v>
      </c>
    </row>
    <row r="139" spans="2:4">
      <c r="B139" t="s">
        <v>233</v>
      </c>
      <c r="C139" t="s">
        <v>33</v>
      </c>
      <c r="D139" t="s">
        <v>85</v>
      </c>
    </row>
    <row r="140" spans="2:4">
      <c r="B140" t="s">
        <v>255</v>
      </c>
      <c r="C140" t="s">
        <v>33</v>
      </c>
      <c r="D140" t="s">
        <v>85</v>
      </c>
    </row>
    <row r="141" spans="2:4">
      <c r="B141" t="s">
        <v>230</v>
      </c>
      <c r="C141" t="s">
        <v>33</v>
      </c>
      <c r="D141" t="s">
        <v>85</v>
      </c>
    </row>
    <row r="142" spans="2:4">
      <c r="B142" t="s">
        <v>220</v>
      </c>
      <c r="C142" t="s">
        <v>33</v>
      </c>
      <c r="D142" t="s">
        <v>85</v>
      </c>
    </row>
    <row r="143" spans="2:4">
      <c r="B143" t="s">
        <v>242</v>
      </c>
      <c r="C143" t="s">
        <v>33</v>
      </c>
      <c r="D143" t="s">
        <v>85</v>
      </c>
    </row>
    <row r="144" spans="2:4">
      <c r="B144" t="s">
        <v>228</v>
      </c>
      <c r="C144" t="s">
        <v>33</v>
      </c>
      <c r="D144" t="s">
        <v>85</v>
      </c>
    </row>
    <row r="145" spans="2:4">
      <c r="B145" t="s">
        <v>226</v>
      </c>
      <c r="C145" t="s">
        <v>33</v>
      </c>
      <c r="D145" t="s">
        <v>85</v>
      </c>
    </row>
    <row r="146" spans="2:4">
      <c r="B146" t="s">
        <v>213</v>
      </c>
      <c r="C146" t="s">
        <v>33</v>
      </c>
      <c r="D146" t="s">
        <v>85</v>
      </c>
    </row>
    <row r="147" spans="2:4">
      <c r="B147" t="s">
        <v>221</v>
      </c>
      <c r="C147" t="s">
        <v>33</v>
      </c>
      <c r="D147" t="s">
        <v>85</v>
      </c>
    </row>
    <row r="148" spans="2:4">
      <c r="B148" t="s">
        <v>246</v>
      </c>
      <c r="C148" t="s">
        <v>33</v>
      </c>
      <c r="D148" t="s">
        <v>85</v>
      </c>
    </row>
    <row r="149" spans="2:4">
      <c r="B149" t="s">
        <v>252</v>
      </c>
      <c r="C149" t="s">
        <v>33</v>
      </c>
      <c r="D149" t="s">
        <v>85</v>
      </c>
    </row>
    <row r="150" spans="2:4">
      <c r="B150" t="s">
        <v>240</v>
      </c>
      <c r="C150" t="s">
        <v>33</v>
      </c>
      <c r="D150" t="s">
        <v>85</v>
      </c>
    </row>
    <row r="151" spans="2:4">
      <c r="B151" t="s">
        <v>219</v>
      </c>
      <c r="C151" t="s">
        <v>33</v>
      </c>
      <c r="D151" t="s">
        <v>85</v>
      </c>
    </row>
    <row r="152" spans="2:4">
      <c r="B152" t="s">
        <v>248</v>
      </c>
      <c r="C152" t="s">
        <v>33</v>
      </c>
      <c r="D152" t="s">
        <v>85</v>
      </c>
    </row>
    <row r="153" spans="2:4">
      <c r="B153" t="s">
        <v>127</v>
      </c>
      <c r="C153" t="s">
        <v>70</v>
      </c>
      <c r="D153" t="s">
        <v>334</v>
      </c>
    </row>
    <row r="154" spans="2:4">
      <c r="B154" t="s">
        <v>126</v>
      </c>
      <c r="C154" t="s">
        <v>70</v>
      </c>
      <c r="D154" t="s">
        <v>334</v>
      </c>
    </row>
    <row r="155" spans="2:4">
      <c r="B155" t="s">
        <v>119</v>
      </c>
      <c r="C155" t="s">
        <v>70</v>
      </c>
      <c r="D155" t="s">
        <v>334</v>
      </c>
    </row>
    <row r="156" spans="2:4">
      <c r="B156" t="s">
        <v>120</v>
      </c>
      <c r="C156" t="s">
        <v>70</v>
      </c>
      <c r="D156" t="s">
        <v>334</v>
      </c>
    </row>
    <row r="157" spans="2:4">
      <c r="B157" t="s">
        <v>121</v>
      </c>
      <c r="C157" t="s">
        <v>70</v>
      </c>
      <c r="D157" t="s">
        <v>334</v>
      </c>
    </row>
    <row r="158" spans="2:4">
      <c r="B158" t="s">
        <v>123</v>
      </c>
      <c r="C158" t="s">
        <v>70</v>
      </c>
      <c r="D158" t="s">
        <v>334</v>
      </c>
    </row>
    <row r="159" spans="2:4">
      <c r="B159" t="s">
        <v>122</v>
      </c>
      <c r="C159" t="s">
        <v>70</v>
      </c>
      <c r="D159" t="s">
        <v>334</v>
      </c>
    </row>
    <row r="160" spans="2:4">
      <c r="B160" t="s">
        <v>117</v>
      </c>
      <c r="C160" t="s">
        <v>70</v>
      </c>
      <c r="D160" t="s">
        <v>334</v>
      </c>
    </row>
    <row r="161" spans="2:4">
      <c r="B161" t="s">
        <v>124</v>
      </c>
      <c r="C161" t="s">
        <v>70</v>
      </c>
      <c r="D161" t="s">
        <v>334</v>
      </c>
    </row>
    <row r="162" spans="2:4">
      <c r="B162" t="s">
        <v>125</v>
      </c>
      <c r="C162" t="s">
        <v>70</v>
      </c>
      <c r="D162" t="s">
        <v>334</v>
      </c>
    </row>
    <row r="163" spans="2:4">
      <c r="B163" t="s">
        <v>118</v>
      </c>
      <c r="C163" t="s">
        <v>70</v>
      </c>
      <c r="D163" t="s">
        <v>334</v>
      </c>
    </row>
    <row r="164" spans="2:4">
      <c r="B164" t="s">
        <v>97</v>
      </c>
      <c r="C164" t="s">
        <v>90</v>
      </c>
      <c r="D164" t="s">
        <v>334</v>
      </c>
    </row>
    <row r="165" spans="2:4">
      <c r="B165" t="s">
        <v>94</v>
      </c>
      <c r="C165" t="s">
        <v>90</v>
      </c>
      <c r="D165" t="s">
        <v>334</v>
      </c>
    </row>
    <row r="166" spans="2:4">
      <c r="B166" t="s">
        <v>95</v>
      </c>
      <c r="C166" t="s">
        <v>90</v>
      </c>
      <c r="D166" t="s">
        <v>334</v>
      </c>
    </row>
    <row r="167" spans="2:4">
      <c r="B167" t="s">
        <v>98</v>
      </c>
      <c r="C167" t="s">
        <v>90</v>
      </c>
      <c r="D167" t="s">
        <v>334</v>
      </c>
    </row>
    <row r="168" spans="2:4">
      <c r="B168" t="s">
        <v>96</v>
      </c>
      <c r="C168" t="s">
        <v>90</v>
      </c>
      <c r="D168" t="s">
        <v>334</v>
      </c>
    </row>
    <row r="169" spans="2:4">
      <c r="B169" t="s">
        <v>100</v>
      </c>
      <c r="C169" t="s">
        <v>86</v>
      </c>
      <c r="D169" t="s">
        <v>334</v>
      </c>
    </row>
    <row r="170" spans="2:4">
      <c r="B170" t="s">
        <v>101</v>
      </c>
      <c r="C170" t="s">
        <v>86</v>
      </c>
      <c r="D170" t="s">
        <v>334</v>
      </c>
    </row>
    <row r="171" spans="2:4">
      <c r="B171" t="s">
        <v>99</v>
      </c>
      <c r="C171" t="s">
        <v>86</v>
      </c>
      <c r="D171" t="s">
        <v>334</v>
      </c>
    </row>
    <row r="172" spans="2:4">
      <c r="B172" t="s">
        <v>143</v>
      </c>
      <c r="C172" t="s">
        <v>61</v>
      </c>
      <c r="D172" t="s">
        <v>334</v>
      </c>
    </row>
    <row r="173" spans="2:4">
      <c r="B173" t="s">
        <v>141</v>
      </c>
      <c r="C173" t="s">
        <v>61</v>
      </c>
      <c r="D173" t="s">
        <v>334</v>
      </c>
    </row>
    <row r="174" spans="2:4">
      <c r="B174" t="s">
        <v>146</v>
      </c>
      <c r="C174" t="s">
        <v>61</v>
      </c>
      <c r="D174" t="s">
        <v>334</v>
      </c>
    </row>
    <row r="175" spans="2:4">
      <c r="B175" t="s">
        <v>145</v>
      </c>
      <c r="C175" t="s">
        <v>61</v>
      </c>
      <c r="D175" t="s">
        <v>334</v>
      </c>
    </row>
    <row r="176" spans="2:4">
      <c r="B176" t="s">
        <v>142</v>
      </c>
      <c r="C176" t="s">
        <v>61</v>
      </c>
      <c r="D176" t="s">
        <v>334</v>
      </c>
    </row>
    <row r="177" spans="2:4">
      <c r="B177" t="s">
        <v>136</v>
      </c>
      <c r="C177" t="s">
        <v>61</v>
      </c>
      <c r="D177" t="s">
        <v>334</v>
      </c>
    </row>
    <row r="178" spans="2:4">
      <c r="B178" t="s">
        <v>144</v>
      </c>
      <c r="C178" t="s">
        <v>61</v>
      </c>
      <c r="D178" t="s">
        <v>334</v>
      </c>
    </row>
    <row r="179" spans="2:4">
      <c r="B179" t="s">
        <v>134</v>
      </c>
      <c r="C179" t="s">
        <v>61</v>
      </c>
      <c r="D179" t="s">
        <v>334</v>
      </c>
    </row>
    <row r="180" spans="2:4">
      <c r="B180" t="s">
        <v>138</v>
      </c>
      <c r="C180" t="s">
        <v>61</v>
      </c>
      <c r="D180" t="s">
        <v>334</v>
      </c>
    </row>
    <row r="181" spans="2:4">
      <c r="B181" t="s">
        <v>137</v>
      </c>
      <c r="C181" t="s">
        <v>61</v>
      </c>
      <c r="D181" t="s">
        <v>334</v>
      </c>
    </row>
    <row r="182" spans="2:4">
      <c r="B182" t="s">
        <v>139</v>
      </c>
      <c r="C182" t="s">
        <v>61</v>
      </c>
      <c r="D182" t="s">
        <v>334</v>
      </c>
    </row>
    <row r="183" spans="2:4">
      <c r="B183" t="s">
        <v>140</v>
      </c>
      <c r="C183" t="s">
        <v>61</v>
      </c>
      <c r="D183" t="s">
        <v>334</v>
      </c>
    </row>
    <row r="184" spans="2:4">
      <c r="B184" t="s">
        <v>135</v>
      </c>
      <c r="C184" t="s">
        <v>61</v>
      </c>
      <c r="D184" t="s">
        <v>334</v>
      </c>
    </row>
    <row r="185" spans="2:4">
      <c r="B185" t="s">
        <v>115</v>
      </c>
      <c r="C185" t="s">
        <v>111</v>
      </c>
      <c r="D185" t="s">
        <v>334</v>
      </c>
    </row>
    <row r="186" spans="2:4">
      <c r="B186" t="s">
        <v>112</v>
      </c>
      <c r="C186" t="s">
        <v>111</v>
      </c>
      <c r="D186" t="s">
        <v>334</v>
      </c>
    </row>
    <row r="187" spans="2:4">
      <c r="B187" t="s">
        <v>114</v>
      </c>
      <c r="C187" t="s">
        <v>111</v>
      </c>
      <c r="D187" t="s">
        <v>334</v>
      </c>
    </row>
    <row r="188" spans="2:4">
      <c r="B188" t="s">
        <v>116</v>
      </c>
      <c r="C188" t="s">
        <v>111</v>
      </c>
      <c r="D188" t="s">
        <v>334</v>
      </c>
    </row>
    <row r="189" spans="2:4">
      <c r="B189" t="s">
        <v>113</v>
      </c>
      <c r="C189" t="s">
        <v>111</v>
      </c>
      <c r="D189" t="s">
        <v>334</v>
      </c>
    </row>
    <row r="190" spans="2:4">
      <c r="B190" t="s">
        <v>102</v>
      </c>
      <c r="C190" t="s">
        <v>80</v>
      </c>
      <c r="D190" t="s">
        <v>334</v>
      </c>
    </row>
    <row r="191" spans="2:4">
      <c r="B191" t="s">
        <v>105</v>
      </c>
      <c r="C191" t="s">
        <v>80</v>
      </c>
      <c r="D191" t="s">
        <v>334</v>
      </c>
    </row>
    <row r="192" spans="2:4">
      <c r="B192" t="s">
        <v>110</v>
      </c>
      <c r="C192" t="s">
        <v>80</v>
      </c>
      <c r="D192" t="s">
        <v>334</v>
      </c>
    </row>
    <row r="193" spans="2:4">
      <c r="B193" t="s">
        <v>109</v>
      </c>
      <c r="C193" t="s">
        <v>80</v>
      </c>
      <c r="D193" t="s">
        <v>334</v>
      </c>
    </row>
    <row r="194" spans="2:4">
      <c r="B194" t="s">
        <v>104</v>
      </c>
      <c r="C194" t="s">
        <v>80</v>
      </c>
      <c r="D194" t="s">
        <v>334</v>
      </c>
    </row>
    <row r="195" spans="2:4">
      <c r="B195" t="s">
        <v>108</v>
      </c>
      <c r="C195" t="s">
        <v>80</v>
      </c>
      <c r="D195" t="s">
        <v>334</v>
      </c>
    </row>
    <row r="196" spans="2:4">
      <c r="B196" t="s">
        <v>103</v>
      </c>
      <c r="C196" t="s">
        <v>80</v>
      </c>
      <c r="D196" t="s">
        <v>334</v>
      </c>
    </row>
    <row r="197" spans="2:4">
      <c r="B197" t="s">
        <v>107</v>
      </c>
      <c r="C197" t="s">
        <v>80</v>
      </c>
      <c r="D197" t="s">
        <v>334</v>
      </c>
    </row>
    <row r="198" spans="2:4">
      <c r="B198" t="s">
        <v>106</v>
      </c>
      <c r="C198" t="s">
        <v>80</v>
      </c>
      <c r="D198" t="s">
        <v>334</v>
      </c>
    </row>
    <row r="199" spans="2:4">
      <c r="B199" t="s">
        <v>131</v>
      </c>
      <c r="C199" t="s">
        <v>63</v>
      </c>
      <c r="D199" t="s">
        <v>334</v>
      </c>
    </row>
    <row r="200" spans="2:4">
      <c r="B200" t="s">
        <v>130</v>
      </c>
      <c r="C200" t="s">
        <v>63</v>
      </c>
      <c r="D200" t="s">
        <v>334</v>
      </c>
    </row>
    <row r="201" spans="2:4">
      <c r="B201" t="s">
        <v>133</v>
      </c>
      <c r="C201" t="s">
        <v>63</v>
      </c>
      <c r="D201" t="s">
        <v>334</v>
      </c>
    </row>
    <row r="202" spans="2:4">
      <c r="B202" t="s">
        <v>129</v>
      </c>
      <c r="C202" t="s">
        <v>63</v>
      </c>
      <c r="D202" t="s">
        <v>334</v>
      </c>
    </row>
    <row r="203" spans="2:4">
      <c r="B203" t="s">
        <v>128</v>
      </c>
      <c r="C203" t="s">
        <v>63</v>
      </c>
      <c r="D203" t="s">
        <v>334</v>
      </c>
    </row>
    <row r="204" spans="2:4">
      <c r="B204" t="s">
        <v>132</v>
      </c>
      <c r="C204" t="s">
        <v>63</v>
      </c>
      <c r="D204" t="s">
        <v>334</v>
      </c>
    </row>
    <row r="205" spans="2:4">
      <c r="B205" t="s">
        <v>193</v>
      </c>
      <c r="C205" t="s">
        <v>47</v>
      </c>
      <c r="D205" t="s">
        <v>334</v>
      </c>
    </row>
    <row r="206" spans="2:4">
      <c r="B206" t="s">
        <v>196</v>
      </c>
      <c r="C206" t="s">
        <v>47</v>
      </c>
      <c r="D206" t="s">
        <v>334</v>
      </c>
    </row>
    <row r="207" spans="2:4">
      <c r="B207" t="s">
        <v>195</v>
      </c>
      <c r="C207" t="s">
        <v>47</v>
      </c>
      <c r="D207" t="s">
        <v>334</v>
      </c>
    </row>
    <row r="208" spans="2:4">
      <c r="B208" t="s">
        <v>194</v>
      </c>
      <c r="C208" t="s">
        <v>47</v>
      </c>
      <c r="D208" t="s">
        <v>334</v>
      </c>
    </row>
    <row r="209" spans="2:4">
      <c r="B209" t="s">
        <v>182</v>
      </c>
      <c r="C209" t="s">
        <v>52</v>
      </c>
      <c r="D209" t="s">
        <v>334</v>
      </c>
    </row>
    <row r="210" spans="2:4">
      <c r="B210" t="s">
        <v>160</v>
      </c>
      <c r="C210" t="s">
        <v>52</v>
      </c>
      <c r="D210" t="s">
        <v>334</v>
      </c>
    </row>
    <row r="211" spans="2:4">
      <c r="B211" t="s">
        <v>173</v>
      </c>
      <c r="C211" t="s">
        <v>52</v>
      </c>
      <c r="D211" t="s">
        <v>334</v>
      </c>
    </row>
    <row r="212" spans="2:4">
      <c r="B212" t="s">
        <v>178</v>
      </c>
      <c r="C212" t="s">
        <v>52</v>
      </c>
      <c r="D212" t="s">
        <v>334</v>
      </c>
    </row>
    <row r="213" spans="2:4">
      <c r="B213" t="s">
        <v>161</v>
      </c>
      <c r="C213" t="s">
        <v>52</v>
      </c>
      <c r="D213" t="s">
        <v>334</v>
      </c>
    </row>
    <row r="214" spans="2:4">
      <c r="B214" t="s">
        <v>165</v>
      </c>
      <c r="C214" t="s">
        <v>52</v>
      </c>
      <c r="D214" t="s">
        <v>334</v>
      </c>
    </row>
    <row r="215" spans="2:4">
      <c r="B215" t="s">
        <v>153</v>
      </c>
      <c r="C215" t="s">
        <v>52</v>
      </c>
      <c r="D215" t="s">
        <v>334</v>
      </c>
    </row>
    <row r="216" spans="2:4">
      <c r="B216" t="s">
        <v>179</v>
      </c>
      <c r="C216" t="s">
        <v>52</v>
      </c>
      <c r="D216" t="s">
        <v>334</v>
      </c>
    </row>
    <row r="217" spans="2:4">
      <c r="B217" t="s">
        <v>158</v>
      </c>
      <c r="C217" t="s">
        <v>52</v>
      </c>
      <c r="D217" t="s">
        <v>334</v>
      </c>
    </row>
    <row r="218" spans="2:4">
      <c r="B218" t="s">
        <v>163</v>
      </c>
      <c r="C218" t="s">
        <v>52</v>
      </c>
      <c r="D218" t="s">
        <v>334</v>
      </c>
    </row>
    <row r="219" spans="2:4">
      <c r="B219" t="s">
        <v>192</v>
      </c>
      <c r="C219" t="s">
        <v>52</v>
      </c>
      <c r="D219" t="s">
        <v>334</v>
      </c>
    </row>
    <row r="220" spans="2:4">
      <c r="B220" t="s">
        <v>156</v>
      </c>
      <c r="C220" t="s">
        <v>52</v>
      </c>
      <c r="D220" t="s">
        <v>334</v>
      </c>
    </row>
    <row r="221" spans="2:4">
      <c r="B221" t="s">
        <v>191</v>
      </c>
      <c r="C221" t="s">
        <v>52</v>
      </c>
      <c r="D221" t="s">
        <v>334</v>
      </c>
    </row>
    <row r="222" spans="2:4">
      <c r="B222" t="s">
        <v>180</v>
      </c>
      <c r="C222" t="s">
        <v>52</v>
      </c>
      <c r="D222" t="s">
        <v>334</v>
      </c>
    </row>
    <row r="223" spans="2:4">
      <c r="B223" t="s">
        <v>147</v>
      </c>
      <c r="C223" t="s">
        <v>52</v>
      </c>
      <c r="D223" t="s">
        <v>334</v>
      </c>
    </row>
    <row r="224" spans="2:4">
      <c r="B224" t="s">
        <v>170</v>
      </c>
      <c r="C224" t="s">
        <v>52</v>
      </c>
      <c r="D224" t="s">
        <v>334</v>
      </c>
    </row>
    <row r="225" spans="2:4">
      <c r="B225" t="s">
        <v>171</v>
      </c>
      <c r="C225" t="s">
        <v>52</v>
      </c>
      <c r="D225" t="s">
        <v>334</v>
      </c>
    </row>
    <row r="226" spans="2:4">
      <c r="B226" t="s">
        <v>169</v>
      </c>
      <c r="C226" t="s">
        <v>52</v>
      </c>
      <c r="D226" t="s">
        <v>334</v>
      </c>
    </row>
    <row r="227" spans="2:4">
      <c r="B227" t="s">
        <v>152</v>
      </c>
      <c r="C227" t="s">
        <v>52</v>
      </c>
      <c r="D227" t="s">
        <v>334</v>
      </c>
    </row>
    <row r="228" spans="2:4">
      <c r="B228" t="s">
        <v>148</v>
      </c>
      <c r="C228" t="s">
        <v>52</v>
      </c>
      <c r="D228" t="s">
        <v>334</v>
      </c>
    </row>
    <row r="229" spans="2:4">
      <c r="B229" t="s">
        <v>181</v>
      </c>
      <c r="C229" t="s">
        <v>52</v>
      </c>
      <c r="D229" t="s">
        <v>334</v>
      </c>
    </row>
    <row r="230" spans="2:4">
      <c r="B230" t="s">
        <v>187</v>
      </c>
      <c r="C230" t="s">
        <v>52</v>
      </c>
      <c r="D230" t="s">
        <v>334</v>
      </c>
    </row>
    <row r="231" spans="2:4">
      <c r="B231" t="s">
        <v>188</v>
      </c>
      <c r="C231" t="s">
        <v>52</v>
      </c>
      <c r="D231" t="s">
        <v>334</v>
      </c>
    </row>
    <row r="232" spans="2:4">
      <c r="B232" t="s">
        <v>189</v>
      </c>
      <c r="C232" t="s">
        <v>52</v>
      </c>
      <c r="D232" t="s">
        <v>334</v>
      </c>
    </row>
    <row r="233" spans="2:4">
      <c r="B233" t="s">
        <v>183</v>
      </c>
      <c r="C233" t="s">
        <v>52</v>
      </c>
      <c r="D233" t="s">
        <v>334</v>
      </c>
    </row>
    <row r="234" spans="2:4">
      <c r="B234" t="s">
        <v>167</v>
      </c>
      <c r="C234" t="s">
        <v>52</v>
      </c>
      <c r="D234" t="s">
        <v>334</v>
      </c>
    </row>
    <row r="235" spans="2:4">
      <c r="B235" t="s">
        <v>151</v>
      </c>
      <c r="C235" t="s">
        <v>52</v>
      </c>
      <c r="D235" t="s">
        <v>334</v>
      </c>
    </row>
    <row r="236" spans="2:4">
      <c r="B236" t="s">
        <v>175</v>
      </c>
      <c r="C236" t="s">
        <v>52</v>
      </c>
      <c r="D236" t="s">
        <v>334</v>
      </c>
    </row>
    <row r="237" spans="2:4">
      <c r="B237" t="s">
        <v>157</v>
      </c>
      <c r="C237" t="s">
        <v>52</v>
      </c>
      <c r="D237" t="s">
        <v>334</v>
      </c>
    </row>
    <row r="238" spans="2:4">
      <c r="B238" t="s">
        <v>162</v>
      </c>
      <c r="C238" t="s">
        <v>52</v>
      </c>
      <c r="D238" t="s">
        <v>334</v>
      </c>
    </row>
    <row r="239" spans="2:4">
      <c r="B239" t="s">
        <v>190</v>
      </c>
      <c r="C239" t="s">
        <v>52</v>
      </c>
      <c r="D239" t="s">
        <v>334</v>
      </c>
    </row>
    <row r="240" spans="2:4">
      <c r="B240" t="s">
        <v>176</v>
      </c>
      <c r="C240" t="s">
        <v>52</v>
      </c>
      <c r="D240" t="s">
        <v>334</v>
      </c>
    </row>
    <row r="241" spans="2:4">
      <c r="B241" t="s">
        <v>168</v>
      </c>
      <c r="C241" t="s">
        <v>52</v>
      </c>
      <c r="D241" t="s">
        <v>334</v>
      </c>
    </row>
    <row r="242" spans="2:4">
      <c r="B242" t="s">
        <v>154</v>
      </c>
      <c r="C242" t="s">
        <v>52</v>
      </c>
      <c r="D242" t="s">
        <v>334</v>
      </c>
    </row>
    <row r="243" spans="2:4">
      <c r="B243" t="s">
        <v>172</v>
      </c>
      <c r="C243" t="s">
        <v>52</v>
      </c>
      <c r="D243" t="s">
        <v>334</v>
      </c>
    </row>
    <row r="244" spans="2:4">
      <c r="B244" t="s">
        <v>174</v>
      </c>
      <c r="C244" t="s">
        <v>52</v>
      </c>
      <c r="D244" t="s">
        <v>334</v>
      </c>
    </row>
    <row r="245" spans="2:4">
      <c r="B245" t="s">
        <v>155</v>
      </c>
      <c r="C245" t="s">
        <v>52</v>
      </c>
      <c r="D245" t="s">
        <v>334</v>
      </c>
    </row>
    <row r="246" spans="2:4">
      <c r="B246" t="s">
        <v>185</v>
      </c>
      <c r="C246" t="s">
        <v>52</v>
      </c>
      <c r="D246" t="s">
        <v>334</v>
      </c>
    </row>
    <row r="247" spans="2:4">
      <c r="B247" t="s">
        <v>166</v>
      </c>
      <c r="C247" t="s">
        <v>52</v>
      </c>
      <c r="D247" t="s">
        <v>334</v>
      </c>
    </row>
    <row r="248" spans="2:4">
      <c r="B248" t="s">
        <v>184</v>
      </c>
      <c r="C248" t="s">
        <v>52</v>
      </c>
      <c r="D248" t="s">
        <v>334</v>
      </c>
    </row>
    <row r="249" spans="2:4">
      <c r="B249" t="s">
        <v>164</v>
      </c>
      <c r="C249" t="s">
        <v>52</v>
      </c>
      <c r="D249" t="s">
        <v>334</v>
      </c>
    </row>
    <row r="250" spans="2:4">
      <c r="B250" t="s">
        <v>159</v>
      </c>
      <c r="C250" t="s">
        <v>52</v>
      </c>
      <c r="D250" t="s">
        <v>334</v>
      </c>
    </row>
    <row r="251" spans="2:4">
      <c r="B251" t="s">
        <v>150</v>
      </c>
      <c r="C251" t="s">
        <v>52</v>
      </c>
      <c r="D251" t="s">
        <v>334</v>
      </c>
    </row>
    <row r="252" spans="2:4">
      <c r="B252" t="s">
        <v>177</v>
      </c>
      <c r="C252" t="s">
        <v>52</v>
      </c>
      <c r="D252" t="s">
        <v>334</v>
      </c>
    </row>
    <row r="253" spans="2:4">
      <c r="B253" t="s">
        <v>186</v>
      </c>
      <c r="C253" t="s">
        <v>52</v>
      </c>
      <c r="D253" t="s">
        <v>334</v>
      </c>
    </row>
    <row r="254" spans="2:4">
      <c r="B254" t="s">
        <v>149</v>
      </c>
      <c r="C254" t="s">
        <v>52</v>
      </c>
      <c r="D254" t="s">
        <v>334</v>
      </c>
    </row>
    <row r="255" spans="2:4">
      <c r="B255" t="s">
        <v>317</v>
      </c>
      <c r="C255" t="s">
        <v>1</v>
      </c>
      <c r="D255" t="s">
        <v>335</v>
      </c>
    </row>
    <row r="256" spans="2:4">
      <c r="B256" t="s">
        <v>307</v>
      </c>
      <c r="C256" t="s">
        <v>1</v>
      </c>
      <c r="D256" t="s">
        <v>335</v>
      </c>
    </row>
    <row r="257" spans="2:4">
      <c r="B257" t="s">
        <v>305</v>
      </c>
      <c r="C257" t="s">
        <v>1</v>
      </c>
      <c r="D257" t="s">
        <v>335</v>
      </c>
    </row>
    <row r="258" spans="2:4">
      <c r="B258" t="s">
        <v>303</v>
      </c>
      <c r="C258" t="s">
        <v>1</v>
      </c>
      <c r="D258" t="s">
        <v>335</v>
      </c>
    </row>
    <row r="259" spans="2:4">
      <c r="B259" t="s">
        <v>306</v>
      </c>
      <c r="C259" t="s">
        <v>1</v>
      </c>
      <c r="D259" t="s">
        <v>335</v>
      </c>
    </row>
    <row r="260" spans="2:4">
      <c r="B260" t="s">
        <v>325</v>
      </c>
      <c r="C260" t="s">
        <v>1</v>
      </c>
      <c r="D260" t="s">
        <v>335</v>
      </c>
    </row>
    <row r="261" spans="2:4">
      <c r="B261" t="s">
        <v>309</v>
      </c>
      <c r="C261" t="s">
        <v>1</v>
      </c>
      <c r="D261" t="s">
        <v>335</v>
      </c>
    </row>
    <row r="262" spans="2:4">
      <c r="B262" t="s">
        <v>300</v>
      </c>
      <c r="C262" t="s">
        <v>1</v>
      </c>
      <c r="D262" t="s">
        <v>335</v>
      </c>
    </row>
    <row r="263" spans="2:4">
      <c r="B263" t="s">
        <v>323</v>
      </c>
      <c r="C263" t="s">
        <v>1</v>
      </c>
      <c r="D263" t="s">
        <v>335</v>
      </c>
    </row>
    <row r="264" spans="2:4">
      <c r="B264" t="s">
        <v>318</v>
      </c>
      <c r="C264" t="s">
        <v>1</v>
      </c>
      <c r="D264" t="s">
        <v>335</v>
      </c>
    </row>
    <row r="265" spans="2:4">
      <c r="B265" t="s">
        <v>302</v>
      </c>
      <c r="C265" t="s">
        <v>1</v>
      </c>
      <c r="D265" t="s">
        <v>335</v>
      </c>
    </row>
    <row r="266" spans="2:4">
      <c r="B266" t="s">
        <v>298</v>
      </c>
      <c r="C266" t="s">
        <v>1</v>
      </c>
      <c r="D266" t="s">
        <v>335</v>
      </c>
    </row>
    <row r="267" spans="2:4">
      <c r="B267" t="s">
        <v>312</v>
      </c>
      <c r="C267" t="s">
        <v>1</v>
      </c>
      <c r="D267" t="s">
        <v>335</v>
      </c>
    </row>
    <row r="268" spans="2:4">
      <c r="B268" t="s">
        <v>327</v>
      </c>
      <c r="C268" t="s">
        <v>1</v>
      </c>
      <c r="D268" t="s">
        <v>335</v>
      </c>
    </row>
    <row r="269" spans="2:4">
      <c r="B269" t="s">
        <v>299</v>
      </c>
      <c r="C269" t="s">
        <v>1</v>
      </c>
      <c r="D269" t="s">
        <v>335</v>
      </c>
    </row>
    <row r="270" spans="2:4">
      <c r="B270" t="s">
        <v>310</v>
      </c>
      <c r="C270" t="s">
        <v>1</v>
      </c>
      <c r="D270" t="s">
        <v>335</v>
      </c>
    </row>
    <row r="271" spans="2:4">
      <c r="B271" t="s">
        <v>316</v>
      </c>
      <c r="C271" t="s">
        <v>1</v>
      </c>
      <c r="D271" t="s">
        <v>335</v>
      </c>
    </row>
    <row r="272" spans="2:4">
      <c r="B272" t="s">
        <v>321</v>
      </c>
      <c r="C272" t="s">
        <v>1</v>
      </c>
      <c r="D272" t="s">
        <v>335</v>
      </c>
    </row>
    <row r="273" spans="2:4">
      <c r="B273" t="s">
        <v>304</v>
      </c>
      <c r="C273" t="s">
        <v>1</v>
      </c>
      <c r="D273" t="s">
        <v>335</v>
      </c>
    </row>
    <row r="274" spans="2:4">
      <c r="B274" t="s">
        <v>320</v>
      </c>
      <c r="C274" t="s">
        <v>1</v>
      </c>
      <c r="D274" t="s">
        <v>335</v>
      </c>
    </row>
    <row r="275" spans="2:4">
      <c r="B275" t="s">
        <v>295</v>
      </c>
      <c r="C275" t="s">
        <v>1</v>
      </c>
      <c r="D275" t="s">
        <v>335</v>
      </c>
    </row>
    <row r="276" spans="2:4">
      <c r="B276" t="s">
        <v>328</v>
      </c>
      <c r="C276" t="s">
        <v>1</v>
      </c>
      <c r="D276" t="s">
        <v>335</v>
      </c>
    </row>
    <row r="277" spans="2:4">
      <c r="B277" t="s">
        <v>324</v>
      </c>
      <c r="C277" t="s">
        <v>1</v>
      </c>
      <c r="D277" t="s">
        <v>335</v>
      </c>
    </row>
    <row r="278" spans="2:4">
      <c r="B278" t="s">
        <v>315</v>
      </c>
      <c r="C278" t="s">
        <v>1</v>
      </c>
      <c r="D278" t="s">
        <v>335</v>
      </c>
    </row>
    <row r="279" spans="2:4">
      <c r="B279" t="s">
        <v>314</v>
      </c>
      <c r="C279" t="s">
        <v>1</v>
      </c>
      <c r="D279" t="s">
        <v>335</v>
      </c>
    </row>
    <row r="280" spans="2:4">
      <c r="B280" t="s">
        <v>296</v>
      </c>
      <c r="C280" t="s">
        <v>1</v>
      </c>
      <c r="D280" t="s">
        <v>335</v>
      </c>
    </row>
    <row r="281" spans="2:4">
      <c r="B281" t="s">
        <v>313</v>
      </c>
      <c r="C281" t="s">
        <v>1</v>
      </c>
      <c r="D281" t="s">
        <v>335</v>
      </c>
    </row>
    <row r="282" spans="2:4">
      <c r="B282" t="s">
        <v>301</v>
      </c>
      <c r="C282" t="s">
        <v>1</v>
      </c>
      <c r="D282" t="s">
        <v>335</v>
      </c>
    </row>
    <row r="283" spans="2:4">
      <c r="B283" t="s">
        <v>329</v>
      </c>
      <c r="C283" t="s">
        <v>1</v>
      </c>
      <c r="D283" t="s">
        <v>335</v>
      </c>
    </row>
    <row r="284" spans="2:4">
      <c r="B284" t="s">
        <v>319</v>
      </c>
      <c r="C284" t="s">
        <v>1</v>
      </c>
      <c r="D284" t="s">
        <v>335</v>
      </c>
    </row>
    <row r="285" spans="2:4">
      <c r="B285" t="s">
        <v>322</v>
      </c>
      <c r="C285" t="s">
        <v>1</v>
      </c>
      <c r="D285" t="s">
        <v>335</v>
      </c>
    </row>
    <row r="286" spans="2:4">
      <c r="B286" t="s">
        <v>326</v>
      </c>
      <c r="C286" t="s">
        <v>1</v>
      </c>
      <c r="D286" t="s">
        <v>335</v>
      </c>
    </row>
    <row r="287" spans="2:4">
      <c r="B287" t="s">
        <v>297</v>
      </c>
      <c r="C287" t="s">
        <v>1</v>
      </c>
      <c r="D287" t="s">
        <v>335</v>
      </c>
    </row>
    <row r="288" spans="2:4">
      <c r="B288" t="s">
        <v>311</v>
      </c>
      <c r="C288" t="s">
        <v>1</v>
      </c>
      <c r="D288" t="s">
        <v>335</v>
      </c>
    </row>
    <row r="289" spans="2:4">
      <c r="B289" t="s">
        <v>308</v>
      </c>
      <c r="C289" t="s">
        <v>1</v>
      </c>
      <c r="D289" t="s">
        <v>335</v>
      </c>
    </row>
    <row r="290" spans="2:4">
      <c r="B290" t="s">
        <v>277</v>
      </c>
      <c r="C290" t="s">
        <v>10</v>
      </c>
      <c r="D290" t="s">
        <v>335</v>
      </c>
    </row>
    <row r="291" spans="2:4">
      <c r="B291" t="s">
        <v>271</v>
      </c>
      <c r="C291" t="s">
        <v>10</v>
      </c>
      <c r="D291" t="s">
        <v>335</v>
      </c>
    </row>
    <row r="292" spans="2:4">
      <c r="B292" t="s">
        <v>282</v>
      </c>
      <c r="C292" t="s">
        <v>10</v>
      </c>
      <c r="D292" t="s">
        <v>335</v>
      </c>
    </row>
    <row r="293" spans="2:4">
      <c r="B293" t="s">
        <v>275</v>
      </c>
      <c r="C293" t="s">
        <v>10</v>
      </c>
      <c r="D293" t="s">
        <v>335</v>
      </c>
    </row>
    <row r="294" spans="2:4">
      <c r="B294" t="s">
        <v>294</v>
      </c>
      <c r="C294" t="s">
        <v>10</v>
      </c>
      <c r="D294" t="s">
        <v>335</v>
      </c>
    </row>
    <row r="295" spans="2:4">
      <c r="B295" t="s">
        <v>270</v>
      </c>
      <c r="C295" t="s">
        <v>10</v>
      </c>
      <c r="D295" t="s">
        <v>335</v>
      </c>
    </row>
    <row r="296" spans="2:4">
      <c r="B296" t="s">
        <v>286</v>
      </c>
      <c r="C296" t="s">
        <v>10</v>
      </c>
      <c r="D296" t="s">
        <v>335</v>
      </c>
    </row>
    <row r="297" spans="2:4">
      <c r="B297" t="s">
        <v>268</v>
      </c>
      <c r="C297" t="s">
        <v>10</v>
      </c>
      <c r="D297" t="s">
        <v>335</v>
      </c>
    </row>
    <row r="298" spans="2:4">
      <c r="B298" t="s">
        <v>292</v>
      </c>
      <c r="C298" t="s">
        <v>10</v>
      </c>
      <c r="D298" t="s">
        <v>335</v>
      </c>
    </row>
    <row r="299" spans="2:4">
      <c r="B299" t="s">
        <v>279</v>
      </c>
      <c r="C299" t="s">
        <v>10</v>
      </c>
      <c r="D299" t="s">
        <v>335</v>
      </c>
    </row>
    <row r="300" spans="2:4">
      <c r="B300" t="s">
        <v>287</v>
      </c>
      <c r="C300" t="s">
        <v>10</v>
      </c>
      <c r="D300" t="s">
        <v>335</v>
      </c>
    </row>
    <row r="301" spans="2:4">
      <c r="B301" t="s">
        <v>291</v>
      </c>
      <c r="C301" t="s">
        <v>10</v>
      </c>
      <c r="D301" t="s">
        <v>335</v>
      </c>
    </row>
    <row r="302" spans="2:4">
      <c r="B302" t="s">
        <v>284</v>
      </c>
      <c r="C302" t="s">
        <v>10</v>
      </c>
      <c r="D302" t="s">
        <v>335</v>
      </c>
    </row>
    <row r="303" spans="2:4">
      <c r="B303" t="s">
        <v>289</v>
      </c>
      <c r="C303" t="s">
        <v>10</v>
      </c>
      <c r="D303" t="s">
        <v>335</v>
      </c>
    </row>
    <row r="304" spans="2:4">
      <c r="B304" t="s">
        <v>293</v>
      </c>
      <c r="C304" t="s">
        <v>10</v>
      </c>
      <c r="D304" t="s">
        <v>335</v>
      </c>
    </row>
    <row r="305" spans="2:4">
      <c r="B305" t="s">
        <v>278</v>
      </c>
      <c r="C305" t="s">
        <v>10</v>
      </c>
      <c r="D305" t="s">
        <v>335</v>
      </c>
    </row>
    <row r="306" spans="2:4">
      <c r="B306" t="s">
        <v>285</v>
      </c>
      <c r="C306" t="s">
        <v>10</v>
      </c>
      <c r="D306" t="s">
        <v>335</v>
      </c>
    </row>
    <row r="307" spans="2:4">
      <c r="B307" t="s">
        <v>273</v>
      </c>
      <c r="C307" t="s">
        <v>10</v>
      </c>
      <c r="D307" t="s">
        <v>335</v>
      </c>
    </row>
    <row r="308" spans="2:4">
      <c r="B308" t="s">
        <v>274</v>
      </c>
      <c r="C308" t="s">
        <v>10</v>
      </c>
      <c r="D308" t="s">
        <v>335</v>
      </c>
    </row>
    <row r="309" spans="2:4">
      <c r="B309" t="s">
        <v>281</v>
      </c>
      <c r="C309" t="s">
        <v>10</v>
      </c>
      <c r="D309" t="s">
        <v>335</v>
      </c>
    </row>
    <row r="310" spans="2:4">
      <c r="B310" t="s">
        <v>276</v>
      </c>
      <c r="C310" t="s">
        <v>10</v>
      </c>
      <c r="D310" t="s">
        <v>335</v>
      </c>
    </row>
    <row r="311" spans="2:4">
      <c r="B311" t="s">
        <v>272</v>
      </c>
      <c r="C311" t="s">
        <v>10</v>
      </c>
      <c r="D311" t="s">
        <v>335</v>
      </c>
    </row>
    <row r="312" spans="2:4">
      <c r="B312" t="s">
        <v>269</v>
      </c>
      <c r="C312" t="s">
        <v>10</v>
      </c>
      <c r="D312" t="s">
        <v>335</v>
      </c>
    </row>
    <row r="313" spans="2:4">
      <c r="B313" t="s">
        <v>290</v>
      </c>
      <c r="C313" t="s">
        <v>10</v>
      </c>
      <c r="D313" t="s">
        <v>335</v>
      </c>
    </row>
    <row r="314" spans="2:4">
      <c r="B314" t="s">
        <v>288</v>
      </c>
      <c r="C314" t="s">
        <v>10</v>
      </c>
      <c r="D314" t="s">
        <v>335</v>
      </c>
    </row>
    <row r="315" spans="2:4">
      <c r="B315" t="s">
        <v>283</v>
      </c>
      <c r="C315" t="s">
        <v>10</v>
      </c>
      <c r="D315" t="s">
        <v>335</v>
      </c>
    </row>
    <row r="316" spans="2:4">
      <c r="B316" t="s">
        <v>280</v>
      </c>
      <c r="C316" t="s">
        <v>10</v>
      </c>
      <c r="D316" t="s">
        <v>335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5612-AF13-4219-9926-B70640213326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"NR Other",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348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346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75990972-D129-4959-8A3C-9D5E43ABBAF7}">
      <formula1>2000</formula1>
      <formula2>5999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AD55-E618-4232-BEAB-CD45BF6EA1CD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"Barrow",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F23CA16-53F6-4341-AFC6-D7F305021583}">
      <formula1>2000</formula1>
      <formula2>5999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62F1-8F4D-4209-959E-BC6B239DB53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"Chandalar",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410D1EC4-4596-4468-A3FE-301C88EAB9B7}">
      <formula1>2000</formula1>
      <formula2>5999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81D2-F1FF-4347-BD1E-C25381502D2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"Coldfoot",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50586851-A46B-417F-9122-CD66281DA215}">
      <formula1>2000</formula1>
      <formula2>5999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B690-3033-43E6-A1AE-8DD1BF73631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"Deadhorse",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7B86291F-B83E-42AC-8AC8-CFB7CE514567}">
      <formula1>2000</formula1>
      <formula2>5999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8CDE-0891-4CB5-99DF-87BBF30F25B3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"Jim River",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1CC116D-A279-4420-AB5C-220A4ABC2DE6}">
      <formula1>2000</formula1>
      <formula2>5999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B54F-48F7-4BDC-80C8-DA6513C8B75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"Livengood",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AE526C61-D469-4471-8F1A-E4F805F15C0A}">
      <formula1>2000</formula1>
      <formula2>5999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D5B8-6D2D-41E1-9958-D5993546A5B1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"Manley Hot Springs",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4D7F69A-3B7C-4D64-AFA9-255855A4EE11}">
      <formula1>2000</formula1>
      <formula2>5999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53C0-5BFC-4BE1-889B-B783A0A5A5B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"Sag River",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C4E1F4E0-D468-4506-945F-5BC1D0350E37}">
      <formula1>2000</formula1>
      <formula2>5999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3771-A315-4F2C-BCD9-705BEF3366A3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"Seven Mile",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70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A2B9874B-8FDA-4229-899C-302F47CEFBA9}">
      <formula1>2000</formula1>
      <formula2>5999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C117-C9BB-4971-B7CB-8801A2E4621A}">
  <sheetPr codeName="Sheet4"/>
  <dimension ref="A1:D32"/>
  <sheetViews>
    <sheetView topLeftCell="A16" workbookViewId="0">
      <selection activeCell="L14" sqref="L14"/>
    </sheetView>
  </sheetViews>
  <sheetFormatPr defaultRowHeight="12.75"/>
  <cols>
    <col min="1" max="1" width="62.06640625" customWidth="1"/>
    <col min="2" max="2" width="2.1328125" customWidth="1"/>
    <col min="3" max="3" width="25.19921875" customWidth="1"/>
    <col min="4" max="4" width="9.06640625" style="21"/>
  </cols>
  <sheetData>
    <row r="1" spans="1:4">
      <c r="A1" t="s">
        <v>457</v>
      </c>
    </row>
    <row r="2" spans="1:4">
      <c r="A2" t="s">
        <v>458</v>
      </c>
      <c r="C2" t="s">
        <v>441</v>
      </c>
      <c r="D2" s="21" t="s">
        <v>440</v>
      </c>
    </row>
    <row r="3" spans="1:4">
      <c r="A3" t="s">
        <v>459</v>
      </c>
      <c r="C3" t="s">
        <v>442</v>
      </c>
      <c r="D3" s="22" t="s">
        <v>460</v>
      </c>
    </row>
    <row r="4" spans="1:4">
      <c r="A4" t="s">
        <v>461</v>
      </c>
      <c r="C4" t="s">
        <v>443</v>
      </c>
      <c r="D4" s="22" t="s">
        <v>462</v>
      </c>
    </row>
    <row r="5" spans="1:4">
      <c r="A5" t="s">
        <v>463</v>
      </c>
      <c r="C5" t="s">
        <v>444</v>
      </c>
      <c r="D5" s="22" t="s">
        <v>464</v>
      </c>
    </row>
    <row r="6" spans="1:4">
      <c r="A6" t="s">
        <v>465</v>
      </c>
      <c r="C6" t="s">
        <v>451</v>
      </c>
      <c r="D6" s="22" t="s">
        <v>466</v>
      </c>
    </row>
    <row r="7" spans="1:4">
      <c r="A7" t="s">
        <v>467</v>
      </c>
      <c r="C7" t="s">
        <v>445</v>
      </c>
      <c r="D7" s="22" t="s">
        <v>468</v>
      </c>
    </row>
    <row r="8" spans="1:4">
      <c r="A8" t="s">
        <v>469</v>
      </c>
      <c r="C8" t="s">
        <v>446</v>
      </c>
      <c r="D8" s="22" t="s">
        <v>470</v>
      </c>
    </row>
    <row r="9" spans="1:4">
      <c r="A9" t="s">
        <v>471</v>
      </c>
      <c r="C9" t="s">
        <v>447</v>
      </c>
      <c r="D9" s="22" t="s">
        <v>472</v>
      </c>
    </row>
    <row r="10" spans="1:4">
      <c r="A10" t="s">
        <v>473</v>
      </c>
      <c r="C10" t="s">
        <v>448</v>
      </c>
      <c r="D10" s="22" t="s">
        <v>474</v>
      </c>
    </row>
    <row r="11" spans="1:4">
      <c r="A11" t="s">
        <v>475</v>
      </c>
      <c r="C11" t="s">
        <v>449</v>
      </c>
      <c r="D11" s="22" t="s">
        <v>476</v>
      </c>
    </row>
    <row r="12" spans="1:4">
      <c r="A12" t="s">
        <v>477</v>
      </c>
      <c r="C12" t="s">
        <v>450</v>
      </c>
      <c r="D12" s="22" t="s">
        <v>478</v>
      </c>
    </row>
    <row r="13" spans="1:4">
      <c r="A13" t="s">
        <v>479</v>
      </c>
    </row>
    <row r="14" spans="1:4">
      <c r="A14" t="s">
        <v>480</v>
      </c>
      <c r="C14" t="s">
        <v>481</v>
      </c>
      <c r="D14" s="21">
        <v>3</v>
      </c>
    </row>
    <row r="15" spans="1:4">
      <c r="A15" t="s">
        <v>482</v>
      </c>
      <c r="C15" t="s">
        <v>483</v>
      </c>
      <c r="D15" s="21">
        <v>5</v>
      </c>
    </row>
    <row r="16" spans="1:4">
      <c r="A16" t="s">
        <v>484</v>
      </c>
      <c r="C16" t="s">
        <v>485</v>
      </c>
      <c r="D16" s="21">
        <v>6</v>
      </c>
    </row>
    <row r="17" spans="1:4">
      <c r="A17" t="s">
        <v>486</v>
      </c>
      <c r="C17" t="s">
        <v>487</v>
      </c>
      <c r="D17" s="21">
        <v>7</v>
      </c>
    </row>
    <row r="18" spans="1:4">
      <c r="A18" t="s">
        <v>488</v>
      </c>
      <c r="C18" t="s">
        <v>489</v>
      </c>
      <c r="D18" s="21">
        <v>8</v>
      </c>
    </row>
    <row r="19" spans="1:4">
      <c r="A19" t="s">
        <v>490</v>
      </c>
      <c r="C19" t="s">
        <v>491</v>
      </c>
      <c r="D19" s="21">
        <v>9</v>
      </c>
    </row>
    <row r="20" spans="1:4">
      <c r="A20" t="s">
        <v>492</v>
      </c>
      <c r="C20" t="s">
        <v>493</v>
      </c>
      <c r="D20" s="21">
        <v>10</v>
      </c>
    </row>
    <row r="21" spans="1:4">
      <c r="A21" t="s">
        <v>494</v>
      </c>
      <c r="C21" t="s">
        <v>495</v>
      </c>
      <c r="D21" s="21">
        <v>11</v>
      </c>
    </row>
    <row r="22" spans="1:4">
      <c r="A22" t="s">
        <v>496</v>
      </c>
      <c r="C22" t="s">
        <v>497</v>
      </c>
      <c r="D22" s="21">
        <v>12</v>
      </c>
    </row>
    <row r="23" spans="1:4">
      <c r="A23" t="s">
        <v>498</v>
      </c>
      <c r="C23" t="s">
        <v>499</v>
      </c>
      <c r="D23" s="21">
        <v>13</v>
      </c>
    </row>
    <row r="24" spans="1:4">
      <c r="A24" t="s">
        <v>500</v>
      </c>
      <c r="C24" t="s">
        <v>501</v>
      </c>
      <c r="D24" s="21">
        <v>14</v>
      </c>
    </row>
    <row r="25" spans="1:4">
      <c r="A25" t="s">
        <v>502</v>
      </c>
      <c r="C25" t="s">
        <v>503</v>
      </c>
      <c r="D25" s="21">
        <v>17</v>
      </c>
    </row>
    <row r="26" spans="1:4">
      <c r="A26" t="s">
        <v>504</v>
      </c>
      <c r="C26" t="s">
        <v>505</v>
      </c>
      <c r="D26" s="21">
        <v>18</v>
      </c>
    </row>
    <row r="27" spans="1:4">
      <c r="A27" t="s">
        <v>506</v>
      </c>
      <c r="C27" t="s">
        <v>507</v>
      </c>
      <c r="D27" s="21">
        <v>19</v>
      </c>
    </row>
    <row r="28" spans="1:4">
      <c r="A28" t="s">
        <v>508</v>
      </c>
      <c r="C28" t="s">
        <v>509</v>
      </c>
      <c r="D28" s="21">
        <v>20</v>
      </c>
    </row>
    <row r="29" spans="1:4">
      <c r="A29" t="s">
        <v>510</v>
      </c>
      <c r="C29" t="s">
        <v>511</v>
      </c>
      <c r="D29" s="21">
        <v>21</v>
      </c>
    </row>
    <row r="30" spans="1:4">
      <c r="A30" t="s">
        <v>512</v>
      </c>
      <c r="C30" t="s">
        <v>513</v>
      </c>
      <c r="D30" s="21">
        <v>22</v>
      </c>
    </row>
    <row r="31" spans="1:4">
      <c r="A31" t="s">
        <v>514</v>
      </c>
      <c r="C31" t="s">
        <v>515</v>
      </c>
      <c r="D31" s="21">
        <v>25</v>
      </c>
    </row>
    <row r="32" spans="1:4">
      <c r="A32" t="s">
        <v>516</v>
      </c>
      <c r="C32" t="s">
        <v>517</v>
      </c>
      <c r="D32" s="21">
        <v>26</v>
      </c>
    </row>
  </sheetData>
  <sortState xmlns:xlrd2="http://schemas.microsoft.com/office/spreadsheetml/2017/richdata2" ref="I10:I29">
    <sortCondition ref="I10:I29"/>
  </sortState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FE15-9E3B-40CA-AEDD-840188FAD7E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"Cantwell",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90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313A354F-801B-423D-8B16-57B07BDEAE7A}">
      <formula1>2000</formula1>
      <formula2>5999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444E-2E3E-42F4-8DBB-AAECC64FB2A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"Healy",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91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90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E80C8560-8F2C-433A-86A1-03A7883C5E86}">
      <formula1>2000</formula1>
      <formula2>5999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211B-D57F-428C-AD9E-52E606ECD704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"Nenana",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92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90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7CBE9650-9951-48C5-9420-E7CBB26B9D53}">
      <formula1>2000</formula1>
      <formula2>5999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E55E-4944-40C5-82E4-96635586ECD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"Birch Lake",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93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86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92857D98-7036-420F-8EF7-3D6613667D27}">
      <formula1>2000</formula1>
      <formula2>5999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FE1F-AFE4-492F-AC47-68CAC5455E7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"Central",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86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61315A8C-5FD2-45B2-BBA3-7CECF6296887}">
      <formula1>2000</formula1>
      <formula2>5999</formula2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45ED-0BE3-4701-8240-AF6A614EAF27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"Fairbanks",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86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996BD46C-1B26-4E20-84AC-2EDF1E1EC701}">
      <formula1>2000</formula1>
      <formula2>5999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FCF8-1AF7-481C-AB2D-5330DC4A24A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"Montana Creek",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86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E8C3551A-87C2-4D03-A6EC-D34910C8E1F5}">
      <formula1>2000</formula1>
      <formula2>5999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D1D0-822A-4D6D-A4BC-FD0C973796D2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"Galena",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61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D4F5235D-844A-4C44-A426-3C877EDDE90F}">
      <formula1>2000</formula1>
      <formula2>5999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2A21-2F8C-4E7C-99DC-9D96A6F3DA92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"Ernestine",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75324B3-24AA-4E5A-8C00-6A99C189AC50}">
      <formula1>2000</formula1>
      <formula2>5999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FBEE-B756-42CE-8A2C-FFBE463C4F0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"Nelchina",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E728F85-5B3A-492D-B562-63A05CB707F5}">
      <formula1>2000</formula1>
      <formula2>5999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405F-648F-44D8-B071-7A593FE01702}">
  <sheetPr codeName="Sheet8"/>
  <dimension ref="B2:M11"/>
  <sheetViews>
    <sheetView workbookViewId="0">
      <selection activeCell="O26" sqref="O26"/>
    </sheetView>
  </sheetViews>
  <sheetFormatPr defaultRowHeight="12.75"/>
  <cols>
    <col min="1" max="1" width="4.6640625" customWidth="1"/>
    <col min="13" max="13" width="21.9296875" customWidth="1"/>
  </cols>
  <sheetData>
    <row r="2" spans="2:13">
      <c r="B2" s="14">
        <v>1</v>
      </c>
      <c r="C2" s="4"/>
      <c r="D2" s="4">
        <v>100</v>
      </c>
      <c r="E2" s="4"/>
      <c r="F2" s="4">
        <v>2000</v>
      </c>
      <c r="G2" s="4"/>
      <c r="H2" s="4"/>
      <c r="I2" s="4">
        <v>200</v>
      </c>
      <c r="J2" s="4">
        <v>0.5</v>
      </c>
      <c r="K2" s="15" t="s">
        <v>453</v>
      </c>
      <c r="M2" s="23" t="s">
        <v>518</v>
      </c>
    </row>
    <row r="3" spans="2:13">
      <c r="B3" s="16">
        <v>2</v>
      </c>
      <c r="D3">
        <v>100</v>
      </c>
      <c r="F3">
        <v>3000</v>
      </c>
      <c r="I3">
        <v>300</v>
      </c>
      <c r="J3">
        <v>0.5</v>
      </c>
      <c r="K3" s="17" t="s">
        <v>454</v>
      </c>
      <c r="M3" s="24" t="s">
        <v>519</v>
      </c>
    </row>
    <row r="4" spans="2:13">
      <c r="B4" s="16">
        <v>3</v>
      </c>
      <c r="D4">
        <v>100</v>
      </c>
      <c r="F4">
        <v>4000</v>
      </c>
      <c r="I4">
        <v>400</v>
      </c>
      <c r="J4">
        <v>0.5</v>
      </c>
      <c r="K4" s="17" t="s">
        <v>455</v>
      </c>
      <c r="M4" s="25" t="s">
        <v>520</v>
      </c>
    </row>
    <row r="5" spans="2:13">
      <c r="B5" s="16">
        <v>4</v>
      </c>
      <c r="D5">
        <v>100</v>
      </c>
      <c r="E5">
        <v>0.25</v>
      </c>
      <c r="F5">
        <v>5000</v>
      </c>
      <c r="I5">
        <v>500</v>
      </c>
      <c r="J5">
        <v>0.5</v>
      </c>
      <c r="K5" s="17" t="s">
        <v>456</v>
      </c>
      <c r="M5" s="24" t="s">
        <v>521</v>
      </c>
    </row>
    <row r="6" spans="2:13">
      <c r="B6" s="16">
        <v>5</v>
      </c>
      <c r="D6">
        <v>100</v>
      </c>
      <c r="K6" s="17"/>
      <c r="M6" s="25" t="s">
        <v>522</v>
      </c>
    </row>
    <row r="7" spans="2:13">
      <c r="B7" s="18">
        <v>6</v>
      </c>
      <c r="C7" s="19"/>
      <c r="D7" s="19">
        <v>100</v>
      </c>
      <c r="E7" s="19"/>
      <c r="F7" s="19"/>
      <c r="G7" s="19"/>
      <c r="H7" s="19"/>
      <c r="I7" s="19"/>
      <c r="J7" s="19"/>
      <c r="K7" s="20"/>
      <c r="M7" s="24" t="s">
        <v>523</v>
      </c>
    </row>
    <row r="8" spans="2:13">
      <c r="M8" s="25" t="s">
        <v>524</v>
      </c>
    </row>
    <row r="9" spans="2:13">
      <c r="M9" s="24" t="s">
        <v>525</v>
      </c>
    </row>
    <row r="10" spans="2:13">
      <c r="M10" s="25" t="s">
        <v>526</v>
      </c>
    </row>
    <row r="11" spans="2:13">
      <c r="M11" s="26">
        <v>1000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AEFE-F307-4BAB-83B7-CD33747EC016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"Paxson",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18F0CD42-3F6B-4F02-BA80-B8E344576E6F}">
      <formula1>2000</formula1>
      <formula2>5999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BA9-D975-4D63-A075-8C841EB118A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"Slana",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0B2E2279-5D63-4A28-ABB9-ACF2921CADB7}">
      <formula1>2000</formula1>
      <formula2>5999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A738-4FBC-4393-83D1-D676FA949AC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"Tazlina",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80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9B2C56F2-088D-477A-8933-4340C907DA3E}">
      <formula1>2000</formula1>
      <formula2>5999</formula2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68B2-258A-42C8-8B85-2BA3BDC8629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"Delta Junction",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467DE3A-5A47-47BD-B708-1448A7CE0FF0}">
      <formula1>2000</formula1>
      <formula2>5999</formula2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8D03-8541-4E52-889A-C4D6E46380E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"Eagle",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6315D437-9CE9-4CD3-9A3E-66E4940AC7BF}">
      <formula1>2000</formula1>
      <formula2>5999</formula2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035-9370-4A96-AC27-1A9385FD6F0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"Northway",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A5E70EE-15BA-4882-8F1E-EF9B392DDCC3}">
      <formula1>2000</formula1>
      <formula2>5999</formula2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7499-6B31-4C3B-82F2-3BBE126E0862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"South Fork",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146EDE6-29C3-46D8-9E1C-C664DE45566C}">
      <formula1>2000</formula1>
      <formula2>5999</formula2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D011-166A-4325-80BE-F0F8C9B42166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"Tok",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CEE8853-FE46-4F80-BD63-47912BF5BB56}">
      <formula1>2000</formula1>
      <formula2>5999</formula2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5B3D-C6E1-40CE-878E-95595E8DAAE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"Trims",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63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76787B4-487D-4C50-A91F-A0F762536CBE}">
      <formula1>2000</formula1>
      <formula2>5999</formula2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0EF6-44FF-4E0F-AC00-8A307FB587C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"Cordova",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47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D65ADF6E-F86B-465C-B202-CAFD05FCA271}">
      <formula1>2000</formula1>
      <formula2>5999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79F0-1261-48E7-A167-96054C87DE96}">
  <sheetPr codeName="Sheet1"/>
  <dimension ref="A1:E236"/>
  <sheetViews>
    <sheetView workbookViewId="0">
      <selection activeCell="G3" sqref="G3"/>
    </sheetView>
  </sheetViews>
  <sheetFormatPr defaultRowHeight="12.75"/>
  <cols>
    <col min="1" max="1" width="28.73046875" customWidth="1"/>
    <col min="2" max="2" width="22.3984375" customWidth="1"/>
    <col min="3" max="3" width="43.73046875" customWidth="1"/>
    <col min="4" max="4" width="13.46484375" customWidth="1"/>
    <col min="5" max="5" width="17.59765625" customWidth="1"/>
  </cols>
  <sheetData>
    <row r="1" spans="1:5">
      <c r="A1" t="s">
        <v>333</v>
      </c>
      <c r="B1" t="s">
        <v>332</v>
      </c>
      <c r="C1" t="s">
        <v>331</v>
      </c>
      <c r="D1" t="s">
        <v>330</v>
      </c>
      <c r="E1" t="s">
        <v>433</v>
      </c>
    </row>
    <row r="2" spans="1:5">
      <c r="A2" t="s">
        <v>200</v>
      </c>
      <c r="C2" t="s">
        <v>44</v>
      </c>
      <c r="D2" t="s">
        <v>85</v>
      </c>
    </row>
    <row r="3" spans="1:5">
      <c r="A3" t="s">
        <v>197</v>
      </c>
      <c r="C3" t="s">
        <v>44</v>
      </c>
      <c r="D3" t="s">
        <v>85</v>
      </c>
    </row>
    <row r="4" spans="1:5">
      <c r="A4" t="s">
        <v>199</v>
      </c>
      <c r="C4" t="s">
        <v>44</v>
      </c>
      <c r="D4" t="s">
        <v>85</v>
      </c>
    </row>
    <row r="5" spans="1:5">
      <c r="A5" t="s">
        <v>198</v>
      </c>
      <c r="C5" t="s">
        <v>44</v>
      </c>
      <c r="D5" t="s">
        <v>85</v>
      </c>
    </row>
    <row r="6" spans="1:5">
      <c r="A6" t="s">
        <v>261</v>
      </c>
      <c r="C6" t="s">
        <v>23</v>
      </c>
      <c r="D6" t="s">
        <v>85</v>
      </c>
    </row>
    <row r="7" spans="1:5">
      <c r="A7" t="s">
        <v>266</v>
      </c>
      <c r="C7" t="s">
        <v>23</v>
      </c>
      <c r="D7" t="s">
        <v>85</v>
      </c>
    </row>
    <row r="8" spans="1:5">
      <c r="A8" t="s">
        <v>262</v>
      </c>
      <c r="C8" t="s">
        <v>23</v>
      </c>
      <c r="D8" t="s">
        <v>85</v>
      </c>
    </row>
    <row r="9" spans="1:5">
      <c r="A9" t="s">
        <v>259</v>
      </c>
      <c r="C9" t="s">
        <v>23</v>
      </c>
      <c r="D9" t="s">
        <v>85</v>
      </c>
    </row>
    <row r="10" spans="1:5">
      <c r="A10" t="s">
        <v>263</v>
      </c>
      <c r="C10" t="s">
        <v>23</v>
      </c>
      <c r="D10" t="s">
        <v>85</v>
      </c>
    </row>
    <row r="11" spans="1:5">
      <c r="A11" t="s">
        <v>265</v>
      </c>
      <c r="C11" t="s">
        <v>23</v>
      </c>
      <c r="D11" t="s">
        <v>85</v>
      </c>
    </row>
    <row r="12" spans="1:5">
      <c r="A12" t="s">
        <v>264</v>
      </c>
      <c r="C12" t="s">
        <v>23</v>
      </c>
      <c r="D12" t="s">
        <v>85</v>
      </c>
    </row>
    <row r="13" spans="1:5">
      <c r="A13" t="s">
        <v>256</v>
      </c>
      <c r="C13" t="s">
        <v>23</v>
      </c>
      <c r="D13" t="s">
        <v>85</v>
      </c>
    </row>
    <row r="14" spans="1:5">
      <c r="A14" t="s">
        <v>260</v>
      </c>
      <c r="C14" t="s">
        <v>23</v>
      </c>
      <c r="D14" t="s">
        <v>85</v>
      </c>
    </row>
    <row r="15" spans="1:5">
      <c r="A15" t="s">
        <v>267</v>
      </c>
      <c r="C15" t="s">
        <v>23</v>
      </c>
      <c r="D15" t="s">
        <v>85</v>
      </c>
    </row>
    <row r="16" spans="1:5">
      <c r="A16" t="s">
        <v>258</v>
      </c>
      <c r="C16" t="s">
        <v>23</v>
      </c>
      <c r="D16" t="s">
        <v>85</v>
      </c>
    </row>
    <row r="17" spans="1:4">
      <c r="A17" t="s">
        <v>257</v>
      </c>
      <c r="C17" t="s">
        <v>23</v>
      </c>
      <c r="D17" t="s">
        <v>85</v>
      </c>
    </row>
    <row r="18" spans="1:4">
      <c r="A18" t="s">
        <v>203</v>
      </c>
      <c r="C18" t="s">
        <v>37</v>
      </c>
      <c r="D18" t="s">
        <v>85</v>
      </c>
    </row>
    <row r="19" spans="1:4">
      <c r="A19" t="s">
        <v>206</v>
      </c>
      <c r="C19" t="s">
        <v>37</v>
      </c>
      <c r="D19" t="s">
        <v>85</v>
      </c>
    </row>
    <row r="20" spans="1:4">
      <c r="A20" t="s">
        <v>212</v>
      </c>
      <c r="C20" t="s">
        <v>37</v>
      </c>
      <c r="D20" t="s">
        <v>85</v>
      </c>
    </row>
    <row r="21" spans="1:4">
      <c r="A21" t="s">
        <v>202</v>
      </c>
      <c r="C21" t="s">
        <v>37</v>
      </c>
      <c r="D21" t="s">
        <v>85</v>
      </c>
    </row>
    <row r="22" spans="1:4">
      <c r="A22" t="s">
        <v>204</v>
      </c>
      <c r="C22" t="s">
        <v>37</v>
      </c>
      <c r="D22" t="s">
        <v>85</v>
      </c>
    </row>
    <row r="23" spans="1:4">
      <c r="A23" t="s">
        <v>207</v>
      </c>
      <c r="C23" t="s">
        <v>37</v>
      </c>
      <c r="D23" t="s">
        <v>85</v>
      </c>
    </row>
    <row r="24" spans="1:4">
      <c r="A24" t="s">
        <v>201</v>
      </c>
      <c r="C24" t="s">
        <v>37</v>
      </c>
      <c r="D24" t="s">
        <v>85</v>
      </c>
    </row>
    <row r="25" spans="1:4">
      <c r="A25" t="s">
        <v>211</v>
      </c>
      <c r="C25" t="s">
        <v>37</v>
      </c>
      <c r="D25" t="s">
        <v>85</v>
      </c>
    </row>
    <row r="26" spans="1:4">
      <c r="A26" t="s">
        <v>210</v>
      </c>
      <c r="C26" t="s">
        <v>37</v>
      </c>
      <c r="D26" t="s">
        <v>85</v>
      </c>
    </row>
    <row r="27" spans="1:4">
      <c r="A27" t="s">
        <v>209</v>
      </c>
      <c r="C27" t="s">
        <v>37</v>
      </c>
      <c r="D27" t="s">
        <v>85</v>
      </c>
    </row>
    <row r="28" spans="1:4">
      <c r="A28" t="s">
        <v>205</v>
      </c>
      <c r="C28" t="s">
        <v>37</v>
      </c>
      <c r="D28" t="s">
        <v>85</v>
      </c>
    </row>
    <row r="29" spans="1:4">
      <c r="A29" t="s">
        <v>208</v>
      </c>
      <c r="C29" t="s">
        <v>37</v>
      </c>
      <c r="D29" t="s">
        <v>85</v>
      </c>
    </row>
    <row r="30" spans="1:4">
      <c r="A30" t="s">
        <v>237</v>
      </c>
      <c r="C30" t="s">
        <v>33</v>
      </c>
      <c r="D30" t="s">
        <v>85</v>
      </c>
    </row>
    <row r="31" spans="1:4">
      <c r="A31" t="s">
        <v>217</v>
      </c>
      <c r="C31" t="s">
        <v>33</v>
      </c>
      <c r="D31" t="s">
        <v>85</v>
      </c>
    </row>
    <row r="32" spans="1:4">
      <c r="A32" t="s">
        <v>215</v>
      </c>
      <c r="C32" t="s">
        <v>33</v>
      </c>
      <c r="D32" t="s">
        <v>85</v>
      </c>
    </row>
    <row r="33" spans="1:4">
      <c r="A33" t="s">
        <v>250</v>
      </c>
      <c r="C33" t="s">
        <v>33</v>
      </c>
      <c r="D33" t="s">
        <v>85</v>
      </c>
    </row>
    <row r="34" spans="1:4">
      <c r="A34" t="s">
        <v>225</v>
      </c>
      <c r="C34" t="s">
        <v>33</v>
      </c>
      <c r="D34" t="s">
        <v>85</v>
      </c>
    </row>
    <row r="35" spans="1:4">
      <c r="A35" t="s">
        <v>251</v>
      </c>
      <c r="C35" t="s">
        <v>33</v>
      </c>
      <c r="D35" t="s">
        <v>85</v>
      </c>
    </row>
    <row r="36" spans="1:4">
      <c r="A36" t="s">
        <v>244</v>
      </c>
      <c r="C36" t="s">
        <v>33</v>
      </c>
      <c r="D36" t="s">
        <v>85</v>
      </c>
    </row>
    <row r="37" spans="1:4">
      <c r="A37" t="s">
        <v>253</v>
      </c>
      <c r="C37" t="s">
        <v>33</v>
      </c>
      <c r="D37" t="s">
        <v>85</v>
      </c>
    </row>
    <row r="38" spans="1:4">
      <c r="A38" t="s">
        <v>245</v>
      </c>
      <c r="C38" t="s">
        <v>33</v>
      </c>
      <c r="D38" t="s">
        <v>85</v>
      </c>
    </row>
    <row r="39" spans="1:4">
      <c r="A39" t="s">
        <v>229</v>
      </c>
      <c r="C39" t="s">
        <v>33</v>
      </c>
      <c r="D39" t="s">
        <v>85</v>
      </c>
    </row>
    <row r="40" spans="1:4">
      <c r="A40" t="s">
        <v>218</v>
      </c>
      <c r="C40" t="s">
        <v>33</v>
      </c>
      <c r="D40" t="s">
        <v>85</v>
      </c>
    </row>
    <row r="41" spans="1:4">
      <c r="A41" t="s">
        <v>243</v>
      </c>
      <c r="C41" t="s">
        <v>33</v>
      </c>
      <c r="D41" t="s">
        <v>85</v>
      </c>
    </row>
    <row r="42" spans="1:4">
      <c r="A42" t="s">
        <v>235</v>
      </c>
      <c r="C42" t="s">
        <v>33</v>
      </c>
      <c r="D42" t="s">
        <v>85</v>
      </c>
    </row>
    <row r="43" spans="1:4">
      <c r="A43" t="s">
        <v>239</v>
      </c>
      <c r="C43" t="s">
        <v>33</v>
      </c>
      <c r="D43" t="s">
        <v>85</v>
      </c>
    </row>
    <row r="44" spans="1:4">
      <c r="A44" t="s">
        <v>249</v>
      </c>
      <c r="C44" t="s">
        <v>33</v>
      </c>
      <c r="D44" t="s">
        <v>85</v>
      </c>
    </row>
    <row r="45" spans="1:4">
      <c r="A45" t="s">
        <v>214</v>
      </c>
      <c r="C45" t="s">
        <v>33</v>
      </c>
      <c r="D45" t="s">
        <v>85</v>
      </c>
    </row>
    <row r="46" spans="1:4">
      <c r="A46" t="s">
        <v>238</v>
      </c>
      <c r="C46" t="s">
        <v>33</v>
      </c>
      <c r="D46" t="s">
        <v>85</v>
      </c>
    </row>
    <row r="47" spans="1:4">
      <c r="A47" t="s">
        <v>241</v>
      </c>
      <c r="C47" t="s">
        <v>33</v>
      </c>
      <c r="D47" t="s">
        <v>85</v>
      </c>
    </row>
    <row r="48" spans="1:4">
      <c r="A48" t="s">
        <v>231</v>
      </c>
      <c r="C48" t="s">
        <v>33</v>
      </c>
      <c r="D48" t="s">
        <v>85</v>
      </c>
    </row>
    <row r="49" spans="1:4">
      <c r="A49" t="s">
        <v>247</v>
      </c>
      <c r="C49" t="s">
        <v>33</v>
      </c>
      <c r="D49" t="s">
        <v>85</v>
      </c>
    </row>
    <row r="50" spans="1:4">
      <c r="A50" t="s">
        <v>223</v>
      </c>
      <c r="C50" t="s">
        <v>33</v>
      </c>
      <c r="D50" t="s">
        <v>85</v>
      </c>
    </row>
    <row r="51" spans="1:4">
      <c r="A51" t="s">
        <v>254</v>
      </c>
      <c r="C51" t="s">
        <v>33</v>
      </c>
      <c r="D51" t="s">
        <v>85</v>
      </c>
    </row>
    <row r="52" spans="1:4">
      <c r="A52" t="s">
        <v>222</v>
      </c>
      <c r="C52" t="s">
        <v>33</v>
      </c>
      <c r="D52" t="s">
        <v>85</v>
      </c>
    </row>
    <row r="53" spans="1:4">
      <c r="A53" t="s">
        <v>236</v>
      </c>
      <c r="C53" t="s">
        <v>33</v>
      </c>
      <c r="D53" t="s">
        <v>85</v>
      </c>
    </row>
    <row r="54" spans="1:4">
      <c r="A54" t="s">
        <v>227</v>
      </c>
      <c r="C54" t="s">
        <v>33</v>
      </c>
      <c r="D54" t="s">
        <v>85</v>
      </c>
    </row>
    <row r="55" spans="1:4">
      <c r="A55" t="s">
        <v>224</v>
      </c>
      <c r="C55" t="s">
        <v>33</v>
      </c>
      <c r="D55" t="s">
        <v>85</v>
      </c>
    </row>
    <row r="56" spans="1:4">
      <c r="A56" t="s">
        <v>232</v>
      </c>
      <c r="C56" t="s">
        <v>33</v>
      </c>
      <c r="D56" t="s">
        <v>85</v>
      </c>
    </row>
    <row r="57" spans="1:4">
      <c r="A57" t="s">
        <v>234</v>
      </c>
      <c r="C57" t="s">
        <v>33</v>
      </c>
      <c r="D57" t="s">
        <v>85</v>
      </c>
    </row>
    <row r="58" spans="1:4">
      <c r="A58" t="s">
        <v>216</v>
      </c>
      <c r="C58" t="s">
        <v>33</v>
      </c>
      <c r="D58" t="s">
        <v>85</v>
      </c>
    </row>
    <row r="59" spans="1:4">
      <c r="A59" t="s">
        <v>233</v>
      </c>
      <c r="C59" t="s">
        <v>33</v>
      </c>
      <c r="D59" t="s">
        <v>85</v>
      </c>
    </row>
    <row r="60" spans="1:4">
      <c r="A60" t="s">
        <v>255</v>
      </c>
      <c r="C60" t="s">
        <v>33</v>
      </c>
      <c r="D60" t="s">
        <v>85</v>
      </c>
    </row>
    <row r="61" spans="1:4">
      <c r="A61" t="s">
        <v>230</v>
      </c>
      <c r="C61" t="s">
        <v>33</v>
      </c>
      <c r="D61" t="s">
        <v>85</v>
      </c>
    </row>
    <row r="62" spans="1:4">
      <c r="A62" t="s">
        <v>220</v>
      </c>
      <c r="C62" t="s">
        <v>33</v>
      </c>
      <c r="D62" t="s">
        <v>85</v>
      </c>
    </row>
    <row r="63" spans="1:4">
      <c r="A63" t="s">
        <v>242</v>
      </c>
      <c r="C63" t="s">
        <v>33</v>
      </c>
      <c r="D63" t="s">
        <v>85</v>
      </c>
    </row>
    <row r="64" spans="1:4">
      <c r="A64" t="s">
        <v>228</v>
      </c>
      <c r="C64" t="s">
        <v>33</v>
      </c>
      <c r="D64" t="s">
        <v>85</v>
      </c>
    </row>
    <row r="65" spans="1:4">
      <c r="A65" t="s">
        <v>226</v>
      </c>
      <c r="C65" t="s">
        <v>33</v>
      </c>
      <c r="D65" t="s">
        <v>85</v>
      </c>
    </row>
    <row r="66" spans="1:4">
      <c r="A66" t="s">
        <v>213</v>
      </c>
      <c r="C66" t="s">
        <v>33</v>
      </c>
      <c r="D66" t="s">
        <v>85</v>
      </c>
    </row>
    <row r="67" spans="1:4">
      <c r="A67" t="s">
        <v>221</v>
      </c>
      <c r="C67" t="s">
        <v>33</v>
      </c>
      <c r="D67" t="s">
        <v>85</v>
      </c>
    </row>
    <row r="68" spans="1:4">
      <c r="A68" t="s">
        <v>246</v>
      </c>
      <c r="C68" t="s">
        <v>33</v>
      </c>
      <c r="D68" t="s">
        <v>85</v>
      </c>
    </row>
    <row r="69" spans="1:4">
      <c r="A69" t="s">
        <v>252</v>
      </c>
      <c r="C69" t="s">
        <v>33</v>
      </c>
      <c r="D69" t="s">
        <v>85</v>
      </c>
    </row>
    <row r="70" spans="1:4">
      <c r="A70" t="s">
        <v>240</v>
      </c>
      <c r="C70" t="s">
        <v>33</v>
      </c>
      <c r="D70" t="s">
        <v>85</v>
      </c>
    </row>
    <row r="71" spans="1:4">
      <c r="A71" t="s">
        <v>219</v>
      </c>
      <c r="C71" t="s">
        <v>33</v>
      </c>
      <c r="D71" t="s">
        <v>85</v>
      </c>
    </row>
    <row r="72" spans="1:4">
      <c r="A72" t="s">
        <v>248</v>
      </c>
      <c r="C72" t="s">
        <v>33</v>
      </c>
      <c r="D72" t="s">
        <v>85</v>
      </c>
    </row>
    <row r="73" spans="1:4">
      <c r="A73" t="s">
        <v>127</v>
      </c>
      <c r="C73" t="s">
        <v>70</v>
      </c>
      <c r="D73" t="s">
        <v>334</v>
      </c>
    </row>
    <row r="74" spans="1:4">
      <c r="A74" t="s">
        <v>126</v>
      </c>
      <c r="C74" t="s">
        <v>70</v>
      </c>
      <c r="D74" t="s">
        <v>334</v>
      </c>
    </row>
    <row r="75" spans="1:4">
      <c r="A75" t="s">
        <v>119</v>
      </c>
      <c r="C75" t="s">
        <v>70</v>
      </c>
      <c r="D75" t="s">
        <v>334</v>
      </c>
    </row>
    <row r="76" spans="1:4">
      <c r="A76" t="s">
        <v>120</v>
      </c>
      <c r="C76" t="s">
        <v>70</v>
      </c>
      <c r="D76" t="s">
        <v>334</v>
      </c>
    </row>
    <row r="77" spans="1:4">
      <c r="A77" t="s">
        <v>121</v>
      </c>
      <c r="C77" t="s">
        <v>70</v>
      </c>
      <c r="D77" t="s">
        <v>334</v>
      </c>
    </row>
    <row r="78" spans="1:4">
      <c r="A78" t="s">
        <v>123</v>
      </c>
      <c r="C78" t="s">
        <v>70</v>
      </c>
      <c r="D78" t="s">
        <v>334</v>
      </c>
    </row>
    <row r="79" spans="1:4">
      <c r="A79" t="s">
        <v>122</v>
      </c>
      <c r="C79" t="s">
        <v>70</v>
      </c>
      <c r="D79" t="s">
        <v>334</v>
      </c>
    </row>
    <row r="80" spans="1:4">
      <c r="A80" t="s">
        <v>117</v>
      </c>
      <c r="C80" t="s">
        <v>70</v>
      </c>
      <c r="D80" t="s">
        <v>334</v>
      </c>
    </row>
    <row r="81" spans="1:4">
      <c r="A81" t="s">
        <v>124</v>
      </c>
      <c r="C81" t="s">
        <v>70</v>
      </c>
      <c r="D81" t="s">
        <v>334</v>
      </c>
    </row>
    <row r="82" spans="1:4">
      <c r="A82" t="s">
        <v>125</v>
      </c>
      <c r="C82" t="s">
        <v>70</v>
      </c>
      <c r="D82" t="s">
        <v>334</v>
      </c>
    </row>
    <row r="83" spans="1:4">
      <c r="A83" t="s">
        <v>118</v>
      </c>
      <c r="C83" t="s">
        <v>70</v>
      </c>
      <c r="D83" t="s">
        <v>334</v>
      </c>
    </row>
    <row r="84" spans="1:4">
      <c r="A84" t="s">
        <v>97</v>
      </c>
      <c r="C84" t="s">
        <v>90</v>
      </c>
      <c r="D84" t="s">
        <v>334</v>
      </c>
    </row>
    <row r="85" spans="1:4">
      <c r="A85" t="s">
        <v>94</v>
      </c>
      <c r="C85" t="s">
        <v>90</v>
      </c>
      <c r="D85" t="s">
        <v>334</v>
      </c>
    </row>
    <row r="86" spans="1:4">
      <c r="A86" t="s">
        <v>95</v>
      </c>
      <c r="C86" t="s">
        <v>90</v>
      </c>
      <c r="D86" t="s">
        <v>334</v>
      </c>
    </row>
    <row r="87" spans="1:4">
      <c r="A87" t="s">
        <v>98</v>
      </c>
      <c r="C87" t="s">
        <v>90</v>
      </c>
      <c r="D87" t="s">
        <v>334</v>
      </c>
    </row>
    <row r="88" spans="1:4">
      <c r="A88" t="s">
        <v>96</v>
      </c>
      <c r="C88" t="s">
        <v>90</v>
      </c>
      <c r="D88" t="s">
        <v>334</v>
      </c>
    </row>
    <row r="89" spans="1:4">
      <c r="A89" t="s">
        <v>100</v>
      </c>
      <c r="C89" t="s">
        <v>86</v>
      </c>
      <c r="D89" t="s">
        <v>334</v>
      </c>
    </row>
    <row r="90" spans="1:4">
      <c r="A90" t="s">
        <v>101</v>
      </c>
      <c r="C90" t="s">
        <v>86</v>
      </c>
      <c r="D90" t="s">
        <v>334</v>
      </c>
    </row>
    <row r="91" spans="1:4">
      <c r="A91" t="s">
        <v>99</v>
      </c>
      <c r="C91" t="s">
        <v>86</v>
      </c>
      <c r="D91" t="s">
        <v>334</v>
      </c>
    </row>
    <row r="92" spans="1:4">
      <c r="A92" t="s">
        <v>143</v>
      </c>
      <c r="C92" t="s">
        <v>61</v>
      </c>
      <c r="D92" t="s">
        <v>334</v>
      </c>
    </row>
    <row r="93" spans="1:4">
      <c r="A93" t="s">
        <v>141</v>
      </c>
      <c r="C93" t="s">
        <v>61</v>
      </c>
      <c r="D93" t="s">
        <v>334</v>
      </c>
    </row>
    <row r="94" spans="1:4">
      <c r="A94" t="s">
        <v>146</v>
      </c>
      <c r="C94" t="s">
        <v>61</v>
      </c>
      <c r="D94" t="s">
        <v>334</v>
      </c>
    </row>
    <row r="95" spans="1:4">
      <c r="A95" t="s">
        <v>145</v>
      </c>
      <c r="C95" t="s">
        <v>61</v>
      </c>
      <c r="D95" t="s">
        <v>334</v>
      </c>
    </row>
    <row r="96" spans="1:4">
      <c r="A96" t="s">
        <v>142</v>
      </c>
      <c r="C96" t="s">
        <v>61</v>
      </c>
      <c r="D96" t="s">
        <v>334</v>
      </c>
    </row>
    <row r="97" spans="1:4">
      <c r="A97" t="s">
        <v>136</v>
      </c>
      <c r="C97" t="s">
        <v>61</v>
      </c>
      <c r="D97" t="s">
        <v>334</v>
      </c>
    </row>
    <row r="98" spans="1:4">
      <c r="A98" t="s">
        <v>144</v>
      </c>
      <c r="C98" t="s">
        <v>61</v>
      </c>
      <c r="D98" t="s">
        <v>334</v>
      </c>
    </row>
    <row r="99" spans="1:4">
      <c r="A99" t="s">
        <v>134</v>
      </c>
      <c r="C99" t="s">
        <v>61</v>
      </c>
      <c r="D99" t="s">
        <v>334</v>
      </c>
    </row>
    <row r="100" spans="1:4">
      <c r="A100" t="s">
        <v>138</v>
      </c>
      <c r="C100" t="s">
        <v>61</v>
      </c>
      <c r="D100" t="s">
        <v>334</v>
      </c>
    </row>
    <row r="101" spans="1:4">
      <c r="A101" t="s">
        <v>137</v>
      </c>
      <c r="C101" t="s">
        <v>61</v>
      </c>
      <c r="D101" t="s">
        <v>334</v>
      </c>
    </row>
    <row r="102" spans="1:4">
      <c r="A102" t="s">
        <v>139</v>
      </c>
      <c r="C102" t="s">
        <v>61</v>
      </c>
      <c r="D102" t="s">
        <v>334</v>
      </c>
    </row>
    <row r="103" spans="1:4">
      <c r="A103" t="s">
        <v>140</v>
      </c>
      <c r="C103" t="s">
        <v>61</v>
      </c>
      <c r="D103" t="s">
        <v>334</v>
      </c>
    </row>
    <row r="104" spans="1:4">
      <c r="A104" t="s">
        <v>135</v>
      </c>
      <c r="C104" t="s">
        <v>61</v>
      </c>
      <c r="D104" t="s">
        <v>334</v>
      </c>
    </row>
    <row r="105" spans="1:4">
      <c r="A105" t="s">
        <v>115</v>
      </c>
      <c r="C105" t="s">
        <v>111</v>
      </c>
      <c r="D105" t="s">
        <v>334</v>
      </c>
    </row>
    <row r="106" spans="1:4">
      <c r="A106" t="s">
        <v>112</v>
      </c>
      <c r="C106" t="s">
        <v>111</v>
      </c>
      <c r="D106" t="s">
        <v>334</v>
      </c>
    </row>
    <row r="107" spans="1:4">
      <c r="A107" t="s">
        <v>114</v>
      </c>
      <c r="C107" t="s">
        <v>111</v>
      </c>
      <c r="D107" t="s">
        <v>334</v>
      </c>
    </row>
    <row r="108" spans="1:4">
      <c r="A108" t="s">
        <v>116</v>
      </c>
      <c r="C108" t="s">
        <v>111</v>
      </c>
      <c r="D108" t="s">
        <v>334</v>
      </c>
    </row>
    <row r="109" spans="1:4">
      <c r="A109" t="s">
        <v>113</v>
      </c>
      <c r="C109" t="s">
        <v>111</v>
      </c>
      <c r="D109" t="s">
        <v>334</v>
      </c>
    </row>
    <row r="110" spans="1:4">
      <c r="A110" t="s">
        <v>102</v>
      </c>
      <c r="C110" t="s">
        <v>80</v>
      </c>
      <c r="D110" t="s">
        <v>334</v>
      </c>
    </row>
    <row r="111" spans="1:4">
      <c r="A111" t="s">
        <v>105</v>
      </c>
      <c r="C111" t="s">
        <v>80</v>
      </c>
      <c r="D111" t="s">
        <v>334</v>
      </c>
    </row>
    <row r="112" spans="1:4">
      <c r="A112" t="s">
        <v>110</v>
      </c>
      <c r="C112" t="s">
        <v>80</v>
      </c>
      <c r="D112" t="s">
        <v>334</v>
      </c>
    </row>
    <row r="113" spans="1:4">
      <c r="A113" t="s">
        <v>109</v>
      </c>
      <c r="C113" t="s">
        <v>80</v>
      </c>
      <c r="D113" t="s">
        <v>334</v>
      </c>
    </row>
    <row r="114" spans="1:4">
      <c r="A114" t="s">
        <v>104</v>
      </c>
      <c r="C114" t="s">
        <v>80</v>
      </c>
      <c r="D114" t="s">
        <v>334</v>
      </c>
    </row>
    <row r="115" spans="1:4">
      <c r="A115" t="s">
        <v>108</v>
      </c>
      <c r="C115" t="s">
        <v>80</v>
      </c>
      <c r="D115" t="s">
        <v>334</v>
      </c>
    </row>
    <row r="116" spans="1:4">
      <c r="A116" t="s">
        <v>103</v>
      </c>
      <c r="C116" t="s">
        <v>80</v>
      </c>
      <c r="D116" t="s">
        <v>334</v>
      </c>
    </row>
    <row r="117" spans="1:4">
      <c r="A117" t="s">
        <v>107</v>
      </c>
      <c r="C117" t="s">
        <v>80</v>
      </c>
      <c r="D117" t="s">
        <v>334</v>
      </c>
    </row>
    <row r="118" spans="1:4">
      <c r="A118" t="s">
        <v>106</v>
      </c>
      <c r="C118" t="s">
        <v>80</v>
      </c>
      <c r="D118" t="s">
        <v>334</v>
      </c>
    </row>
    <row r="119" spans="1:4">
      <c r="A119" t="s">
        <v>131</v>
      </c>
      <c r="C119" t="s">
        <v>63</v>
      </c>
      <c r="D119" t="s">
        <v>334</v>
      </c>
    </row>
    <row r="120" spans="1:4">
      <c r="A120" t="s">
        <v>130</v>
      </c>
      <c r="C120" t="s">
        <v>63</v>
      </c>
      <c r="D120" t="s">
        <v>334</v>
      </c>
    </row>
    <row r="121" spans="1:4">
      <c r="A121" t="s">
        <v>133</v>
      </c>
      <c r="C121" t="s">
        <v>63</v>
      </c>
      <c r="D121" t="s">
        <v>334</v>
      </c>
    </row>
    <row r="122" spans="1:4">
      <c r="A122" t="s">
        <v>129</v>
      </c>
      <c r="C122" t="s">
        <v>63</v>
      </c>
      <c r="D122" t="s">
        <v>334</v>
      </c>
    </row>
    <row r="123" spans="1:4">
      <c r="A123" t="s">
        <v>128</v>
      </c>
      <c r="C123" t="s">
        <v>63</v>
      </c>
      <c r="D123" t="s">
        <v>334</v>
      </c>
    </row>
    <row r="124" spans="1:4">
      <c r="A124" t="s">
        <v>132</v>
      </c>
      <c r="C124" t="s">
        <v>63</v>
      </c>
      <c r="D124" t="s">
        <v>334</v>
      </c>
    </row>
    <row r="125" spans="1:4">
      <c r="A125" t="s">
        <v>193</v>
      </c>
      <c r="C125" t="s">
        <v>47</v>
      </c>
      <c r="D125" t="s">
        <v>334</v>
      </c>
    </row>
    <row r="126" spans="1:4">
      <c r="A126" t="s">
        <v>196</v>
      </c>
      <c r="C126" t="s">
        <v>47</v>
      </c>
      <c r="D126" t="s">
        <v>334</v>
      </c>
    </row>
    <row r="127" spans="1:4">
      <c r="A127" t="s">
        <v>195</v>
      </c>
      <c r="C127" t="s">
        <v>47</v>
      </c>
      <c r="D127" t="s">
        <v>334</v>
      </c>
    </row>
    <row r="128" spans="1:4">
      <c r="A128" t="s">
        <v>194</v>
      </c>
      <c r="C128" t="s">
        <v>47</v>
      </c>
      <c r="D128" t="s">
        <v>334</v>
      </c>
    </row>
    <row r="129" spans="1:4">
      <c r="A129" t="s">
        <v>182</v>
      </c>
      <c r="C129" t="s">
        <v>52</v>
      </c>
      <c r="D129" t="s">
        <v>334</v>
      </c>
    </row>
    <row r="130" spans="1:4">
      <c r="A130" t="s">
        <v>160</v>
      </c>
      <c r="C130" t="s">
        <v>52</v>
      </c>
      <c r="D130" t="s">
        <v>334</v>
      </c>
    </row>
    <row r="131" spans="1:4">
      <c r="A131" t="s">
        <v>173</v>
      </c>
      <c r="C131" t="s">
        <v>52</v>
      </c>
      <c r="D131" t="s">
        <v>334</v>
      </c>
    </row>
    <row r="132" spans="1:4">
      <c r="A132" t="s">
        <v>178</v>
      </c>
      <c r="C132" t="s">
        <v>52</v>
      </c>
      <c r="D132" t="s">
        <v>334</v>
      </c>
    </row>
    <row r="133" spans="1:4">
      <c r="A133" t="s">
        <v>161</v>
      </c>
      <c r="C133" t="s">
        <v>52</v>
      </c>
      <c r="D133" t="s">
        <v>334</v>
      </c>
    </row>
    <row r="134" spans="1:4">
      <c r="A134" t="s">
        <v>165</v>
      </c>
      <c r="C134" t="s">
        <v>52</v>
      </c>
      <c r="D134" t="s">
        <v>334</v>
      </c>
    </row>
    <row r="135" spans="1:4">
      <c r="A135" t="s">
        <v>153</v>
      </c>
      <c r="C135" t="s">
        <v>52</v>
      </c>
      <c r="D135" t="s">
        <v>334</v>
      </c>
    </row>
    <row r="136" spans="1:4">
      <c r="A136" t="s">
        <v>179</v>
      </c>
      <c r="C136" t="s">
        <v>52</v>
      </c>
      <c r="D136" t="s">
        <v>334</v>
      </c>
    </row>
    <row r="137" spans="1:4">
      <c r="A137" t="s">
        <v>158</v>
      </c>
      <c r="C137" t="s">
        <v>52</v>
      </c>
      <c r="D137" t="s">
        <v>334</v>
      </c>
    </row>
    <row r="138" spans="1:4">
      <c r="A138" t="s">
        <v>163</v>
      </c>
      <c r="C138" t="s">
        <v>52</v>
      </c>
      <c r="D138" t="s">
        <v>334</v>
      </c>
    </row>
    <row r="139" spans="1:4">
      <c r="A139" t="s">
        <v>192</v>
      </c>
      <c r="C139" t="s">
        <v>52</v>
      </c>
      <c r="D139" t="s">
        <v>334</v>
      </c>
    </row>
    <row r="140" spans="1:4">
      <c r="A140" t="s">
        <v>156</v>
      </c>
      <c r="C140" t="s">
        <v>52</v>
      </c>
      <c r="D140" t="s">
        <v>334</v>
      </c>
    </row>
    <row r="141" spans="1:4">
      <c r="A141" t="s">
        <v>191</v>
      </c>
      <c r="C141" t="s">
        <v>52</v>
      </c>
      <c r="D141" t="s">
        <v>334</v>
      </c>
    </row>
    <row r="142" spans="1:4">
      <c r="A142" t="s">
        <v>180</v>
      </c>
      <c r="C142" t="s">
        <v>52</v>
      </c>
      <c r="D142" t="s">
        <v>334</v>
      </c>
    </row>
    <row r="143" spans="1:4">
      <c r="A143" t="s">
        <v>147</v>
      </c>
      <c r="C143" t="s">
        <v>52</v>
      </c>
      <c r="D143" t="s">
        <v>334</v>
      </c>
    </row>
    <row r="144" spans="1:4">
      <c r="A144" t="s">
        <v>170</v>
      </c>
      <c r="C144" t="s">
        <v>52</v>
      </c>
      <c r="D144" t="s">
        <v>334</v>
      </c>
    </row>
    <row r="145" spans="1:4">
      <c r="A145" t="s">
        <v>171</v>
      </c>
      <c r="C145" t="s">
        <v>52</v>
      </c>
      <c r="D145" t="s">
        <v>334</v>
      </c>
    </row>
    <row r="146" spans="1:4">
      <c r="A146" t="s">
        <v>169</v>
      </c>
      <c r="C146" t="s">
        <v>52</v>
      </c>
      <c r="D146" t="s">
        <v>334</v>
      </c>
    </row>
    <row r="147" spans="1:4">
      <c r="A147" t="s">
        <v>152</v>
      </c>
      <c r="C147" t="s">
        <v>52</v>
      </c>
      <c r="D147" t="s">
        <v>334</v>
      </c>
    </row>
    <row r="148" spans="1:4">
      <c r="A148" t="s">
        <v>148</v>
      </c>
      <c r="C148" t="s">
        <v>52</v>
      </c>
      <c r="D148" t="s">
        <v>334</v>
      </c>
    </row>
    <row r="149" spans="1:4">
      <c r="A149" t="s">
        <v>181</v>
      </c>
      <c r="C149" t="s">
        <v>52</v>
      </c>
      <c r="D149" t="s">
        <v>334</v>
      </c>
    </row>
    <row r="150" spans="1:4">
      <c r="A150" t="s">
        <v>187</v>
      </c>
      <c r="C150" t="s">
        <v>52</v>
      </c>
      <c r="D150" t="s">
        <v>334</v>
      </c>
    </row>
    <row r="151" spans="1:4">
      <c r="A151" t="s">
        <v>188</v>
      </c>
      <c r="C151" t="s">
        <v>52</v>
      </c>
      <c r="D151" t="s">
        <v>334</v>
      </c>
    </row>
    <row r="152" spans="1:4">
      <c r="A152" t="s">
        <v>189</v>
      </c>
      <c r="C152" t="s">
        <v>52</v>
      </c>
      <c r="D152" t="s">
        <v>334</v>
      </c>
    </row>
    <row r="153" spans="1:4">
      <c r="A153" t="s">
        <v>183</v>
      </c>
      <c r="C153" t="s">
        <v>52</v>
      </c>
      <c r="D153" t="s">
        <v>334</v>
      </c>
    </row>
    <row r="154" spans="1:4">
      <c r="A154" t="s">
        <v>167</v>
      </c>
      <c r="C154" t="s">
        <v>52</v>
      </c>
      <c r="D154" t="s">
        <v>334</v>
      </c>
    </row>
    <row r="155" spans="1:4">
      <c r="A155" t="s">
        <v>151</v>
      </c>
      <c r="C155" t="s">
        <v>52</v>
      </c>
      <c r="D155" t="s">
        <v>334</v>
      </c>
    </row>
    <row r="156" spans="1:4">
      <c r="A156" t="s">
        <v>175</v>
      </c>
      <c r="C156" t="s">
        <v>52</v>
      </c>
      <c r="D156" t="s">
        <v>334</v>
      </c>
    </row>
    <row r="157" spans="1:4">
      <c r="A157" t="s">
        <v>157</v>
      </c>
      <c r="C157" t="s">
        <v>52</v>
      </c>
      <c r="D157" t="s">
        <v>334</v>
      </c>
    </row>
    <row r="158" spans="1:4">
      <c r="A158" t="s">
        <v>162</v>
      </c>
      <c r="C158" t="s">
        <v>52</v>
      </c>
      <c r="D158" t="s">
        <v>334</v>
      </c>
    </row>
    <row r="159" spans="1:4">
      <c r="A159" t="s">
        <v>190</v>
      </c>
      <c r="C159" t="s">
        <v>52</v>
      </c>
      <c r="D159" t="s">
        <v>334</v>
      </c>
    </row>
    <row r="160" spans="1:4">
      <c r="A160" t="s">
        <v>176</v>
      </c>
      <c r="C160" t="s">
        <v>52</v>
      </c>
      <c r="D160" t="s">
        <v>334</v>
      </c>
    </row>
    <row r="161" spans="1:4">
      <c r="A161" t="s">
        <v>168</v>
      </c>
      <c r="C161" t="s">
        <v>52</v>
      </c>
      <c r="D161" t="s">
        <v>334</v>
      </c>
    </row>
    <row r="162" spans="1:4">
      <c r="A162" t="s">
        <v>154</v>
      </c>
      <c r="C162" t="s">
        <v>52</v>
      </c>
      <c r="D162" t="s">
        <v>334</v>
      </c>
    </row>
    <row r="163" spans="1:4">
      <c r="A163" t="s">
        <v>172</v>
      </c>
      <c r="C163" t="s">
        <v>52</v>
      </c>
      <c r="D163" t="s">
        <v>334</v>
      </c>
    </row>
    <row r="164" spans="1:4">
      <c r="A164" t="s">
        <v>174</v>
      </c>
      <c r="C164" t="s">
        <v>52</v>
      </c>
      <c r="D164" t="s">
        <v>334</v>
      </c>
    </row>
    <row r="165" spans="1:4">
      <c r="A165" t="s">
        <v>155</v>
      </c>
      <c r="C165" t="s">
        <v>52</v>
      </c>
      <c r="D165" t="s">
        <v>334</v>
      </c>
    </row>
    <row r="166" spans="1:4">
      <c r="A166" t="s">
        <v>185</v>
      </c>
      <c r="C166" t="s">
        <v>52</v>
      </c>
      <c r="D166" t="s">
        <v>334</v>
      </c>
    </row>
    <row r="167" spans="1:4">
      <c r="A167" t="s">
        <v>166</v>
      </c>
      <c r="C167" t="s">
        <v>52</v>
      </c>
      <c r="D167" t="s">
        <v>334</v>
      </c>
    </row>
    <row r="168" spans="1:4">
      <c r="A168" t="s">
        <v>184</v>
      </c>
      <c r="C168" t="s">
        <v>52</v>
      </c>
      <c r="D168" t="s">
        <v>334</v>
      </c>
    </row>
    <row r="169" spans="1:4">
      <c r="A169" t="s">
        <v>164</v>
      </c>
      <c r="C169" t="s">
        <v>52</v>
      </c>
      <c r="D169" t="s">
        <v>334</v>
      </c>
    </row>
    <row r="170" spans="1:4">
      <c r="A170" t="s">
        <v>159</v>
      </c>
      <c r="C170" t="s">
        <v>52</v>
      </c>
      <c r="D170" t="s">
        <v>334</v>
      </c>
    </row>
    <row r="171" spans="1:4">
      <c r="A171" t="s">
        <v>150</v>
      </c>
      <c r="C171" t="s">
        <v>52</v>
      </c>
      <c r="D171" t="s">
        <v>334</v>
      </c>
    </row>
    <row r="172" spans="1:4">
      <c r="A172" t="s">
        <v>177</v>
      </c>
      <c r="C172" t="s">
        <v>52</v>
      </c>
      <c r="D172" t="s">
        <v>334</v>
      </c>
    </row>
    <row r="173" spans="1:4">
      <c r="A173" t="s">
        <v>186</v>
      </c>
      <c r="C173" t="s">
        <v>52</v>
      </c>
      <c r="D173" t="s">
        <v>334</v>
      </c>
    </row>
    <row r="174" spans="1:4">
      <c r="A174" t="s">
        <v>149</v>
      </c>
      <c r="C174" t="s">
        <v>52</v>
      </c>
      <c r="D174" t="s">
        <v>334</v>
      </c>
    </row>
    <row r="175" spans="1:4">
      <c r="A175" t="s">
        <v>317</v>
      </c>
      <c r="C175" t="s">
        <v>1</v>
      </c>
      <c r="D175" t="s">
        <v>335</v>
      </c>
    </row>
    <row r="176" spans="1:4">
      <c r="A176" t="s">
        <v>307</v>
      </c>
      <c r="C176" t="s">
        <v>1</v>
      </c>
      <c r="D176" t="s">
        <v>335</v>
      </c>
    </row>
    <row r="177" spans="1:4">
      <c r="A177" t="s">
        <v>305</v>
      </c>
      <c r="C177" t="s">
        <v>1</v>
      </c>
      <c r="D177" t="s">
        <v>335</v>
      </c>
    </row>
    <row r="178" spans="1:4">
      <c r="A178" t="s">
        <v>303</v>
      </c>
      <c r="C178" t="s">
        <v>1</v>
      </c>
      <c r="D178" t="s">
        <v>335</v>
      </c>
    </row>
    <row r="179" spans="1:4">
      <c r="A179" t="s">
        <v>306</v>
      </c>
      <c r="C179" t="s">
        <v>1</v>
      </c>
      <c r="D179" t="s">
        <v>335</v>
      </c>
    </row>
    <row r="180" spans="1:4">
      <c r="A180" t="s">
        <v>325</v>
      </c>
      <c r="C180" t="s">
        <v>1</v>
      </c>
      <c r="D180" t="s">
        <v>335</v>
      </c>
    </row>
    <row r="181" spans="1:4">
      <c r="A181" t="s">
        <v>309</v>
      </c>
      <c r="C181" t="s">
        <v>1</v>
      </c>
      <c r="D181" t="s">
        <v>335</v>
      </c>
    </row>
    <row r="182" spans="1:4">
      <c r="A182" t="s">
        <v>300</v>
      </c>
      <c r="C182" t="s">
        <v>1</v>
      </c>
      <c r="D182" t="s">
        <v>335</v>
      </c>
    </row>
    <row r="183" spans="1:4">
      <c r="A183" t="s">
        <v>323</v>
      </c>
      <c r="C183" t="s">
        <v>1</v>
      </c>
      <c r="D183" t="s">
        <v>335</v>
      </c>
    </row>
    <row r="184" spans="1:4">
      <c r="A184" t="s">
        <v>318</v>
      </c>
      <c r="C184" t="s">
        <v>1</v>
      </c>
      <c r="D184" t="s">
        <v>335</v>
      </c>
    </row>
    <row r="185" spans="1:4">
      <c r="A185" t="s">
        <v>302</v>
      </c>
      <c r="C185" t="s">
        <v>1</v>
      </c>
      <c r="D185" t="s">
        <v>335</v>
      </c>
    </row>
    <row r="186" spans="1:4">
      <c r="A186" t="s">
        <v>298</v>
      </c>
      <c r="C186" t="s">
        <v>1</v>
      </c>
      <c r="D186" t="s">
        <v>335</v>
      </c>
    </row>
    <row r="187" spans="1:4">
      <c r="A187" t="s">
        <v>312</v>
      </c>
      <c r="C187" t="s">
        <v>1</v>
      </c>
      <c r="D187" t="s">
        <v>335</v>
      </c>
    </row>
    <row r="188" spans="1:4">
      <c r="A188" t="s">
        <v>327</v>
      </c>
      <c r="C188" t="s">
        <v>1</v>
      </c>
      <c r="D188" t="s">
        <v>335</v>
      </c>
    </row>
    <row r="189" spans="1:4">
      <c r="A189" t="s">
        <v>299</v>
      </c>
      <c r="C189" t="s">
        <v>1</v>
      </c>
      <c r="D189" t="s">
        <v>335</v>
      </c>
    </row>
    <row r="190" spans="1:4">
      <c r="A190" t="s">
        <v>310</v>
      </c>
      <c r="C190" t="s">
        <v>1</v>
      </c>
      <c r="D190" t="s">
        <v>335</v>
      </c>
    </row>
    <row r="191" spans="1:4">
      <c r="A191" t="s">
        <v>316</v>
      </c>
      <c r="C191" t="s">
        <v>1</v>
      </c>
      <c r="D191" t="s">
        <v>335</v>
      </c>
    </row>
    <row r="192" spans="1:4">
      <c r="A192" t="s">
        <v>321</v>
      </c>
      <c r="C192" t="s">
        <v>1</v>
      </c>
      <c r="D192" t="s">
        <v>335</v>
      </c>
    </row>
    <row r="193" spans="1:4">
      <c r="A193" t="s">
        <v>304</v>
      </c>
      <c r="C193" t="s">
        <v>1</v>
      </c>
      <c r="D193" t="s">
        <v>335</v>
      </c>
    </row>
    <row r="194" spans="1:4">
      <c r="A194" t="s">
        <v>320</v>
      </c>
      <c r="C194" t="s">
        <v>1</v>
      </c>
      <c r="D194" t="s">
        <v>335</v>
      </c>
    </row>
    <row r="195" spans="1:4">
      <c r="A195" t="s">
        <v>295</v>
      </c>
      <c r="C195" t="s">
        <v>1</v>
      </c>
      <c r="D195" t="s">
        <v>335</v>
      </c>
    </row>
    <row r="196" spans="1:4">
      <c r="A196" t="s">
        <v>328</v>
      </c>
      <c r="C196" t="s">
        <v>1</v>
      </c>
      <c r="D196" t="s">
        <v>335</v>
      </c>
    </row>
    <row r="197" spans="1:4">
      <c r="A197" t="s">
        <v>324</v>
      </c>
      <c r="C197" t="s">
        <v>1</v>
      </c>
      <c r="D197" t="s">
        <v>335</v>
      </c>
    </row>
    <row r="198" spans="1:4">
      <c r="A198" t="s">
        <v>315</v>
      </c>
      <c r="C198" t="s">
        <v>1</v>
      </c>
      <c r="D198" t="s">
        <v>335</v>
      </c>
    </row>
    <row r="199" spans="1:4">
      <c r="A199" t="s">
        <v>314</v>
      </c>
      <c r="C199" t="s">
        <v>1</v>
      </c>
      <c r="D199" t="s">
        <v>335</v>
      </c>
    </row>
    <row r="200" spans="1:4">
      <c r="A200" t="s">
        <v>296</v>
      </c>
      <c r="C200" t="s">
        <v>1</v>
      </c>
      <c r="D200" t="s">
        <v>335</v>
      </c>
    </row>
    <row r="201" spans="1:4">
      <c r="A201" t="s">
        <v>313</v>
      </c>
      <c r="C201" t="s">
        <v>1</v>
      </c>
      <c r="D201" t="s">
        <v>335</v>
      </c>
    </row>
    <row r="202" spans="1:4">
      <c r="A202" t="s">
        <v>301</v>
      </c>
      <c r="C202" t="s">
        <v>1</v>
      </c>
      <c r="D202" t="s">
        <v>335</v>
      </c>
    </row>
    <row r="203" spans="1:4">
      <c r="A203" t="s">
        <v>329</v>
      </c>
      <c r="C203" t="s">
        <v>1</v>
      </c>
      <c r="D203" t="s">
        <v>335</v>
      </c>
    </row>
    <row r="204" spans="1:4">
      <c r="A204" t="s">
        <v>319</v>
      </c>
      <c r="C204" t="s">
        <v>1</v>
      </c>
      <c r="D204" t="s">
        <v>335</v>
      </c>
    </row>
    <row r="205" spans="1:4">
      <c r="A205" t="s">
        <v>322</v>
      </c>
      <c r="C205" t="s">
        <v>1</v>
      </c>
      <c r="D205" t="s">
        <v>335</v>
      </c>
    </row>
    <row r="206" spans="1:4">
      <c r="A206" t="s">
        <v>326</v>
      </c>
      <c r="C206" t="s">
        <v>1</v>
      </c>
      <c r="D206" t="s">
        <v>335</v>
      </c>
    </row>
    <row r="207" spans="1:4">
      <c r="A207" t="s">
        <v>297</v>
      </c>
      <c r="C207" t="s">
        <v>1</v>
      </c>
      <c r="D207" t="s">
        <v>335</v>
      </c>
    </row>
    <row r="208" spans="1:4">
      <c r="A208" t="s">
        <v>311</v>
      </c>
      <c r="C208" t="s">
        <v>1</v>
      </c>
      <c r="D208" t="s">
        <v>335</v>
      </c>
    </row>
    <row r="209" spans="1:4">
      <c r="A209" t="s">
        <v>308</v>
      </c>
      <c r="C209" t="s">
        <v>1</v>
      </c>
      <c r="D209" t="s">
        <v>335</v>
      </c>
    </row>
    <row r="210" spans="1:4">
      <c r="A210" t="s">
        <v>277</v>
      </c>
      <c r="C210" t="s">
        <v>10</v>
      </c>
      <c r="D210" t="s">
        <v>335</v>
      </c>
    </row>
    <row r="211" spans="1:4">
      <c r="A211" t="s">
        <v>271</v>
      </c>
      <c r="C211" t="s">
        <v>10</v>
      </c>
      <c r="D211" t="s">
        <v>335</v>
      </c>
    </row>
    <row r="212" spans="1:4">
      <c r="A212" t="s">
        <v>282</v>
      </c>
      <c r="C212" t="s">
        <v>10</v>
      </c>
      <c r="D212" t="s">
        <v>335</v>
      </c>
    </row>
    <row r="213" spans="1:4">
      <c r="A213" t="s">
        <v>275</v>
      </c>
      <c r="C213" t="s">
        <v>10</v>
      </c>
      <c r="D213" t="s">
        <v>335</v>
      </c>
    </row>
    <row r="214" spans="1:4">
      <c r="A214" t="s">
        <v>294</v>
      </c>
      <c r="C214" t="s">
        <v>10</v>
      </c>
      <c r="D214" t="s">
        <v>335</v>
      </c>
    </row>
    <row r="215" spans="1:4">
      <c r="A215" t="s">
        <v>270</v>
      </c>
      <c r="C215" t="s">
        <v>10</v>
      </c>
      <c r="D215" t="s">
        <v>335</v>
      </c>
    </row>
    <row r="216" spans="1:4">
      <c r="A216" t="s">
        <v>286</v>
      </c>
      <c r="C216" t="s">
        <v>10</v>
      </c>
      <c r="D216" t="s">
        <v>335</v>
      </c>
    </row>
    <row r="217" spans="1:4">
      <c r="A217" t="s">
        <v>268</v>
      </c>
      <c r="C217" t="s">
        <v>10</v>
      </c>
      <c r="D217" t="s">
        <v>335</v>
      </c>
    </row>
    <row r="218" spans="1:4">
      <c r="A218" t="s">
        <v>292</v>
      </c>
      <c r="C218" t="s">
        <v>10</v>
      </c>
      <c r="D218" t="s">
        <v>335</v>
      </c>
    </row>
    <row r="219" spans="1:4">
      <c r="A219" t="s">
        <v>279</v>
      </c>
      <c r="C219" t="s">
        <v>10</v>
      </c>
      <c r="D219" t="s">
        <v>335</v>
      </c>
    </row>
    <row r="220" spans="1:4">
      <c r="A220" t="s">
        <v>287</v>
      </c>
      <c r="C220" t="s">
        <v>10</v>
      </c>
      <c r="D220" t="s">
        <v>335</v>
      </c>
    </row>
    <row r="221" spans="1:4">
      <c r="A221" t="s">
        <v>291</v>
      </c>
      <c r="C221" t="s">
        <v>10</v>
      </c>
      <c r="D221" t="s">
        <v>335</v>
      </c>
    </row>
    <row r="222" spans="1:4">
      <c r="A222" t="s">
        <v>284</v>
      </c>
      <c r="C222" t="s">
        <v>10</v>
      </c>
      <c r="D222" t="s">
        <v>335</v>
      </c>
    </row>
    <row r="223" spans="1:4">
      <c r="A223" t="s">
        <v>289</v>
      </c>
      <c r="C223" t="s">
        <v>10</v>
      </c>
      <c r="D223" t="s">
        <v>335</v>
      </c>
    </row>
    <row r="224" spans="1:4">
      <c r="A224" t="s">
        <v>293</v>
      </c>
      <c r="C224" t="s">
        <v>10</v>
      </c>
      <c r="D224" t="s">
        <v>335</v>
      </c>
    </row>
    <row r="225" spans="1:4">
      <c r="A225" t="s">
        <v>278</v>
      </c>
      <c r="C225" t="s">
        <v>10</v>
      </c>
      <c r="D225" t="s">
        <v>335</v>
      </c>
    </row>
    <row r="226" spans="1:4">
      <c r="A226" t="s">
        <v>285</v>
      </c>
      <c r="C226" t="s">
        <v>10</v>
      </c>
      <c r="D226" t="s">
        <v>335</v>
      </c>
    </row>
    <row r="227" spans="1:4">
      <c r="A227" t="s">
        <v>273</v>
      </c>
      <c r="C227" t="s">
        <v>10</v>
      </c>
      <c r="D227" t="s">
        <v>335</v>
      </c>
    </row>
    <row r="228" spans="1:4">
      <c r="A228" t="s">
        <v>274</v>
      </c>
      <c r="C228" t="s">
        <v>10</v>
      </c>
      <c r="D228" t="s">
        <v>335</v>
      </c>
    </row>
    <row r="229" spans="1:4">
      <c r="A229" t="s">
        <v>281</v>
      </c>
      <c r="C229" t="s">
        <v>10</v>
      </c>
      <c r="D229" t="s">
        <v>335</v>
      </c>
    </row>
    <row r="230" spans="1:4">
      <c r="A230" t="s">
        <v>276</v>
      </c>
      <c r="C230" t="s">
        <v>10</v>
      </c>
      <c r="D230" t="s">
        <v>335</v>
      </c>
    </row>
    <row r="231" spans="1:4">
      <c r="A231" t="s">
        <v>272</v>
      </c>
      <c r="C231" t="s">
        <v>10</v>
      </c>
      <c r="D231" t="s">
        <v>335</v>
      </c>
    </row>
    <row r="232" spans="1:4">
      <c r="A232" t="s">
        <v>269</v>
      </c>
      <c r="C232" t="s">
        <v>10</v>
      </c>
      <c r="D232" t="s">
        <v>335</v>
      </c>
    </row>
    <row r="233" spans="1:4">
      <c r="A233" t="s">
        <v>290</v>
      </c>
      <c r="C233" t="s">
        <v>10</v>
      </c>
      <c r="D233" t="s">
        <v>335</v>
      </c>
    </row>
    <row r="234" spans="1:4">
      <c r="A234" t="s">
        <v>288</v>
      </c>
      <c r="C234" t="s">
        <v>10</v>
      </c>
      <c r="D234" t="s">
        <v>335</v>
      </c>
    </row>
    <row r="235" spans="1:4">
      <c r="A235" t="s">
        <v>283</v>
      </c>
      <c r="C235" t="s">
        <v>10</v>
      </c>
      <c r="D235" t="s">
        <v>335</v>
      </c>
    </row>
    <row r="236" spans="1:4">
      <c r="A236" t="s">
        <v>280</v>
      </c>
      <c r="C236" t="s">
        <v>10</v>
      </c>
      <c r="D236" t="s">
        <v>335</v>
      </c>
    </row>
  </sheetData>
  <autoFilter ref="A1:E1" xr:uid="{4BC558BC-6DBA-4A68-850B-0B1378905001}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B9B3-B0A2-4EC8-A3DA-9B6D29A976B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"Thompson Pass",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47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CED6398D-8ADD-407F-9021-20862F1F3A68}">
      <formula1>2000</formula1>
      <formula2>5999</formula2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34C4-C596-4B6E-AE29-B0BF643FDEC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"Valdez",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47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662CA30D-FF1B-4B43-B3EB-C628DCC3AE70}">
      <formula1>2000</formula1>
      <formula2>5999</formula2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AC3F-571D-4F11-AF85-8C803FB91A3B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"Valdez Airport",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47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2F812B16-D59D-49E6-A12A-60C5AD8278F6}">
      <formula1>2000</formula1>
      <formula2>5999</formula2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C7DD-5B53-4AB4-AE21-025A88160FA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"Bear Creek",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9D68885D-8181-40A9-815C-8C73BD712F0E}">
      <formula1>2000</formula1>
      <formula2>5999</formula2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97C9-1195-4B08-95E8-493A66E5D0A7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"Cottonwood",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129CB452-B5EC-44A7-8C76-A4FF1B9EA151}">
      <formula1>2000</formula1>
      <formula2>5999</formula2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E0EC-9D00-4E26-BF52-C65E749455A5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"Kotzebue",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E10945BA-0319-4E6C-9D6D-BE3CEE20E0D8}">
      <formula1>2000</formula1>
      <formula2>5999</formula2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C8B3-33FF-48D8-B8CA-27F4E948C6D6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"Nome",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AB64BB92-5BC9-4E85-97D4-90F23546651D}">
      <formula1>2000</formula1>
      <formula2>5999</formula2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882C-F6E8-4DAD-A087-0DCB1464FCFD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"Nome Airport",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1A6A838D-FE31-4F26-B239-8A9DD8AC4AD7}">
      <formula1>2000</formula1>
      <formula2>5999</formula2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E462-6988-4453-8144-2E6CCA2CBAD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"Saint Marys",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65188F9A-06A2-4D81-9145-5127F5CC2E20}">
      <formula1>2000</formula1>
      <formula2>5999</formula2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92EA-F8A4-46E7-BBE5-F466A404C602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"Teller",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3AAEA0CA-6B08-4948-8D53-21023602A310}">
      <formula1>2000</formula1>
      <formula2>5999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5A06-DDD1-4555-9307-8856D5690F37}">
  <sheetPr codeName="Sheet5"/>
  <dimension ref="A3:C22"/>
  <sheetViews>
    <sheetView workbookViewId="0">
      <selection activeCell="A15" sqref="A15"/>
    </sheetView>
  </sheetViews>
  <sheetFormatPr defaultRowHeight="12.75"/>
  <cols>
    <col min="1" max="1" width="47.33203125" bestFit="1" customWidth="1"/>
    <col min="2" max="2" width="20.3984375" bestFit="1" customWidth="1"/>
    <col min="3" max="3" width="26.796875" bestFit="1" customWidth="1"/>
  </cols>
  <sheetData>
    <row r="3" spans="1:3">
      <c r="A3" s="1" t="s">
        <v>337</v>
      </c>
      <c r="B3" t="s">
        <v>339</v>
      </c>
      <c r="C3" t="s">
        <v>340</v>
      </c>
    </row>
    <row r="4" spans="1:3">
      <c r="A4" s="2" t="s">
        <v>85</v>
      </c>
      <c r="B4">
        <v>71</v>
      </c>
      <c r="C4">
        <v>20</v>
      </c>
    </row>
    <row r="5" spans="1:3">
      <c r="A5" s="3" t="s">
        <v>44</v>
      </c>
      <c r="B5">
        <v>4</v>
      </c>
      <c r="C5">
        <v>2</v>
      </c>
    </row>
    <row r="6" spans="1:3">
      <c r="A6" s="3" t="s">
        <v>23</v>
      </c>
      <c r="B6">
        <v>12</v>
      </c>
      <c r="C6">
        <v>9</v>
      </c>
    </row>
    <row r="7" spans="1:3">
      <c r="A7" s="3" t="s">
        <v>37</v>
      </c>
      <c r="B7">
        <v>12</v>
      </c>
      <c r="C7">
        <v>6</v>
      </c>
    </row>
    <row r="8" spans="1:3">
      <c r="A8" s="3" t="s">
        <v>33</v>
      </c>
      <c r="B8">
        <v>43</v>
      </c>
      <c r="C8">
        <v>3</v>
      </c>
    </row>
    <row r="9" spans="1:3">
      <c r="A9" s="2" t="s">
        <v>334</v>
      </c>
      <c r="B9">
        <v>102</v>
      </c>
      <c r="C9">
        <v>40</v>
      </c>
    </row>
    <row r="10" spans="1:3">
      <c r="A10" s="3" t="s">
        <v>70</v>
      </c>
      <c r="B10">
        <v>11</v>
      </c>
      <c r="C10">
        <v>9</v>
      </c>
    </row>
    <row r="11" spans="1:3">
      <c r="A11" s="3" t="s">
        <v>90</v>
      </c>
      <c r="B11">
        <v>5</v>
      </c>
      <c r="C11">
        <v>3</v>
      </c>
    </row>
    <row r="12" spans="1:3">
      <c r="A12" s="3" t="s">
        <v>86</v>
      </c>
      <c r="B12">
        <v>3</v>
      </c>
      <c r="C12">
        <v>3</v>
      </c>
    </row>
    <row r="13" spans="1:3">
      <c r="A13" s="3" t="s">
        <v>61</v>
      </c>
      <c r="B13">
        <v>13</v>
      </c>
      <c r="C13">
        <v>1</v>
      </c>
    </row>
    <row r="14" spans="1:3">
      <c r="A14" s="3" t="s">
        <v>111</v>
      </c>
      <c r="B14">
        <v>5</v>
      </c>
    </row>
    <row r="15" spans="1:3">
      <c r="A15" s="3" t="s">
        <v>80</v>
      </c>
      <c r="B15">
        <v>9</v>
      </c>
      <c r="C15">
        <v>5</v>
      </c>
    </row>
    <row r="16" spans="1:3">
      <c r="A16" s="3" t="s">
        <v>63</v>
      </c>
      <c r="B16">
        <v>6</v>
      </c>
      <c r="C16">
        <v>7</v>
      </c>
    </row>
    <row r="17" spans="1:3">
      <c r="A17" s="3" t="s">
        <v>47</v>
      </c>
      <c r="B17">
        <v>4</v>
      </c>
      <c r="C17">
        <v>4</v>
      </c>
    </row>
    <row r="18" spans="1:3">
      <c r="A18" s="3" t="s">
        <v>52</v>
      </c>
      <c r="B18">
        <v>46</v>
      </c>
      <c r="C18">
        <v>8</v>
      </c>
    </row>
    <row r="19" spans="1:3">
      <c r="A19" s="2" t="s">
        <v>335</v>
      </c>
      <c r="B19">
        <v>62</v>
      </c>
      <c r="C19">
        <v>20</v>
      </c>
    </row>
    <row r="20" spans="1:3">
      <c r="A20" s="3" t="s">
        <v>1</v>
      </c>
      <c r="B20">
        <v>35</v>
      </c>
      <c r="C20">
        <v>8</v>
      </c>
    </row>
    <row r="21" spans="1:3">
      <c r="A21" s="3" t="s">
        <v>10</v>
      </c>
      <c r="B21">
        <v>27</v>
      </c>
      <c r="C21">
        <v>12</v>
      </c>
    </row>
    <row r="22" spans="1:3">
      <c r="A22" s="2" t="s">
        <v>338</v>
      </c>
      <c r="B22">
        <v>235</v>
      </c>
      <c r="C22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869E-0521-41BE-9F03-A45D8305723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"Unalakleet",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52</v>
      </c>
    </row>
    <row r="26" spans="1:1">
      <c r="A26" s="34" t="s">
        <v>334</v>
      </c>
    </row>
  </sheetData>
  <dataValidations count="1">
    <dataValidation type="whole" allowBlank="1" showInputMessage="1" showErrorMessage="1" errorTitle="Must be an object code" error="You must enter a 4 digit object code" sqref="F2:F1048576" xr:uid="{F9F2E6F9-A15E-44C5-96CE-BC3BC7EE43EF}">
      <formula1>2000</formula1>
      <formula2>5999</formula2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29D6-D8DD-446F-B4F2-4BD3D01DCAA3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"SC Other",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350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349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CD1F077C-7886-4ADB-BD69-A772711F5BB0}">
      <formula1>2000</formula1>
      <formula2>5999</formula2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B47C-36A8-446C-B629-F6AA3197E40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"Adak Station",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1F1ADFE6-0016-495C-9E86-E5BCF7D6D9AC}">
      <formula1>2000</formula1>
      <formula2>5999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9762-5B19-4066-8886-6A0385A9B31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"Akun",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73A26EF1-E7D0-4837-8BD2-CFDCADF446AA}">
      <formula1>2000</formula1>
      <formula2>5999</formula2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29D-F3CD-4971-B0B7-377AF4B279B4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"Cold Bay",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B1630389-36CA-44DC-9A61-C72BF8B9F980}">
      <formula1>2000</formula1>
      <formula2>5999</formula2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D4BC-C2D3-4237-A303-B224A699E06A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"Iliamna",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26388061-6606-4393-8E4F-E610102E8B69}">
      <formula1>2000</formula1>
      <formula2>5999</formula2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6498-CF99-4FCE-9CC7-6056AA9B1F7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"Kalsin Bay",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31847D55-30D2-4F2C-85DF-0F1E80769CF9}">
      <formula1>2000</formula1>
      <formula2>5999</formula2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B335-933D-42EE-8B04-A9B6906C903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"King Salmon",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75BDDA46-63CD-4884-A05B-2240E5C06912}">
      <formula1>2000</formula1>
      <formula2>5999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9B41-AA2C-4004-A493-D8F1116A4B59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"Kodiak",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92F49D8A-CD1B-45DC-A9A7-546E5F3E6F76}">
      <formula1>2000</formula1>
      <formula2>5999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E7D2-E40D-4825-BA26-FF892C1D2E59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"Unalaska",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4B0CCF4B-789A-4BCF-8AE9-AEB976A61C8E}">
      <formula1>2000</formula1>
      <formula2>5999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63F8-6FA9-4B03-BB53-BEF22715FAFF}">
  <sheetPr codeName="Sheet6">
    <pageSetUpPr autoPageBreaks="0"/>
  </sheetPr>
  <dimension ref="A1:R85"/>
  <sheetViews>
    <sheetView tabSelected="1" zoomScale="70" zoomScaleNormal="70" workbookViewId="0">
      <selection activeCell="B2" sqref="B2"/>
    </sheetView>
  </sheetViews>
  <sheetFormatPr defaultColWidth="0" defaultRowHeight="12.75"/>
  <cols>
    <col min="1" max="1" width="15.3984375" customWidth="1"/>
    <col min="2" max="2" width="37.1328125" customWidth="1"/>
    <col min="3" max="3" width="22.1328125" customWidth="1"/>
    <col min="4" max="4" width="17.33203125" customWidth="1"/>
    <col min="5" max="5" width="21.3984375" customWidth="1"/>
    <col min="6" max="6" width="17.19921875" customWidth="1"/>
    <col min="7" max="7" width="15" customWidth="1"/>
    <col min="8" max="8" width="18.3984375" customWidth="1"/>
    <col min="9" max="9" width="14.1328125" customWidth="1"/>
    <col min="10" max="10" width="11.86328125" customWidth="1"/>
    <col min="11" max="15" width="11.86328125" style="2" customWidth="1"/>
    <col min="16" max="16" width="16.59765625" customWidth="1"/>
    <col min="17" max="17" width="16.6640625" customWidth="1"/>
    <col min="18" max="18" width="10.796875" hidden="1" customWidth="1"/>
    <col min="19" max="16384" width="17.3984375" hidden="1"/>
  </cols>
  <sheetData>
    <row r="1" spans="1:18" s="5" customFormat="1">
      <c r="A1" s="5" t="s">
        <v>330</v>
      </c>
      <c r="B1" s="5" t="s">
        <v>331</v>
      </c>
      <c r="C1" s="5" t="s">
        <v>332</v>
      </c>
      <c r="D1" s="5" t="s">
        <v>439</v>
      </c>
      <c r="E1" s="5" t="s">
        <v>341</v>
      </c>
      <c r="F1" s="5" t="s">
        <v>431</v>
      </c>
      <c r="G1" s="5" t="s">
        <v>342</v>
      </c>
      <c r="H1" s="5" t="s">
        <v>343</v>
      </c>
      <c r="I1" s="5" t="s">
        <v>344</v>
      </c>
      <c r="J1" s="5" t="s">
        <v>432</v>
      </c>
      <c r="K1" s="5" t="s">
        <v>434</v>
      </c>
      <c r="L1" s="5" t="s">
        <v>435</v>
      </c>
      <c r="M1" s="5" t="s">
        <v>436</v>
      </c>
      <c r="N1" s="5" t="s">
        <v>437</v>
      </c>
      <c r="O1" s="5" t="s">
        <v>438</v>
      </c>
      <c r="P1" s="5" t="s">
        <v>429</v>
      </c>
      <c r="Q1" s="5" t="s">
        <v>452</v>
      </c>
      <c r="R1" s="5" t="s">
        <v>430</v>
      </c>
    </row>
    <row r="2" spans="1:18">
      <c r="A2" t="s">
        <v>85</v>
      </c>
      <c r="B2" t="s">
        <v>345</v>
      </c>
      <c r="C2" s="27" t="str">
        <f>HYPERLINK("#'CR Other'!A1","CR Other")</f>
        <v>CR Other</v>
      </c>
      <c r="D2">
        <f>COUNTA('CR Other'!K$2:K$1048576)</f>
        <v>0</v>
      </c>
      <c r="E2">
        <f>'CR Other'!A12</f>
        <v>0</v>
      </c>
      <c r="F2">
        <f>'CR Other'!A6</f>
        <v>0</v>
      </c>
      <c r="G2">
        <f>'CR Other'!A8</f>
        <v>0</v>
      </c>
      <c r="H2">
        <f>'CR Other'!A10</f>
        <v>0</v>
      </c>
      <c r="I2">
        <f>COUNTA('CR Other'!B$2:B$1048576)</f>
        <v>0</v>
      </c>
      <c r="J2" s="8">
        <f>SUM('CR Other'!D$2:D$1048576)+SUM('CR Other'!I$2:I$1048576)</f>
        <v>0</v>
      </c>
      <c r="K2" s="9">
        <f>SUM('CR Other'!D$2:D$1048576)</f>
        <v>0</v>
      </c>
      <c r="L2" s="9">
        <f>SUMIFS('CR Other'!I$2:I$1048576, 'CR Other'!F$2:F$1048576, "&gt;1999", 'CR Other'!F$2:F$1048576, "&lt;3000")</f>
        <v>0</v>
      </c>
      <c r="M2" s="9">
        <f>SUMIFS('CR Other'!I$2:I$1048576, 'CR Other'!F$2:F$1048576, "&gt;2999", 'CR Other'!F$2:F$1048576, "&lt;4000")</f>
        <v>0</v>
      </c>
      <c r="N2" s="9">
        <f>SUMIFS('CR Other'!I$2:I$1048576, 'CR Other'!F$2:F$1048576, "&gt;3999", 'CR Other'!F$2:F$1048576, "&lt;5000")</f>
        <v>0</v>
      </c>
      <c r="O2" s="9">
        <f>SUMIFS('CR Other'!I$2:I$1048576, 'CR Other'!F$2:F$1048576, "&gt;4999", 'CR Other'!F$2:F$1048576, "&lt;6000")</f>
        <v>0</v>
      </c>
      <c r="P2" s="8">
        <f>'CR Other'!A14</f>
        <v>0</v>
      </c>
      <c r="Q2" s="9">
        <f>'CR Other'!A18</f>
        <v>0</v>
      </c>
      <c r="R2" t="str">
        <f t="shared" ref="R2:R33" si="0">IF(SUM(K2:O2)=J2,"OK","&gt;&gt;ERROR&lt;&lt;")</f>
        <v>OK</v>
      </c>
    </row>
    <row r="3" spans="1:18">
      <c r="A3" t="s">
        <v>85</v>
      </c>
      <c r="B3" t="s">
        <v>44</v>
      </c>
      <c r="C3" s="27" t="str">
        <f>HYPERLINK("#'Anchorage'!A1","Anchorage")</f>
        <v>Anchorage</v>
      </c>
      <c r="D3">
        <f>COUNTA(Anchorage!K$2:K$1048576)</f>
        <v>0</v>
      </c>
      <c r="E3">
        <f>Anchorage!A12</f>
        <v>0</v>
      </c>
      <c r="F3">
        <f>Anchorage!A6</f>
        <v>0</v>
      </c>
      <c r="G3">
        <f>Anchorage!A8</f>
        <v>0</v>
      </c>
      <c r="H3">
        <f>Anchorage!A10</f>
        <v>0</v>
      </c>
      <c r="I3">
        <f>COUNTA(Anchorage!B$2:B$1048576)</f>
        <v>0</v>
      </c>
      <c r="J3" s="8">
        <f>SUM(Anchorage!D$2:D$1048576)+SUM(Anchorage!I$2:I$1048576)</f>
        <v>0</v>
      </c>
      <c r="K3" s="9">
        <f>SUM(Anchorage!D$2:D$1048576)</f>
        <v>0</v>
      </c>
      <c r="L3" s="9">
        <f>SUMIFS(Anchorage!I$2:I$1048576, Anchorage!F$2:F$1048576, "&gt;1999", Anchorage!F$2:F$1048576, "&lt;3000")</f>
        <v>0</v>
      </c>
      <c r="M3" s="9">
        <f>SUMIFS(Anchorage!I$2:I$1048576, Anchorage!F$2:F$1048576, "&gt;2999", Anchorage!F$2:F$1048576, "&lt;4000")</f>
        <v>0</v>
      </c>
      <c r="N3" s="9">
        <f>SUMIFS(Anchorage!I$2:I$1048576, Anchorage!F$2:F$1048576, "&gt;3999", Anchorage!F$2:F$1048576, "&lt;5000")</f>
        <v>0</v>
      </c>
      <c r="O3" s="9">
        <f>SUMIFS(Anchorage!I$2:I$1048576, Anchorage!F$2:F$1048576, "&gt;4999", Anchorage!F$2:F$1048576, "&lt;6000")</f>
        <v>0</v>
      </c>
      <c r="P3" s="8">
        <f>Anchorage!A14</f>
        <v>0</v>
      </c>
      <c r="Q3" s="9">
        <f>Anchorage!A18</f>
        <v>0</v>
      </c>
      <c r="R3" t="str">
        <f t="shared" si="0"/>
        <v>OK</v>
      </c>
    </row>
    <row r="4" spans="1:18">
      <c r="A4" t="s">
        <v>85</v>
      </c>
      <c r="B4" t="s">
        <v>44</v>
      </c>
      <c r="C4" s="27" t="str">
        <f>HYPERLINK("#'Girdwood'!A1","Girdwood")</f>
        <v>Girdwood</v>
      </c>
      <c r="D4">
        <f>COUNTA(Girdwood!K$2:K$1048576)</f>
        <v>0</v>
      </c>
      <c r="E4">
        <f>Girdwood!A12</f>
        <v>0</v>
      </c>
      <c r="F4">
        <f>Girdwood!A6</f>
        <v>0</v>
      </c>
      <c r="G4">
        <f>Girdwood!A8</f>
        <v>0</v>
      </c>
      <c r="H4">
        <f>Girdwood!A10</f>
        <v>0</v>
      </c>
      <c r="I4">
        <f>COUNTA(Girdwood!B$2:B$1048576)</f>
        <v>0</v>
      </c>
      <c r="J4" s="8">
        <f>SUM(Girdwood!D$2:D$1048576)+SUM(Girdwood!I$2:I$1048576)</f>
        <v>0</v>
      </c>
      <c r="K4" s="9">
        <f>SUM(Girdwood!D$2:D$1048576)</f>
        <v>0</v>
      </c>
      <c r="L4" s="9">
        <f>SUMIFS(Girdwood!I$2:I$1048576, Girdwood!F$2:F$1048576, "&gt;1999", Girdwood!F$2:F$1048576, "&lt;3000")</f>
        <v>0</v>
      </c>
      <c r="M4" s="9">
        <f>SUMIFS(Girdwood!I$2:I$1048576, Girdwood!F$2:F$1048576, "&gt;2999", Girdwood!F$2:F$1048576, "&lt;4000")</f>
        <v>0</v>
      </c>
      <c r="N4" s="9">
        <f>SUMIFS(Girdwood!I$2:I$1048576, Girdwood!F$2:F$1048576, "&gt;3999", Girdwood!F$2:F$1048576, "&lt;5000")</f>
        <v>0</v>
      </c>
      <c r="O4" s="9">
        <f>SUMIFS(Girdwood!I$2:I$1048576, Girdwood!F$2:F$1048576, "&gt;4999", Girdwood!F$2:F$1048576, "&lt;6000")</f>
        <v>0</v>
      </c>
      <c r="P4" s="8">
        <f>Girdwood!A14</f>
        <v>0</v>
      </c>
      <c r="Q4" s="9">
        <f>Girdwood!A18</f>
        <v>0</v>
      </c>
      <c r="R4" t="str">
        <f t="shared" si="0"/>
        <v>OK</v>
      </c>
    </row>
    <row r="5" spans="1:18">
      <c r="A5" t="s">
        <v>85</v>
      </c>
      <c r="B5" t="s">
        <v>23</v>
      </c>
      <c r="C5" s="27" t="str">
        <f>HYPERLINK("#'Crown Point Station'!A1","Crown Point Station")</f>
        <v>Crown Point Station</v>
      </c>
      <c r="D5">
        <f>COUNTA('Crown Point Station'!K$2:K$1048576)</f>
        <v>0</v>
      </c>
      <c r="E5">
        <f>'Crown Point Station'!A12</f>
        <v>0</v>
      </c>
      <c r="F5">
        <f>'Crown Point Station'!A6</f>
        <v>0</v>
      </c>
      <c r="G5">
        <f>'Crown Point Station'!A8</f>
        <v>0</v>
      </c>
      <c r="H5">
        <f>'Crown Point Station'!A10</f>
        <v>0</v>
      </c>
      <c r="I5">
        <f>COUNTA('Crown Point Station'!B$2:B$1048576)</f>
        <v>0</v>
      </c>
      <c r="J5" s="8">
        <f>SUM('Crown Point Station'!D$2:D$1048576)+SUM('Crown Point Station'!I$2:I$1048576)</f>
        <v>0</v>
      </c>
      <c r="K5" s="9">
        <f>SUM('Crown Point Station'!D$2:D$1048576)</f>
        <v>0</v>
      </c>
      <c r="L5" s="9">
        <f>SUMIFS('Crown Point Station'!I$2:I$1048576, 'Crown Point Station'!F$2:F$1048576, "&gt;1999", 'Crown Point Station'!F$2:F$1048576, "&lt;3000")</f>
        <v>0</v>
      </c>
      <c r="M5" s="9">
        <f>SUMIFS('Crown Point Station'!I$2:I$1048576, 'Crown Point Station'!F$2:F$1048576, "&gt;2999", 'Crown Point Station'!F$2:F$1048576, "&lt;4000")</f>
        <v>0</v>
      </c>
      <c r="N5" s="9">
        <f>SUMIFS('Crown Point Station'!I$2:I$1048576, 'Crown Point Station'!F$2:F$1048576, "&gt;3999", 'Crown Point Station'!F$2:F$1048576, "&lt;5000")</f>
        <v>0</v>
      </c>
      <c r="O5" s="9">
        <f>SUMIFS('Crown Point Station'!I$2:I$1048576, 'Crown Point Station'!F$2:F$1048576, "&gt;4999", 'Crown Point Station'!F$2:F$1048576, "&lt;6000")</f>
        <v>0</v>
      </c>
      <c r="P5" s="8">
        <f>'Crown Point Station'!A14</f>
        <v>0</v>
      </c>
      <c r="Q5" s="9">
        <f>'Crown Point Station'!A18</f>
        <v>0</v>
      </c>
      <c r="R5" t="str">
        <f t="shared" si="0"/>
        <v>OK</v>
      </c>
    </row>
    <row r="6" spans="1:18">
      <c r="A6" t="s">
        <v>85</v>
      </c>
      <c r="B6" t="s">
        <v>23</v>
      </c>
      <c r="C6" s="27" t="str">
        <f>HYPERLINK("#'Homer'!A1","Homer")</f>
        <v>Homer</v>
      </c>
      <c r="D6">
        <f>COUNTA(Homer!K$2:K$1048576)</f>
        <v>0</v>
      </c>
      <c r="E6">
        <f>Homer!A12</f>
        <v>0</v>
      </c>
      <c r="F6">
        <f>Homer!A6</f>
        <v>0</v>
      </c>
      <c r="G6">
        <f>Homer!A8</f>
        <v>0</v>
      </c>
      <c r="H6">
        <f>Homer!A10</f>
        <v>0</v>
      </c>
      <c r="I6">
        <f>COUNTA(Homer!B$2:B$1048576)</f>
        <v>0</v>
      </c>
      <c r="J6" s="8">
        <f>SUM(Homer!D$2:D$1048576)+SUM(Homer!I$2:I$1048576)</f>
        <v>0</v>
      </c>
      <c r="K6" s="9">
        <f>SUM(Homer!D$2:D$1048576)</f>
        <v>0</v>
      </c>
      <c r="L6" s="9">
        <f>SUMIFS(Homer!I$2:I$1048576, Homer!F$2:F$1048576, "&gt;1999", Homer!F$2:F$1048576, "&lt;3000")</f>
        <v>0</v>
      </c>
      <c r="M6" s="9">
        <f>SUMIFS(Homer!I$2:I$1048576, Homer!F$2:F$1048576, "&gt;2999", Homer!F$2:F$1048576, "&lt;4000")</f>
        <v>0</v>
      </c>
      <c r="N6" s="9">
        <f>SUMIFS(Homer!I$2:I$1048576, Homer!F$2:F$1048576, "&gt;3999", Homer!F$2:F$1048576, "&lt;5000")</f>
        <v>0</v>
      </c>
      <c r="O6" s="9">
        <f>SUMIFS(Homer!I$2:I$1048576, Homer!F$2:F$1048576, "&gt;4999", Homer!F$2:F$1048576, "&lt;6000")</f>
        <v>0</v>
      </c>
      <c r="P6" s="8">
        <f>Homer!A14</f>
        <v>0</v>
      </c>
      <c r="Q6" s="9">
        <f>Homer!A18</f>
        <v>0</v>
      </c>
      <c r="R6" t="str">
        <f t="shared" si="0"/>
        <v>OK</v>
      </c>
    </row>
    <row r="7" spans="1:18">
      <c r="A7" t="s">
        <v>85</v>
      </c>
      <c r="B7" t="s">
        <v>23</v>
      </c>
      <c r="C7" s="27" t="str">
        <f>HYPERLINK("#'Homer Airport'!A1","Homer Airport")</f>
        <v>Homer Airport</v>
      </c>
      <c r="D7">
        <f>COUNTA('Homer Airport'!K$2:K$1048576)</f>
        <v>0</v>
      </c>
      <c r="E7">
        <f>'Homer Airport'!A12</f>
        <v>0</v>
      </c>
      <c r="F7">
        <f>'Homer Airport'!A6</f>
        <v>0</v>
      </c>
      <c r="G7">
        <f>'Homer Airport'!A8</f>
        <v>0</v>
      </c>
      <c r="H7">
        <f>'Homer Airport'!A10</f>
        <v>0</v>
      </c>
      <c r="I7">
        <f>COUNTA('Homer Airport'!B$2:B$1048576)</f>
        <v>0</v>
      </c>
      <c r="J7" s="8">
        <f>SUM('Homer Airport'!D$2:D$1048576)+SUM('Homer Airport'!I$2:I$1048576)</f>
        <v>0</v>
      </c>
      <c r="K7" s="9">
        <f>SUM('Homer Airport'!D$2:D$1048576)</f>
        <v>0</v>
      </c>
      <c r="L7" s="9">
        <f>SUMIFS('Homer Airport'!I$2:I$1048576, 'Homer Airport'!F$2:F$1048576, "&gt;1999", 'Homer Airport'!F$2:F$1048576, "&lt;3000")</f>
        <v>0</v>
      </c>
      <c r="M7" s="9">
        <f>SUMIFS('Homer Airport'!I$2:I$1048576, 'Homer Airport'!F$2:F$1048576, "&gt;2999", 'Homer Airport'!F$2:F$1048576, "&lt;4000")</f>
        <v>0</v>
      </c>
      <c r="N7" s="9">
        <f>SUMIFS('Homer Airport'!I$2:I$1048576, 'Homer Airport'!F$2:F$1048576, "&gt;3999", 'Homer Airport'!F$2:F$1048576, "&lt;5000")</f>
        <v>0</v>
      </c>
      <c r="O7" s="9">
        <f>SUMIFS('Homer Airport'!I$2:I$1048576, 'Homer Airport'!F$2:F$1048576, "&gt;4999", 'Homer Airport'!F$2:F$1048576, "&lt;6000")</f>
        <v>0</v>
      </c>
      <c r="P7" s="8">
        <f>'Homer Airport'!A14</f>
        <v>0</v>
      </c>
      <c r="Q7" s="9">
        <f>'Homer Airport'!A18</f>
        <v>0</v>
      </c>
      <c r="R7" t="str">
        <f t="shared" si="0"/>
        <v>OK</v>
      </c>
    </row>
    <row r="8" spans="1:18">
      <c r="A8" t="s">
        <v>85</v>
      </c>
      <c r="B8" t="s">
        <v>23</v>
      </c>
      <c r="C8" s="27" t="str">
        <f>HYPERLINK("#'Ninilchik'!A1","Ninilchik")</f>
        <v>Ninilchik</v>
      </c>
      <c r="D8">
        <f>COUNTA(Ninilchik!K$2:K$1048576)</f>
        <v>0</v>
      </c>
      <c r="E8">
        <f>Ninilchik!A12</f>
        <v>0</v>
      </c>
      <c r="F8">
        <f>Ninilchik!A6</f>
        <v>0</v>
      </c>
      <c r="G8">
        <f>Ninilchik!A8</f>
        <v>0</v>
      </c>
      <c r="H8">
        <f>Ninilchik!A10</f>
        <v>0</v>
      </c>
      <c r="I8">
        <f>COUNTA(Ninilchik!B$2:B$1048576)</f>
        <v>0</v>
      </c>
      <c r="J8" s="8">
        <f>SUM(Ninilchik!D$2:D$1048576)+SUM(Ninilchik!I$2:I$1048576)</f>
        <v>0</v>
      </c>
      <c r="K8" s="9">
        <f>SUM(Ninilchik!D$2:D$1048576)</f>
        <v>0</v>
      </c>
      <c r="L8" s="9">
        <f>SUMIFS(Ninilchik!I$2:I$1048576, Ninilchik!F$2:F$1048576, "&gt;1999", Ninilchik!F$2:F$1048576, "&lt;3000")</f>
        <v>0</v>
      </c>
      <c r="M8" s="9">
        <f>SUMIFS(Ninilchik!I$2:I$1048576, Ninilchik!F$2:F$1048576, "&gt;2999", Ninilchik!F$2:F$1048576, "&lt;4000")</f>
        <v>0</v>
      </c>
      <c r="N8" s="9">
        <f>SUMIFS(Ninilchik!I$2:I$1048576, Ninilchik!F$2:F$1048576, "&gt;3999", Ninilchik!F$2:F$1048576, "&lt;5000")</f>
        <v>0</v>
      </c>
      <c r="O8" s="9">
        <f>SUMIFS(Ninilchik!I$2:I$1048576, Ninilchik!F$2:F$1048576, "&gt;4999", Ninilchik!F$2:F$1048576, "&lt;6000")</f>
        <v>0</v>
      </c>
      <c r="P8" s="8">
        <f>Ninilchik!A14</f>
        <v>0</v>
      </c>
      <c r="Q8" s="9">
        <f>Ninilchik!A18</f>
        <v>0</v>
      </c>
      <c r="R8" t="str">
        <f t="shared" si="0"/>
        <v>OK</v>
      </c>
    </row>
    <row r="9" spans="1:18">
      <c r="A9" t="s">
        <v>85</v>
      </c>
      <c r="B9" t="s">
        <v>23</v>
      </c>
      <c r="C9" s="27" t="str">
        <f>HYPERLINK("#'North Kenai'!A1","North Kenai")</f>
        <v>North Kenai</v>
      </c>
      <c r="D9">
        <f>COUNTA('North Kenai'!K$2:K$1048576)</f>
        <v>0</v>
      </c>
      <c r="E9">
        <f>'North Kenai'!A12</f>
        <v>0</v>
      </c>
      <c r="F9">
        <f>'North Kenai'!A6</f>
        <v>0</v>
      </c>
      <c r="G9">
        <f>'North Kenai'!A8</f>
        <v>0</v>
      </c>
      <c r="H9">
        <f>'North Kenai'!A10</f>
        <v>0</v>
      </c>
      <c r="I9">
        <f>COUNTA('North Kenai'!B$2:B$1048576)</f>
        <v>0</v>
      </c>
      <c r="J9" s="8">
        <f>SUM('North Kenai'!D$2:D$1048576)+SUM('North Kenai'!I$2:I$1048576)</f>
        <v>0</v>
      </c>
      <c r="K9" s="9">
        <f>SUM('North Kenai'!D$2:D$1048576)</f>
        <v>0</v>
      </c>
      <c r="L9" s="9">
        <f>SUMIFS('North Kenai'!I$2:I$1048576, 'North Kenai'!F$2:F$1048576, "&gt;1999", 'North Kenai'!F$2:F$1048576, "&lt;3000")</f>
        <v>0</v>
      </c>
      <c r="M9" s="9">
        <f>SUMIFS('North Kenai'!I$2:I$1048576, 'North Kenai'!F$2:F$1048576, "&gt;2999", 'North Kenai'!F$2:F$1048576, "&lt;4000")</f>
        <v>0</v>
      </c>
      <c r="N9" s="9">
        <f>SUMIFS('North Kenai'!I$2:I$1048576, 'North Kenai'!F$2:F$1048576, "&gt;3999", 'North Kenai'!F$2:F$1048576, "&lt;5000")</f>
        <v>0</v>
      </c>
      <c r="O9" s="9">
        <f>SUMIFS('North Kenai'!I$2:I$1048576, 'North Kenai'!F$2:F$1048576, "&gt;4999", 'North Kenai'!F$2:F$1048576, "&lt;6000")</f>
        <v>0</v>
      </c>
      <c r="P9" s="8">
        <f>'North Kenai'!A14</f>
        <v>0</v>
      </c>
      <c r="Q9" s="9">
        <f>'North Kenai'!A18</f>
        <v>0</v>
      </c>
      <c r="R9" t="str">
        <f t="shared" si="0"/>
        <v>OK</v>
      </c>
    </row>
    <row r="10" spans="1:18">
      <c r="A10" t="s">
        <v>85</v>
      </c>
      <c r="B10" t="s">
        <v>23</v>
      </c>
      <c r="C10" s="27" t="str">
        <f>HYPERLINK("#'Quartz Creek'!A1","Quartz Creek")</f>
        <v>Quartz Creek</v>
      </c>
      <c r="D10">
        <f>COUNTA('Quartz Creek'!K$2:K$1048576)</f>
        <v>0</v>
      </c>
      <c r="E10">
        <f>'Quartz Creek'!A12</f>
        <v>0</v>
      </c>
      <c r="F10">
        <f>'Quartz Creek'!A6</f>
        <v>0</v>
      </c>
      <c r="G10">
        <f>'Quartz Creek'!A8</f>
        <v>0</v>
      </c>
      <c r="H10">
        <f>'Quartz Creek'!A10</f>
        <v>0</v>
      </c>
      <c r="I10">
        <f>COUNTA('Quartz Creek'!B$2:B$1048576)</f>
        <v>0</v>
      </c>
      <c r="J10" s="8">
        <f>SUM('Quartz Creek'!D$2:D$1048576)+SUM('Quartz Creek'!I$2:I$1048576)</f>
        <v>0</v>
      </c>
      <c r="K10" s="9">
        <f>SUM('Quartz Creek'!D$2:D$1048576)</f>
        <v>0</v>
      </c>
      <c r="L10" s="9">
        <f>SUMIFS('Quartz Creek'!I$2:I$1048576, 'Quartz Creek'!F$2:F$1048576, "&gt;1999", 'Quartz Creek'!F$2:F$1048576, "&lt;3000")</f>
        <v>0</v>
      </c>
      <c r="M10" s="9">
        <f>SUMIFS('Quartz Creek'!I$2:I$1048576, 'Quartz Creek'!F$2:F$1048576, "&gt;2999", 'Quartz Creek'!F$2:F$1048576, "&lt;4000")</f>
        <v>0</v>
      </c>
      <c r="N10" s="9">
        <f>SUMIFS('Quartz Creek'!I$2:I$1048576, 'Quartz Creek'!F$2:F$1048576, "&gt;3999", 'Quartz Creek'!F$2:F$1048576, "&lt;5000")</f>
        <v>0</v>
      </c>
      <c r="O10" s="9">
        <f>SUMIFS('Quartz Creek'!I$2:I$1048576, 'Quartz Creek'!F$2:F$1048576, "&gt;4999", 'Quartz Creek'!F$2:F$1048576, "&lt;6000")</f>
        <v>0</v>
      </c>
      <c r="P10" s="8">
        <f>'Quartz Creek'!A14</f>
        <v>0</v>
      </c>
      <c r="Q10" s="9">
        <f>'Quartz Creek'!A18</f>
        <v>0</v>
      </c>
      <c r="R10" t="str">
        <f t="shared" si="0"/>
        <v>OK</v>
      </c>
    </row>
    <row r="11" spans="1:18">
      <c r="A11" t="s">
        <v>85</v>
      </c>
      <c r="B11" t="s">
        <v>23</v>
      </c>
      <c r="C11" s="27" t="str">
        <f>HYPERLINK("#'Seldovia'!A1","Seldovia")</f>
        <v>Seldovia</v>
      </c>
      <c r="D11">
        <f>COUNTA(Seldovia!K$2:K$1048576)</f>
        <v>0</v>
      </c>
      <c r="E11">
        <f>Seldovia!A12</f>
        <v>0</v>
      </c>
      <c r="F11">
        <f>Seldovia!A6</f>
        <v>0</v>
      </c>
      <c r="G11">
        <f>Seldovia!A8</f>
        <v>0</v>
      </c>
      <c r="H11">
        <f>Seldovia!A10</f>
        <v>0</v>
      </c>
      <c r="I11">
        <f>COUNTA(Seldovia!B$2:B$1048576)</f>
        <v>0</v>
      </c>
      <c r="J11" s="8">
        <f>SUM(Seldovia!D$2:D$1048576)+SUM(Seldovia!I$2:I$1048576)</f>
        <v>0</v>
      </c>
      <c r="K11" s="9">
        <f>SUM(Seldovia!D$2:D$1048576)</f>
        <v>0</v>
      </c>
      <c r="L11" s="9">
        <f>SUMIFS(Seldovia!I$2:I$1048576, Seldovia!F$2:F$1048576, "&gt;1999", Seldovia!F$2:F$1048576, "&lt;3000")</f>
        <v>0</v>
      </c>
      <c r="M11" s="9">
        <f>SUMIFS(Seldovia!I$2:I$1048576, Seldovia!F$2:F$1048576, "&gt;2999", Seldovia!F$2:F$1048576, "&lt;4000")</f>
        <v>0</v>
      </c>
      <c r="N11" s="9">
        <f>SUMIFS(Seldovia!I$2:I$1048576, Seldovia!F$2:F$1048576, "&gt;3999", Seldovia!F$2:F$1048576, "&lt;5000")</f>
        <v>0</v>
      </c>
      <c r="O11" s="9">
        <f>SUMIFS(Seldovia!I$2:I$1048576, Seldovia!F$2:F$1048576, "&gt;4999", Seldovia!F$2:F$1048576, "&lt;6000")</f>
        <v>0</v>
      </c>
      <c r="P11" s="8">
        <f>Seldovia!A14</f>
        <v>0</v>
      </c>
      <c r="Q11" s="9">
        <f>Seldovia!A18</f>
        <v>0</v>
      </c>
      <c r="R11" t="str">
        <f t="shared" si="0"/>
        <v>OK</v>
      </c>
    </row>
    <row r="12" spans="1:18">
      <c r="A12" t="s">
        <v>85</v>
      </c>
      <c r="B12" t="s">
        <v>23</v>
      </c>
      <c r="C12" s="27" t="str">
        <f>HYPERLINK("#'Silvertip'!A1","Silvertip")</f>
        <v>Silvertip</v>
      </c>
      <c r="D12">
        <f>COUNTA(Silvertip!K$2:K$1048576)</f>
        <v>0</v>
      </c>
      <c r="E12">
        <f>Silvertip!A12</f>
        <v>0</v>
      </c>
      <c r="F12">
        <f>Silvertip!A6</f>
        <v>0</v>
      </c>
      <c r="G12">
        <f>Silvertip!A8</f>
        <v>0</v>
      </c>
      <c r="H12">
        <f>Silvertip!A10</f>
        <v>0</v>
      </c>
      <c r="I12">
        <f>COUNTA(Silvertip!B$2:B$1048576)</f>
        <v>0</v>
      </c>
      <c r="J12" s="8">
        <f>SUM(Silvertip!D$2:D$1048576)+SUM(Silvertip!I$2:I$1048576)</f>
        <v>0</v>
      </c>
      <c r="K12" s="9">
        <f>SUM(Silvertip!D$2:D$1048576)</f>
        <v>0</v>
      </c>
      <c r="L12" s="9">
        <f>SUMIFS(Silvertip!I$2:I$1048576, Silvertip!F$2:F$1048576, "&gt;1999", Silvertip!F$2:F$1048576, "&lt;3000")</f>
        <v>0</v>
      </c>
      <c r="M12" s="9">
        <f>SUMIFS(Silvertip!I$2:I$1048576, Silvertip!F$2:F$1048576, "&gt;2999", Silvertip!F$2:F$1048576, "&lt;4000")</f>
        <v>0</v>
      </c>
      <c r="N12" s="9">
        <f>SUMIFS(Silvertip!I$2:I$1048576, Silvertip!F$2:F$1048576, "&gt;3999", Silvertip!F$2:F$1048576, "&lt;5000")</f>
        <v>0</v>
      </c>
      <c r="O12" s="9">
        <f>SUMIFS(Silvertip!I$2:I$1048576, Silvertip!F$2:F$1048576, "&gt;4999", Silvertip!F$2:F$1048576, "&lt;6000")</f>
        <v>0</v>
      </c>
      <c r="P12" s="8">
        <f>Silvertip!A14</f>
        <v>0</v>
      </c>
      <c r="Q12" s="9">
        <f>Silvertip!A18</f>
        <v>0</v>
      </c>
      <c r="R12" t="str">
        <f t="shared" si="0"/>
        <v>OK</v>
      </c>
    </row>
    <row r="13" spans="1:18">
      <c r="A13" t="s">
        <v>85</v>
      </c>
      <c r="B13" t="s">
        <v>23</v>
      </c>
      <c r="C13" s="27" t="str">
        <f>HYPERLINK("#'Soldotna'!A1","Soldotna")</f>
        <v>Soldotna</v>
      </c>
      <c r="D13">
        <f>COUNTA(Soldotna!K$2:K$1048576)</f>
        <v>0</v>
      </c>
      <c r="E13">
        <f>Soldotna!A12</f>
        <v>0</v>
      </c>
      <c r="F13">
        <f>Soldotna!A6</f>
        <v>0</v>
      </c>
      <c r="G13">
        <f>Soldotna!A8</f>
        <v>0</v>
      </c>
      <c r="H13">
        <f>Soldotna!A10</f>
        <v>0</v>
      </c>
      <c r="I13">
        <f>COUNTA(Soldotna!B$2:B$1048576)</f>
        <v>0</v>
      </c>
      <c r="J13" s="8">
        <f>SUM(Soldotna!D$2:D$1048576)+SUM(Soldotna!I$2:I$1048576)</f>
        <v>0</v>
      </c>
      <c r="K13" s="9">
        <f>SUM(Soldotna!D$2:D$1048576)</f>
        <v>0</v>
      </c>
      <c r="L13" s="9">
        <f>SUMIFS(Soldotna!I$2:I$1048576, Soldotna!F$2:F$1048576, "&gt;1999", Soldotna!F$2:F$1048576, "&lt;3000")</f>
        <v>0</v>
      </c>
      <c r="M13" s="9">
        <f>SUMIFS(Soldotna!I$2:I$1048576, Soldotna!F$2:F$1048576, "&gt;2999", Soldotna!F$2:F$1048576, "&lt;4000")</f>
        <v>0</v>
      </c>
      <c r="N13" s="9">
        <f>SUMIFS(Soldotna!I$2:I$1048576, Soldotna!F$2:F$1048576, "&gt;3999", Soldotna!F$2:F$1048576, "&lt;5000")</f>
        <v>0</v>
      </c>
      <c r="O13" s="9">
        <f>SUMIFS(Soldotna!I$2:I$1048576, Soldotna!F$2:F$1048576, "&gt;4999", Soldotna!F$2:F$1048576, "&lt;6000")</f>
        <v>0</v>
      </c>
      <c r="P13" s="8">
        <f>Soldotna!A14</f>
        <v>0</v>
      </c>
      <c r="Q13" s="9">
        <f>Soldotna!A18</f>
        <v>0</v>
      </c>
      <c r="R13" t="str">
        <f t="shared" si="0"/>
        <v>OK</v>
      </c>
    </row>
    <row r="14" spans="1:18">
      <c r="A14" t="s">
        <v>85</v>
      </c>
      <c r="B14" t="s">
        <v>37</v>
      </c>
      <c r="C14" s="27" t="str">
        <f>HYPERLINK("#'Cascade'!A1","Cascade")</f>
        <v>Cascade</v>
      </c>
      <c r="D14">
        <f>COUNTA(Cascade!K$2:K$1048576)</f>
        <v>0</v>
      </c>
      <c r="E14">
        <f>Cascade!A12</f>
        <v>0</v>
      </c>
      <c r="F14">
        <f>Cascade!A6</f>
        <v>0</v>
      </c>
      <c r="G14">
        <f>Cascade!A8</f>
        <v>0</v>
      </c>
      <c r="H14">
        <f>Cascade!A10</f>
        <v>0</v>
      </c>
      <c r="I14">
        <f>COUNTA(Cascade!B$2:B$1048576)</f>
        <v>0</v>
      </c>
      <c r="J14" s="8">
        <f>SUM(Cascade!D$2:D$1048576)+SUM(Cascade!I$2:I$1048576)</f>
        <v>0</v>
      </c>
      <c r="K14" s="9">
        <f>SUM(Cascade!D$2:D$1048576)</f>
        <v>0</v>
      </c>
      <c r="L14" s="9">
        <f>SUMIFS(Cascade!I$2:I$1048576, Cascade!F$2:F$1048576, "&gt;1999", Cascade!F$2:F$1048576, "&lt;3000")</f>
        <v>0</v>
      </c>
      <c r="M14" s="9">
        <f>SUMIFS(Cascade!I$2:I$1048576, Cascade!F$2:F$1048576, "&gt;2999", Cascade!F$2:F$1048576, "&lt;4000")</f>
        <v>0</v>
      </c>
      <c r="N14" s="9">
        <f>SUMIFS(Cascade!I$2:I$1048576, Cascade!F$2:F$1048576, "&gt;3999", Cascade!F$2:F$1048576, "&lt;5000")</f>
        <v>0</v>
      </c>
      <c r="O14" s="9">
        <f>SUMIFS(Cascade!I$2:I$1048576, Cascade!F$2:F$1048576, "&gt;4999", Cascade!F$2:F$1048576, "&lt;6000")</f>
        <v>0</v>
      </c>
      <c r="P14" s="8">
        <f>Cascade!A14</f>
        <v>0</v>
      </c>
      <c r="Q14" s="9">
        <f>Cascade!A18</f>
        <v>0</v>
      </c>
      <c r="R14" t="str">
        <f t="shared" si="0"/>
        <v>OK</v>
      </c>
    </row>
    <row r="15" spans="1:18">
      <c r="A15" t="s">
        <v>85</v>
      </c>
      <c r="B15" t="s">
        <v>37</v>
      </c>
      <c r="C15" s="27" t="str">
        <f>HYPERLINK("#'Chulitna'!A1","Chulitna")</f>
        <v>Chulitna</v>
      </c>
      <c r="D15">
        <f>COUNTA(Chulitna!K$2:K$1048576)</f>
        <v>0</v>
      </c>
      <c r="E15">
        <f>Chulitna!A12</f>
        <v>0</v>
      </c>
      <c r="F15">
        <f>Chulitna!A6</f>
        <v>0</v>
      </c>
      <c r="G15">
        <f>Chulitna!A8</f>
        <v>0</v>
      </c>
      <c r="H15">
        <f>Chulitna!A10</f>
        <v>0</v>
      </c>
      <c r="I15">
        <f>COUNTA(Chulitna!B$2:B$1048576)</f>
        <v>0</v>
      </c>
      <c r="J15" s="8">
        <f>SUM(Chulitna!D$2:D$1048576)+SUM(Chulitna!I$2:I$1048576)</f>
        <v>0</v>
      </c>
      <c r="K15" s="9">
        <f>SUM(Chulitna!D$2:D$1048576)</f>
        <v>0</v>
      </c>
      <c r="L15" s="9">
        <f>SUMIFS(Chulitna!I$2:I$1048576, Chulitna!F$2:F$1048576, "&gt;1999", Chulitna!F$2:F$1048576, "&lt;3000")</f>
        <v>0</v>
      </c>
      <c r="M15" s="9">
        <f>SUMIFS(Chulitna!I$2:I$1048576, Chulitna!F$2:F$1048576, "&gt;2999", Chulitna!F$2:F$1048576, "&lt;4000")</f>
        <v>0</v>
      </c>
      <c r="N15" s="9">
        <f>SUMIFS(Chulitna!I$2:I$1048576, Chulitna!F$2:F$1048576, "&gt;3999", Chulitna!F$2:F$1048576, "&lt;5000")</f>
        <v>0</v>
      </c>
      <c r="O15" s="9">
        <f>SUMIFS(Chulitna!I$2:I$1048576, Chulitna!F$2:F$1048576, "&gt;4999", Chulitna!F$2:F$1048576, "&lt;6000")</f>
        <v>0</v>
      </c>
      <c r="P15" s="8">
        <f>Chulitna!A14</f>
        <v>0</v>
      </c>
      <c r="Q15" s="9">
        <f>Chulitna!A18</f>
        <v>0</v>
      </c>
      <c r="R15" t="str">
        <f t="shared" si="0"/>
        <v>OK</v>
      </c>
    </row>
    <row r="16" spans="1:18">
      <c r="A16" t="s">
        <v>85</v>
      </c>
      <c r="B16" t="s">
        <v>37</v>
      </c>
      <c r="C16" s="27" t="str">
        <f>HYPERLINK("#'Mcgrath'!A1","Mcgrath")</f>
        <v>Mcgrath</v>
      </c>
      <c r="D16">
        <f>COUNTA(Mcgrath!K$2:K$1048576)</f>
        <v>0</v>
      </c>
      <c r="E16">
        <f>Mcgrath!A12</f>
        <v>0</v>
      </c>
      <c r="F16">
        <f>Mcgrath!A6</f>
        <v>0</v>
      </c>
      <c r="G16">
        <f>Mcgrath!A8</f>
        <v>0</v>
      </c>
      <c r="H16">
        <f>Mcgrath!A10</f>
        <v>0</v>
      </c>
      <c r="I16">
        <f>COUNTA(Mcgrath!B$2:B$1048576)</f>
        <v>0</v>
      </c>
      <c r="J16" s="8">
        <f>SUM(Mcgrath!D$2:D$1048576)+SUM(Mcgrath!I$2:I$1048576)</f>
        <v>0</v>
      </c>
      <c r="K16" s="9">
        <f>SUM(Mcgrath!D$2:D$1048576)</f>
        <v>0</v>
      </c>
      <c r="L16" s="9">
        <f>SUMIFS(Mcgrath!I$2:I$1048576, Mcgrath!F$2:F$1048576, "&gt;1999", Mcgrath!F$2:F$1048576, "&lt;3000")</f>
        <v>0</v>
      </c>
      <c r="M16" s="9">
        <f>SUMIFS(Mcgrath!I$2:I$1048576, Mcgrath!F$2:F$1048576, "&gt;2999", Mcgrath!F$2:F$1048576, "&lt;4000")</f>
        <v>0</v>
      </c>
      <c r="N16" s="9">
        <f>SUMIFS(Mcgrath!I$2:I$1048576, Mcgrath!F$2:F$1048576, "&gt;3999", Mcgrath!F$2:F$1048576, "&lt;5000")</f>
        <v>0</v>
      </c>
      <c r="O16" s="9">
        <f>SUMIFS(Mcgrath!I$2:I$1048576, Mcgrath!F$2:F$1048576, "&gt;4999", Mcgrath!F$2:F$1048576, "&lt;6000")</f>
        <v>0</v>
      </c>
      <c r="P16" s="8">
        <f>Mcgrath!A14</f>
        <v>0</v>
      </c>
      <c r="Q16" s="9">
        <f>Mcgrath!A18</f>
        <v>0</v>
      </c>
      <c r="R16" t="str">
        <f t="shared" si="0"/>
        <v>OK</v>
      </c>
    </row>
    <row r="17" spans="1:18">
      <c r="A17" t="s">
        <v>85</v>
      </c>
      <c r="B17" t="s">
        <v>37</v>
      </c>
      <c r="C17" s="27" t="str">
        <f>HYPERLINK("#'Palmer'!A1","Palmer")</f>
        <v>Palmer</v>
      </c>
      <c r="D17">
        <f>COUNTA(Palmer!K$2:K$1048576)</f>
        <v>0</v>
      </c>
      <c r="E17">
        <f>Palmer!A12</f>
        <v>0</v>
      </c>
      <c r="F17">
        <f>Palmer!A6</f>
        <v>0</v>
      </c>
      <c r="G17">
        <f>Palmer!A8</f>
        <v>0</v>
      </c>
      <c r="H17">
        <f>Palmer!A10</f>
        <v>0</v>
      </c>
      <c r="I17">
        <f>COUNTA(Palmer!B$2:B$1048576)</f>
        <v>0</v>
      </c>
      <c r="J17" s="8">
        <f>SUM(Palmer!D$2:D$1048576)+SUM(Palmer!I$2:I$1048576)</f>
        <v>0</v>
      </c>
      <c r="K17" s="9">
        <f>SUM(Palmer!D$2:D$1048576)</f>
        <v>0</v>
      </c>
      <c r="L17" s="9">
        <f>SUMIFS(Palmer!I$2:I$1048576, Palmer!F$2:F$1048576, "&gt;1999", Palmer!F$2:F$1048576, "&lt;3000")</f>
        <v>0</v>
      </c>
      <c r="M17" s="9">
        <f>SUMIFS(Palmer!I$2:I$1048576, Palmer!F$2:F$1048576, "&gt;2999", Palmer!F$2:F$1048576, "&lt;4000")</f>
        <v>0</v>
      </c>
      <c r="N17" s="9">
        <f>SUMIFS(Palmer!I$2:I$1048576, Palmer!F$2:F$1048576, "&gt;3999", Palmer!F$2:F$1048576, "&lt;5000")</f>
        <v>0</v>
      </c>
      <c r="O17" s="9">
        <f>SUMIFS(Palmer!I$2:I$1048576, Palmer!F$2:F$1048576, "&gt;4999", Palmer!F$2:F$1048576, "&lt;6000")</f>
        <v>0</v>
      </c>
      <c r="P17" s="8">
        <f>Palmer!A14</f>
        <v>0</v>
      </c>
      <c r="Q17" s="9">
        <f>Palmer!A18</f>
        <v>0</v>
      </c>
      <c r="R17" t="str">
        <f t="shared" si="0"/>
        <v>OK</v>
      </c>
    </row>
    <row r="18" spans="1:18">
      <c r="A18" t="s">
        <v>85</v>
      </c>
      <c r="B18" t="s">
        <v>37</v>
      </c>
      <c r="C18" s="27" t="str">
        <f>HYPERLINK("#'Talkeetna'!A1","Talkeetna")</f>
        <v>Talkeetna</v>
      </c>
      <c r="D18">
        <f>COUNTA(Talkeetna!K$2:K$1048576)</f>
        <v>0</v>
      </c>
      <c r="E18">
        <f>Talkeetna!A12</f>
        <v>0</v>
      </c>
      <c r="F18">
        <f>Talkeetna!A6</f>
        <v>0</v>
      </c>
      <c r="G18">
        <f>Talkeetna!A8</f>
        <v>0</v>
      </c>
      <c r="H18">
        <f>Talkeetna!A10</f>
        <v>0</v>
      </c>
      <c r="I18">
        <f>COUNTA(Talkeetna!B$2:B$1048576)</f>
        <v>0</v>
      </c>
      <c r="J18" s="8">
        <f>SUM(Talkeetna!D$2:D$1048576)+SUM(Talkeetna!I$2:I$1048576)</f>
        <v>0</v>
      </c>
      <c r="K18" s="9">
        <f>SUM(Talkeetna!D$2:D$1048576)</f>
        <v>0</v>
      </c>
      <c r="L18" s="9">
        <f>SUMIFS(Talkeetna!I$2:I$1048576, Talkeetna!F$2:F$1048576, "&gt;1999", Talkeetna!F$2:F$1048576, "&lt;3000")</f>
        <v>0</v>
      </c>
      <c r="M18" s="9">
        <f>SUMIFS(Talkeetna!I$2:I$1048576, Talkeetna!F$2:F$1048576, "&gt;2999", Talkeetna!F$2:F$1048576, "&lt;4000")</f>
        <v>0</v>
      </c>
      <c r="N18" s="9">
        <f>SUMIFS(Talkeetna!I$2:I$1048576, Talkeetna!F$2:F$1048576, "&gt;3999", Talkeetna!F$2:F$1048576, "&lt;5000")</f>
        <v>0</v>
      </c>
      <c r="O18" s="9">
        <f>SUMIFS(Talkeetna!I$2:I$1048576, Talkeetna!F$2:F$1048576, "&gt;4999", Talkeetna!F$2:F$1048576, "&lt;6000")</f>
        <v>0</v>
      </c>
      <c r="P18" s="8">
        <f>Talkeetna!A14</f>
        <v>0</v>
      </c>
      <c r="Q18" s="9">
        <f>Talkeetna!A18</f>
        <v>0</v>
      </c>
      <c r="R18" t="str">
        <f t="shared" si="0"/>
        <v>OK</v>
      </c>
    </row>
    <row r="19" spans="1:18">
      <c r="A19" t="s">
        <v>85</v>
      </c>
      <c r="B19" t="s">
        <v>37</v>
      </c>
      <c r="C19" s="27" t="str">
        <f>HYPERLINK("#'Willow'!A1","Willow")</f>
        <v>Willow</v>
      </c>
      <c r="D19">
        <f>COUNTA(Willow!K$2:K$1048576)</f>
        <v>0</v>
      </c>
      <c r="E19">
        <f>Willow!A12</f>
        <v>0</v>
      </c>
      <c r="F19">
        <f>Willow!A6</f>
        <v>0</v>
      </c>
      <c r="G19">
        <f>Willow!A8</f>
        <v>0</v>
      </c>
      <c r="H19">
        <f>Willow!A10</f>
        <v>0</v>
      </c>
      <c r="I19">
        <f>COUNTA(Willow!B$2:B$1048576)</f>
        <v>0</v>
      </c>
      <c r="J19" s="8">
        <f>SUM(Willow!D$2:D$1048576)+SUM(Willow!I$2:I$1048576)</f>
        <v>0</v>
      </c>
      <c r="K19" s="9">
        <f>SUM(Willow!D$2:D$1048576)</f>
        <v>0</v>
      </c>
      <c r="L19" s="9">
        <f>SUMIFS(Willow!I$2:I$1048576, Willow!F$2:F$1048576, "&gt;1999", Willow!F$2:F$1048576, "&lt;3000")</f>
        <v>0</v>
      </c>
      <c r="M19" s="9">
        <f>SUMIFS(Willow!I$2:I$1048576, Willow!F$2:F$1048576, "&gt;2999", Willow!F$2:F$1048576, "&lt;4000")</f>
        <v>0</v>
      </c>
      <c r="N19" s="9">
        <f>SUMIFS(Willow!I$2:I$1048576, Willow!F$2:F$1048576, "&gt;3999", Willow!F$2:F$1048576, "&lt;5000")</f>
        <v>0</v>
      </c>
      <c r="O19" s="9">
        <f>SUMIFS(Willow!I$2:I$1048576, Willow!F$2:F$1048576, "&gt;4999", Willow!F$2:F$1048576, "&lt;6000")</f>
        <v>0</v>
      </c>
      <c r="P19" s="8">
        <f>Willow!A14</f>
        <v>0</v>
      </c>
      <c r="Q19" s="9">
        <f>Willow!A18</f>
        <v>0</v>
      </c>
      <c r="R19" t="str">
        <f t="shared" si="0"/>
        <v>OK</v>
      </c>
    </row>
    <row r="20" spans="1:18">
      <c r="A20" t="s">
        <v>85</v>
      </c>
      <c r="B20" t="s">
        <v>33</v>
      </c>
      <c r="C20" s="27" t="str">
        <f>HYPERLINK("#'Aniak'!A1","Aniak")</f>
        <v>Aniak</v>
      </c>
      <c r="D20">
        <f>COUNTA(Aniak!K$2:K$1048576)</f>
        <v>0</v>
      </c>
      <c r="E20">
        <f>Aniak!A12</f>
        <v>0</v>
      </c>
      <c r="F20">
        <f>Aniak!A6</f>
        <v>0</v>
      </c>
      <c r="G20">
        <f>Aniak!A8</f>
        <v>0</v>
      </c>
      <c r="H20">
        <f>Aniak!A10</f>
        <v>0</v>
      </c>
      <c r="I20">
        <f>COUNTA(Aniak!B$2:B$1048576)</f>
        <v>0</v>
      </c>
      <c r="J20" s="8">
        <f>SUM(Aniak!D$2:D$1048576)+SUM(Aniak!I$2:I$1048576)</f>
        <v>0</v>
      </c>
      <c r="K20" s="9">
        <f>SUM(Aniak!D$2:D$1048576)</f>
        <v>0</v>
      </c>
      <c r="L20" s="9">
        <f>SUMIFS(Aniak!I$2:I$1048576, Aniak!F$2:F$1048576, "&gt;1999", Aniak!F$2:F$1048576, "&lt;3000")</f>
        <v>0</v>
      </c>
      <c r="M20" s="9">
        <f>SUMIFS(Aniak!I$2:I$1048576, Aniak!F$2:F$1048576, "&gt;2999", Aniak!F$2:F$1048576, "&lt;4000")</f>
        <v>0</v>
      </c>
      <c r="N20" s="9">
        <f>SUMIFS(Aniak!I$2:I$1048576, Aniak!F$2:F$1048576, "&gt;3999", Aniak!F$2:F$1048576, "&lt;5000")</f>
        <v>0</v>
      </c>
      <c r="O20" s="9">
        <f>SUMIFS(Aniak!I$2:I$1048576, Aniak!F$2:F$1048576, "&gt;4999", Aniak!F$2:F$1048576, "&lt;6000")</f>
        <v>0</v>
      </c>
      <c r="P20" s="8">
        <f>Aniak!A14</f>
        <v>0</v>
      </c>
      <c r="Q20" s="9">
        <f>Aniak!A18</f>
        <v>0</v>
      </c>
      <c r="R20" t="str">
        <f t="shared" si="0"/>
        <v>OK</v>
      </c>
    </row>
    <row r="21" spans="1:18">
      <c r="A21" t="s">
        <v>85</v>
      </c>
      <c r="B21" t="s">
        <v>33</v>
      </c>
      <c r="C21" s="27" t="str">
        <f>HYPERLINK("#'Bethel'!A1","Bethel")</f>
        <v>Bethel</v>
      </c>
      <c r="D21">
        <f>COUNTA(Bethel!K$2:K$1048576)</f>
        <v>0</v>
      </c>
      <c r="E21">
        <f>Bethel!A12</f>
        <v>0</v>
      </c>
      <c r="F21">
        <f>Bethel!A6</f>
        <v>0</v>
      </c>
      <c r="G21">
        <f>Bethel!A8</f>
        <v>0</v>
      </c>
      <c r="H21">
        <f>Bethel!A10</f>
        <v>0</v>
      </c>
      <c r="I21">
        <f>COUNTA(Bethel!B$2:B$1048576)</f>
        <v>0</v>
      </c>
      <c r="J21" s="8">
        <f>SUM(Bethel!D$2:D$1048576)+SUM(Bethel!I$2:I$1048576)</f>
        <v>0</v>
      </c>
      <c r="K21" s="9">
        <f>SUM(Bethel!D$2:D$1048576)</f>
        <v>0</v>
      </c>
      <c r="L21" s="9">
        <f>SUMIFS(Bethel!I$2:I$1048576, Bethel!F$2:F$1048576, "&gt;1999", Bethel!F$2:F$1048576, "&lt;3000")</f>
        <v>0</v>
      </c>
      <c r="M21" s="9">
        <f>SUMIFS(Bethel!I$2:I$1048576, Bethel!F$2:F$1048576, "&gt;2999", Bethel!F$2:F$1048576, "&lt;4000")</f>
        <v>0</v>
      </c>
      <c r="N21" s="9">
        <f>SUMIFS(Bethel!I$2:I$1048576, Bethel!F$2:F$1048576, "&gt;3999", Bethel!F$2:F$1048576, "&lt;5000")</f>
        <v>0</v>
      </c>
      <c r="O21" s="9">
        <f>SUMIFS(Bethel!I$2:I$1048576, Bethel!F$2:F$1048576, "&gt;4999", Bethel!F$2:F$1048576, "&lt;6000")</f>
        <v>0</v>
      </c>
      <c r="P21" s="8">
        <f>Bethel!A14</f>
        <v>0</v>
      </c>
      <c r="Q21" s="9">
        <f>Bethel!A18</f>
        <v>0</v>
      </c>
      <c r="R21" t="str">
        <f t="shared" si="0"/>
        <v>OK</v>
      </c>
    </row>
    <row r="22" spans="1:18">
      <c r="A22" t="s">
        <v>85</v>
      </c>
      <c r="B22" t="s">
        <v>33</v>
      </c>
      <c r="C22" s="27" t="str">
        <f>HYPERLINK("#'Dillingham'!A1","Dillingham")</f>
        <v>Dillingham</v>
      </c>
      <c r="D22">
        <f>COUNTA(Dillingham!K$2:K$1048576)</f>
        <v>0</v>
      </c>
      <c r="E22">
        <f>Dillingham!A12</f>
        <v>0</v>
      </c>
      <c r="F22">
        <f>Dillingham!A6</f>
        <v>0</v>
      </c>
      <c r="G22">
        <f>Dillingham!A8</f>
        <v>0</v>
      </c>
      <c r="H22">
        <f>Dillingham!A10</f>
        <v>0</v>
      </c>
      <c r="I22">
        <f>COUNTA(Dillingham!B$2:B$1048576)</f>
        <v>0</v>
      </c>
      <c r="J22" s="8">
        <f>SUM(Dillingham!D$2:D$1048576)+SUM(Dillingham!I$2:I$1048576)</f>
        <v>0</v>
      </c>
      <c r="K22" s="9">
        <f>SUM(Dillingham!D$2:D$1048576)</f>
        <v>0</v>
      </c>
      <c r="L22" s="9">
        <f>SUMIFS(Dillingham!I$2:I$1048576, Dillingham!F$2:F$1048576, "&gt;1999", Dillingham!F$2:F$1048576, "&lt;3000")</f>
        <v>0</v>
      </c>
      <c r="M22" s="9">
        <f>SUMIFS(Dillingham!I$2:I$1048576, Dillingham!F$2:F$1048576, "&gt;2999", Dillingham!F$2:F$1048576, "&lt;4000")</f>
        <v>0</v>
      </c>
      <c r="N22" s="9">
        <f>SUMIFS(Dillingham!I$2:I$1048576, Dillingham!F$2:F$1048576, "&gt;3999", Dillingham!F$2:F$1048576, "&lt;5000")</f>
        <v>0</v>
      </c>
      <c r="O22" s="9">
        <f>SUMIFS(Dillingham!I$2:I$1048576, Dillingham!F$2:F$1048576, "&gt;4999", Dillingham!F$2:F$1048576, "&lt;6000")</f>
        <v>0</v>
      </c>
      <c r="P22" s="8">
        <f>Dillingham!A14</f>
        <v>0</v>
      </c>
      <c r="Q22" s="9">
        <f>Dillingham!A18</f>
        <v>0</v>
      </c>
      <c r="R22" t="str">
        <f t="shared" si="0"/>
        <v>OK</v>
      </c>
    </row>
    <row r="23" spans="1:18" s="4" customFormat="1">
      <c r="A23" s="4" t="s">
        <v>334</v>
      </c>
      <c r="B23" s="4" t="s">
        <v>346</v>
      </c>
      <c r="C23" s="40" t="str">
        <f>HYPERLINK("#'NR Other'!A1","NR Other")</f>
        <v>NR Other</v>
      </c>
      <c r="D23" s="4">
        <f>COUNTA('NR Other'!K$2:K$1048576)</f>
        <v>0</v>
      </c>
      <c r="E23" s="4">
        <f>'NR Other'!A12</f>
        <v>0</v>
      </c>
      <c r="F23" s="4">
        <f>'NR Other'!A6</f>
        <v>0</v>
      </c>
      <c r="G23" s="4">
        <f>'NR Other'!A8</f>
        <v>0</v>
      </c>
      <c r="H23" s="4">
        <f>'NR Other'!A10</f>
        <v>0</v>
      </c>
      <c r="I23" s="4">
        <f>COUNTA('NR Other'!B$2:B$1048576)</f>
        <v>0</v>
      </c>
      <c r="J23" s="10">
        <f>SUM('NR Other'!D$2:D$1048576)+SUM('NR Other'!I$2:I$1048576)</f>
        <v>0</v>
      </c>
      <c r="K23" s="11">
        <f>SUM('NR Other'!D$2:D$1048576)</f>
        <v>0</v>
      </c>
      <c r="L23" s="11">
        <f>SUMIFS('NR Other'!I$2:I$1048576, 'NR Other'!F$2:F$1048576, "&gt;1999", 'NR Other'!F$2:F$1048576, "&lt;3000")</f>
        <v>0</v>
      </c>
      <c r="M23" s="11">
        <f>SUMIFS('NR Other'!I$2:I$1048576, 'NR Other'!F$2:F$1048576, "&gt;2999", 'NR Other'!F$2:F$1048576, "&lt;4000")</f>
        <v>0</v>
      </c>
      <c r="N23" s="11">
        <f>SUMIFS('NR Other'!I$2:I$1048576, 'NR Other'!F$2:F$1048576, "&gt;3999", 'NR Other'!F$2:F$1048576, "&lt;5000")</f>
        <v>0</v>
      </c>
      <c r="O23" s="11">
        <f>SUMIFS('NR Other'!I$2:I$1048576, 'NR Other'!F$2:F$1048576, "&gt;4999", 'NR Other'!F$2:F$1048576, "&lt;6000")</f>
        <v>0</v>
      </c>
      <c r="P23" s="10">
        <f>'NR Other'!A14</f>
        <v>0</v>
      </c>
      <c r="Q23" s="11">
        <f>'NR Other'!A18</f>
        <v>0</v>
      </c>
      <c r="R23" t="str">
        <f t="shared" si="0"/>
        <v>OK</v>
      </c>
    </row>
    <row r="24" spans="1:18">
      <c r="A24" t="s">
        <v>334</v>
      </c>
      <c r="B24" t="s">
        <v>70</v>
      </c>
      <c r="C24" s="27" t="str">
        <f>HYPERLINK("#'Barrow'!A1","Barrow")</f>
        <v>Barrow</v>
      </c>
      <c r="D24">
        <f>COUNTA(Barrow!K$2:K$1048576)</f>
        <v>0</v>
      </c>
      <c r="E24">
        <f>Barrow!A12</f>
        <v>0</v>
      </c>
      <c r="F24">
        <f>Barrow!A6</f>
        <v>0</v>
      </c>
      <c r="G24">
        <f>Barrow!A8</f>
        <v>0</v>
      </c>
      <c r="H24">
        <f>Barrow!A10</f>
        <v>0</v>
      </c>
      <c r="I24">
        <f>COUNTA(Barrow!B$2:B$1048576)</f>
        <v>0</v>
      </c>
      <c r="J24" s="8">
        <f>SUM(Barrow!D$2:D$1048576)+SUM(Barrow!I$2:I$1048576)</f>
        <v>0</v>
      </c>
      <c r="K24" s="9">
        <f>SUM(Barrow!D$2:D$1048576)</f>
        <v>0</v>
      </c>
      <c r="L24" s="9">
        <f>SUMIFS(Barrow!I$2:I$1048576, Barrow!F$2:F$1048576, "&gt;1999", Barrow!F$2:F$1048576, "&lt;3000")</f>
        <v>0</v>
      </c>
      <c r="M24" s="9">
        <f>SUMIFS(Barrow!I$2:I$1048576, Barrow!F$2:F$1048576, "&gt;2999", Barrow!F$2:F$1048576, "&lt;4000")</f>
        <v>0</v>
      </c>
      <c r="N24" s="9">
        <f>SUMIFS(Barrow!I$2:I$1048576, Barrow!F$2:F$1048576, "&gt;3999", Barrow!F$2:F$1048576, "&lt;5000")</f>
        <v>0</v>
      </c>
      <c r="O24" s="9">
        <f>SUMIFS(Barrow!I$2:I$1048576, Barrow!F$2:F$1048576, "&gt;4999", Barrow!F$2:F$1048576, "&lt;6000")</f>
        <v>0</v>
      </c>
      <c r="P24" s="8">
        <f>Barrow!A14</f>
        <v>0</v>
      </c>
      <c r="Q24" s="9">
        <f>Barrow!A18</f>
        <v>0</v>
      </c>
      <c r="R24" t="str">
        <f t="shared" si="0"/>
        <v>OK</v>
      </c>
    </row>
    <row r="25" spans="1:18">
      <c r="A25" t="s">
        <v>334</v>
      </c>
      <c r="B25" t="s">
        <v>70</v>
      </c>
      <c r="C25" s="27" t="str">
        <f>HYPERLINK("#'Chandalar'!A1","Chandalar")</f>
        <v>Chandalar</v>
      </c>
      <c r="D25">
        <f>COUNTA(Chandalar!K$2:K$1048576)</f>
        <v>0</v>
      </c>
      <c r="E25">
        <f>Chandalar!A12</f>
        <v>0</v>
      </c>
      <c r="F25">
        <f>Chandalar!A6</f>
        <v>0</v>
      </c>
      <c r="G25">
        <f>Chandalar!A8</f>
        <v>0</v>
      </c>
      <c r="H25">
        <f>Chandalar!A10</f>
        <v>0</v>
      </c>
      <c r="I25">
        <f>COUNTA(Chandalar!B$2:B$1048576)</f>
        <v>0</v>
      </c>
      <c r="J25" s="8">
        <f>SUM(Chandalar!D$2:D$1048576)+SUM(Chandalar!I$2:I$1048576)</f>
        <v>0</v>
      </c>
      <c r="K25" s="9">
        <f>SUM(Chandalar!D$2:D$1048576)</f>
        <v>0</v>
      </c>
      <c r="L25" s="9">
        <f>SUMIFS(Chandalar!I$2:I$1048576, Chandalar!F$2:F$1048576, "&gt;1999", Chandalar!F$2:F$1048576, "&lt;3000")</f>
        <v>0</v>
      </c>
      <c r="M25" s="9">
        <f>SUMIFS(Chandalar!I$2:I$1048576, Chandalar!F$2:F$1048576, "&gt;2999", Chandalar!F$2:F$1048576, "&lt;4000")</f>
        <v>0</v>
      </c>
      <c r="N25" s="9">
        <f>SUMIFS(Chandalar!I$2:I$1048576, Chandalar!F$2:F$1048576, "&gt;3999", Chandalar!F$2:F$1048576, "&lt;5000")</f>
        <v>0</v>
      </c>
      <c r="O25" s="9">
        <f>SUMIFS(Chandalar!I$2:I$1048576, Chandalar!F$2:F$1048576, "&gt;4999", Chandalar!F$2:F$1048576, "&lt;6000")</f>
        <v>0</v>
      </c>
      <c r="P25" s="8">
        <f>Chandalar!A14</f>
        <v>0</v>
      </c>
      <c r="Q25" s="9">
        <f>Chandalar!A18</f>
        <v>0</v>
      </c>
      <c r="R25" t="str">
        <f t="shared" si="0"/>
        <v>OK</v>
      </c>
    </row>
    <row r="26" spans="1:18">
      <c r="A26" t="s">
        <v>334</v>
      </c>
      <c r="B26" t="s">
        <v>70</v>
      </c>
      <c r="C26" s="27" t="str">
        <f>HYPERLINK("#'Coldfoot'!A1","Coldfoot")</f>
        <v>Coldfoot</v>
      </c>
      <c r="D26">
        <f>COUNTA(Coldfoot!K$2:K$1048576)</f>
        <v>0</v>
      </c>
      <c r="E26">
        <f>Coldfoot!A12</f>
        <v>0</v>
      </c>
      <c r="F26">
        <f>Coldfoot!A6</f>
        <v>0</v>
      </c>
      <c r="G26">
        <f>Coldfoot!A8</f>
        <v>0</v>
      </c>
      <c r="H26">
        <f>Coldfoot!A10</f>
        <v>0</v>
      </c>
      <c r="I26">
        <f>COUNTA(Coldfoot!B$2:B$1048576)</f>
        <v>0</v>
      </c>
      <c r="J26" s="8">
        <f>SUM(Coldfoot!D$2:D$1048576)+SUM(Coldfoot!I$2:I$1048576)</f>
        <v>0</v>
      </c>
      <c r="K26" s="9">
        <f>SUM(Coldfoot!D$2:D$1048576)</f>
        <v>0</v>
      </c>
      <c r="L26" s="9">
        <f>SUMIFS(Coldfoot!I$2:I$1048576, Coldfoot!F$2:F$1048576, "&gt;1999", Coldfoot!F$2:F$1048576, "&lt;3000")</f>
        <v>0</v>
      </c>
      <c r="M26" s="9">
        <f>SUMIFS(Coldfoot!I$2:I$1048576, Coldfoot!F$2:F$1048576, "&gt;2999", Coldfoot!F$2:F$1048576, "&lt;4000")</f>
        <v>0</v>
      </c>
      <c r="N26" s="9">
        <f>SUMIFS(Coldfoot!I$2:I$1048576, Coldfoot!F$2:F$1048576, "&gt;3999", Coldfoot!F$2:F$1048576, "&lt;5000")</f>
        <v>0</v>
      </c>
      <c r="O26" s="9">
        <f>SUMIFS(Coldfoot!I$2:I$1048576, Coldfoot!F$2:F$1048576, "&gt;4999", Coldfoot!F$2:F$1048576, "&lt;6000")</f>
        <v>0</v>
      </c>
      <c r="P26" s="8">
        <f>Coldfoot!A14</f>
        <v>0</v>
      </c>
      <c r="Q26" s="9">
        <f>Coldfoot!A18</f>
        <v>0</v>
      </c>
      <c r="R26" t="str">
        <f t="shared" si="0"/>
        <v>OK</v>
      </c>
    </row>
    <row r="27" spans="1:18">
      <c r="A27" t="s">
        <v>334</v>
      </c>
      <c r="B27" t="s">
        <v>70</v>
      </c>
      <c r="C27" s="27" t="str">
        <f>HYPERLINK("#'Deadhorse'!A1","Deadhorse")</f>
        <v>Deadhorse</v>
      </c>
      <c r="D27">
        <f>COUNTA(Deadhorse!K$2:K$1048576)</f>
        <v>0</v>
      </c>
      <c r="E27">
        <f>Deadhorse!A12</f>
        <v>0</v>
      </c>
      <c r="F27">
        <f>Deadhorse!A6</f>
        <v>0</v>
      </c>
      <c r="G27">
        <f>Deadhorse!A8</f>
        <v>0</v>
      </c>
      <c r="H27">
        <f>Deadhorse!A10</f>
        <v>0</v>
      </c>
      <c r="I27">
        <f>COUNTA(Deadhorse!B$2:B$1048576)</f>
        <v>0</v>
      </c>
      <c r="J27" s="8">
        <f>SUM(Deadhorse!D$2:D$1048576)+SUM(Deadhorse!I$2:I$1048576)</f>
        <v>0</v>
      </c>
      <c r="K27" s="9">
        <f>SUM(Deadhorse!D$2:D$1048576)</f>
        <v>0</v>
      </c>
      <c r="L27" s="9">
        <f>SUMIFS(Deadhorse!I$2:I$1048576, Deadhorse!F$2:F$1048576, "&gt;1999", Deadhorse!F$2:F$1048576, "&lt;3000")</f>
        <v>0</v>
      </c>
      <c r="M27" s="9">
        <f>SUMIFS(Deadhorse!I$2:I$1048576, Deadhorse!F$2:F$1048576, "&gt;2999", Deadhorse!F$2:F$1048576, "&lt;4000")</f>
        <v>0</v>
      </c>
      <c r="N27" s="9">
        <f>SUMIFS(Deadhorse!I$2:I$1048576, Deadhorse!F$2:F$1048576, "&gt;3999", Deadhorse!F$2:F$1048576, "&lt;5000")</f>
        <v>0</v>
      </c>
      <c r="O27" s="9">
        <f>SUMIFS(Deadhorse!I$2:I$1048576, Deadhorse!F$2:F$1048576, "&gt;4999", Deadhorse!F$2:F$1048576, "&lt;6000")</f>
        <v>0</v>
      </c>
      <c r="P27" s="8">
        <f>Deadhorse!A14</f>
        <v>0</v>
      </c>
      <c r="Q27" s="9">
        <f>Deadhorse!A18</f>
        <v>0</v>
      </c>
      <c r="R27" t="str">
        <f t="shared" si="0"/>
        <v>OK</v>
      </c>
    </row>
    <row r="28" spans="1:18">
      <c r="A28" t="s">
        <v>334</v>
      </c>
      <c r="B28" t="s">
        <v>70</v>
      </c>
      <c r="C28" s="27" t="str">
        <f>HYPERLINK("#'Jim River'!A1","Jim River")</f>
        <v>Jim River</v>
      </c>
      <c r="D28">
        <f>COUNTA('Jim River'!K$2:K$1048576)</f>
        <v>0</v>
      </c>
      <c r="E28">
        <f>'Jim River'!A12</f>
        <v>0</v>
      </c>
      <c r="F28">
        <f>'Jim River'!A6</f>
        <v>0</v>
      </c>
      <c r="G28">
        <f>'Jim River'!A8</f>
        <v>0</v>
      </c>
      <c r="H28">
        <f>'Jim River'!A10</f>
        <v>0</v>
      </c>
      <c r="I28">
        <f>COUNTA('Jim River'!B$2:B$1048576)</f>
        <v>0</v>
      </c>
      <c r="J28" s="8">
        <f>SUM('Jim River'!D$2:D$1048576)+SUM('Jim River'!I$2:I$1048576)</f>
        <v>0</v>
      </c>
      <c r="K28" s="9">
        <f>SUM('Jim River'!D$2:D$1048576)</f>
        <v>0</v>
      </c>
      <c r="L28" s="9">
        <f>SUMIFS('Jim River'!I$2:I$1048576, 'Jim River'!F$2:F$1048576, "&gt;1999", 'Jim River'!F$2:F$1048576, "&lt;3000")</f>
        <v>0</v>
      </c>
      <c r="M28" s="9">
        <f>SUMIFS('Jim River'!I$2:I$1048576, 'Jim River'!F$2:F$1048576, "&gt;2999", 'Jim River'!F$2:F$1048576, "&lt;4000")</f>
        <v>0</v>
      </c>
      <c r="N28" s="9">
        <f>SUMIFS('Jim River'!I$2:I$1048576, 'Jim River'!F$2:F$1048576, "&gt;3999", 'Jim River'!F$2:F$1048576, "&lt;5000")</f>
        <v>0</v>
      </c>
      <c r="O28" s="9">
        <f>SUMIFS('Jim River'!I$2:I$1048576, 'Jim River'!F$2:F$1048576, "&gt;4999", 'Jim River'!F$2:F$1048576, "&lt;6000")</f>
        <v>0</v>
      </c>
      <c r="P28" s="8">
        <f>'Jim River'!A14</f>
        <v>0</v>
      </c>
      <c r="Q28" s="9">
        <f>'Jim River'!A18</f>
        <v>0</v>
      </c>
      <c r="R28" t="str">
        <f t="shared" si="0"/>
        <v>OK</v>
      </c>
    </row>
    <row r="29" spans="1:18">
      <c r="A29" t="s">
        <v>334</v>
      </c>
      <c r="B29" t="s">
        <v>70</v>
      </c>
      <c r="C29" s="27" t="str">
        <f>HYPERLINK("#'Livengood'!A1","Livengood")</f>
        <v>Livengood</v>
      </c>
      <c r="D29">
        <f>COUNTA(Livengood!K$2:K$1048576)</f>
        <v>0</v>
      </c>
      <c r="E29">
        <f>Livengood!A12</f>
        <v>0</v>
      </c>
      <c r="F29">
        <f>Livengood!A6</f>
        <v>0</v>
      </c>
      <c r="G29">
        <f>Livengood!A8</f>
        <v>0</v>
      </c>
      <c r="H29">
        <f>Livengood!A10</f>
        <v>0</v>
      </c>
      <c r="I29">
        <f>COUNTA(Livengood!B$2:B$1048576)</f>
        <v>0</v>
      </c>
      <c r="J29" s="8">
        <f>SUM(Livengood!D$2:D$1048576)+SUM(Livengood!I$2:I$1048576)</f>
        <v>0</v>
      </c>
      <c r="K29" s="9">
        <f>SUM(Livengood!D$2:D$1048576)</f>
        <v>0</v>
      </c>
      <c r="L29" s="9">
        <f>SUMIFS(Livengood!I$2:I$1048576, Livengood!F$2:F$1048576, "&gt;1999", Livengood!F$2:F$1048576, "&lt;3000")</f>
        <v>0</v>
      </c>
      <c r="M29" s="9">
        <f>SUMIFS(Livengood!I$2:I$1048576, Livengood!F$2:F$1048576, "&gt;2999", Livengood!F$2:F$1048576, "&lt;4000")</f>
        <v>0</v>
      </c>
      <c r="N29" s="9">
        <f>SUMIFS(Livengood!I$2:I$1048576, Livengood!F$2:F$1048576, "&gt;3999", Livengood!F$2:F$1048576, "&lt;5000")</f>
        <v>0</v>
      </c>
      <c r="O29" s="9">
        <f>SUMIFS(Livengood!I$2:I$1048576, Livengood!F$2:F$1048576, "&gt;4999", Livengood!F$2:F$1048576, "&lt;6000")</f>
        <v>0</v>
      </c>
      <c r="P29" s="8">
        <f>Livengood!A14</f>
        <v>0</v>
      </c>
      <c r="Q29" s="9">
        <f>Livengood!A18</f>
        <v>0</v>
      </c>
      <c r="R29" t="str">
        <f t="shared" si="0"/>
        <v>OK</v>
      </c>
    </row>
    <row r="30" spans="1:18">
      <c r="A30" t="s">
        <v>334</v>
      </c>
      <c r="B30" t="s">
        <v>70</v>
      </c>
      <c r="C30" s="27" t="str">
        <f>HYPERLINK("#'Manley Hot Springs'!A1","Manley Hot Springs")</f>
        <v>Manley Hot Springs</v>
      </c>
      <c r="D30">
        <f>COUNTA('Manley Hot Springs'!K$2:K$1048576)</f>
        <v>0</v>
      </c>
      <c r="E30">
        <f>'Manley Hot Springs'!A12</f>
        <v>0</v>
      </c>
      <c r="F30">
        <f>'Manley Hot Springs'!A6</f>
        <v>0</v>
      </c>
      <c r="G30">
        <f>'Manley Hot Springs'!A8</f>
        <v>0</v>
      </c>
      <c r="H30">
        <f>'Manley Hot Springs'!A10</f>
        <v>0</v>
      </c>
      <c r="I30">
        <f>COUNTA('Manley Hot Springs'!B$2:B$1048576)</f>
        <v>0</v>
      </c>
      <c r="J30" s="8">
        <f>SUM('Manley Hot Springs'!D$2:D$1048576)+SUM('Manley Hot Springs'!I$2:I$1048576)</f>
        <v>0</v>
      </c>
      <c r="K30" s="9">
        <f>SUM('Manley Hot Springs'!D$2:D$1048576)</f>
        <v>0</v>
      </c>
      <c r="L30" s="9">
        <f>SUMIFS('Manley Hot Springs'!I$2:I$1048576, 'Manley Hot Springs'!F$2:F$1048576, "&gt;1999", 'Manley Hot Springs'!F$2:F$1048576, "&lt;3000")</f>
        <v>0</v>
      </c>
      <c r="M30" s="9">
        <f>SUMIFS('Manley Hot Springs'!I$2:I$1048576, 'Manley Hot Springs'!F$2:F$1048576, "&gt;2999", 'Manley Hot Springs'!F$2:F$1048576, "&lt;4000")</f>
        <v>0</v>
      </c>
      <c r="N30" s="9">
        <f>SUMIFS('Manley Hot Springs'!I$2:I$1048576, 'Manley Hot Springs'!F$2:F$1048576, "&gt;3999", 'Manley Hot Springs'!F$2:F$1048576, "&lt;5000")</f>
        <v>0</v>
      </c>
      <c r="O30" s="9">
        <f>SUMIFS('Manley Hot Springs'!I$2:I$1048576, 'Manley Hot Springs'!F$2:F$1048576, "&gt;4999", 'Manley Hot Springs'!F$2:F$1048576, "&lt;6000")</f>
        <v>0</v>
      </c>
      <c r="P30" s="8">
        <f>'Manley Hot Springs'!A14</f>
        <v>0</v>
      </c>
      <c r="Q30" s="9">
        <f>'Manley Hot Springs'!A18</f>
        <v>0</v>
      </c>
      <c r="R30" t="str">
        <f t="shared" si="0"/>
        <v>OK</v>
      </c>
    </row>
    <row r="31" spans="1:18">
      <c r="A31" t="s">
        <v>334</v>
      </c>
      <c r="B31" t="s">
        <v>70</v>
      </c>
      <c r="C31" s="27" t="str">
        <f>HYPERLINK("#'Sag River'!A1","Sag River")</f>
        <v>Sag River</v>
      </c>
      <c r="D31">
        <f>COUNTA('Sag River'!K$2:K$1048576)</f>
        <v>0</v>
      </c>
      <c r="E31">
        <f>'Sag River'!A12</f>
        <v>0</v>
      </c>
      <c r="F31">
        <f>'Sag River'!A6</f>
        <v>0</v>
      </c>
      <c r="G31">
        <f>'Sag River'!A8</f>
        <v>0</v>
      </c>
      <c r="H31">
        <f>'Sag River'!A10</f>
        <v>0</v>
      </c>
      <c r="I31">
        <f>COUNTA('Sag River'!B$2:B$1048576)</f>
        <v>0</v>
      </c>
      <c r="J31" s="8">
        <f>SUM('Sag River'!D$2:D$1048576)+SUM('Sag River'!I$2:I$1048576)</f>
        <v>0</v>
      </c>
      <c r="K31" s="9">
        <f>SUM('Sag River'!D$2:D$1048576)</f>
        <v>0</v>
      </c>
      <c r="L31" s="9">
        <f>SUMIFS('Sag River'!I$2:I$1048576, 'Sag River'!F$2:F$1048576, "&gt;1999", 'Sag River'!F$2:F$1048576, "&lt;3000")</f>
        <v>0</v>
      </c>
      <c r="M31" s="9">
        <f>SUMIFS('Sag River'!I$2:I$1048576, 'Sag River'!F$2:F$1048576, "&gt;2999", 'Sag River'!F$2:F$1048576, "&lt;4000")</f>
        <v>0</v>
      </c>
      <c r="N31" s="9">
        <f>SUMIFS('Sag River'!I$2:I$1048576, 'Sag River'!F$2:F$1048576, "&gt;3999", 'Sag River'!F$2:F$1048576, "&lt;5000")</f>
        <v>0</v>
      </c>
      <c r="O31" s="9">
        <f>SUMIFS('Sag River'!I$2:I$1048576, 'Sag River'!F$2:F$1048576, "&gt;4999", 'Sag River'!F$2:F$1048576, "&lt;6000")</f>
        <v>0</v>
      </c>
      <c r="P31" s="8">
        <f>'Sag River'!A14</f>
        <v>0</v>
      </c>
      <c r="Q31" s="9">
        <f>'Sag River'!A18</f>
        <v>0</v>
      </c>
      <c r="R31" t="str">
        <f t="shared" si="0"/>
        <v>OK</v>
      </c>
    </row>
    <row r="32" spans="1:18">
      <c r="A32" t="s">
        <v>334</v>
      </c>
      <c r="B32" t="s">
        <v>70</v>
      </c>
      <c r="C32" s="27" t="str">
        <f>HYPERLINK("#'Seven Mile'!A1","Seven Mile")</f>
        <v>Seven Mile</v>
      </c>
      <c r="D32">
        <f>COUNTA('Seven Mile'!K$2:K$1048576)</f>
        <v>0</v>
      </c>
      <c r="E32">
        <f>'Seven Mile'!A12</f>
        <v>0</v>
      </c>
      <c r="F32">
        <f>'Seven Mile'!A6</f>
        <v>0</v>
      </c>
      <c r="G32">
        <f>'Seven Mile'!A8</f>
        <v>0</v>
      </c>
      <c r="H32">
        <f>'Seven Mile'!A10</f>
        <v>0</v>
      </c>
      <c r="I32">
        <f>COUNTA('Seven Mile'!B$2:B$1048576)</f>
        <v>0</v>
      </c>
      <c r="J32" s="8">
        <f>SUM('Seven Mile'!D$2:D$1048576)+SUM('Seven Mile'!I$2:I$1048576)</f>
        <v>0</v>
      </c>
      <c r="K32" s="9">
        <f>SUM('Seven Mile'!D$2:D$1048576)</f>
        <v>0</v>
      </c>
      <c r="L32" s="9">
        <f>SUMIFS('Seven Mile'!I$2:I$1048576, 'Seven Mile'!F$2:F$1048576, "&gt;1999", 'Seven Mile'!F$2:F$1048576, "&lt;3000")</f>
        <v>0</v>
      </c>
      <c r="M32" s="9">
        <f>SUMIFS('Seven Mile'!I$2:I$1048576, 'Seven Mile'!F$2:F$1048576, "&gt;2999", 'Seven Mile'!F$2:F$1048576, "&lt;4000")</f>
        <v>0</v>
      </c>
      <c r="N32" s="9">
        <f>SUMIFS('Seven Mile'!I$2:I$1048576, 'Seven Mile'!F$2:F$1048576, "&gt;3999", 'Seven Mile'!F$2:F$1048576, "&lt;5000")</f>
        <v>0</v>
      </c>
      <c r="O32" s="9">
        <f>SUMIFS('Seven Mile'!I$2:I$1048576, 'Seven Mile'!F$2:F$1048576, "&gt;4999", 'Seven Mile'!F$2:F$1048576, "&lt;6000")</f>
        <v>0</v>
      </c>
      <c r="P32" s="8">
        <f>'Seven Mile'!A14</f>
        <v>0</v>
      </c>
      <c r="Q32" s="9">
        <f>'Seven Mile'!A18</f>
        <v>0</v>
      </c>
      <c r="R32" t="str">
        <f t="shared" si="0"/>
        <v>OK</v>
      </c>
    </row>
    <row r="33" spans="1:18">
      <c r="A33" t="s">
        <v>334</v>
      </c>
      <c r="B33" t="s">
        <v>90</v>
      </c>
      <c r="C33" s="27" t="str">
        <f>HYPERLINK("#'Cantwell'!A1","Cantwell")</f>
        <v>Cantwell</v>
      </c>
      <c r="D33">
        <f>COUNTA(Cantwell!K$2:K$1048576)</f>
        <v>0</v>
      </c>
      <c r="E33">
        <f>Cantwell!A12</f>
        <v>0</v>
      </c>
      <c r="F33">
        <f>Cantwell!A6</f>
        <v>0</v>
      </c>
      <c r="G33">
        <f>Cantwell!A8</f>
        <v>0</v>
      </c>
      <c r="H33">
        <f>Cantwell!A10</f>
        <v>0</v>
      </c>
      <c r="I33">
        <f>COUNTA(Cantwell!B$2:B$1048576)</f>
        <v>0</v>
      </c>
      <c r="J33" s="8">
        <f>SUM(Cantwell!D$2:D$1048576)+SUM(Cantwell!I$2:I$1048576)</f>
        <v>0</v>
      </c>
      <c r="K33" s="9">
        <f>SUM(Cantwell!D$2:D$1048576)</f>
        <v>0</v>
      </c>
      <c r="L33" s="9">
        <f>SUMIFS(Cantwell!I$2:I$1048576, Cantwell!F$2:F$1048576, "&gt;1999", Cantwell!F$2:F$1048576, "&lt;3000")</f>
        <v>0</v>
      </c>
      <c r="M33" s="9">
        <f>SUMIFS(Cantwell!I$2:I$1048576, Cantwell!F$2:F$1048576, "&gt;2999", Cantwell!F$2:F$1048576, "&lt;4000")</f>
        <v>0</v>
      </c>
      <c r="N33" s="9">
        <f>SUMIFS(Cantwell!I$2:I$1048576, Cantwell!F$2:F$1048576, "&gt;3999", Cantwell!F$2:F$1048576, "&lt;5000")</f>
        <v>0</v>
      </c>
      <c r="O33" s="9">
        <f>SUMIFS(Cantwell!I$2:I$1048576, Cantwell!F$2:F$1048576, "&gt;4999", Cantwell!F$2:F$1048576, "&lt;6000")</f>
        <v>0</v>
      </c>
      <c r="P33" s="8">
        <f>Cantwell!A14</f>
        <v>0</v>
      </c>
      <c r="Q33" s="9">
        <f>Cantwell!A18</f>
        <v>0</v>
      </c>
      <c r="R33" t="str">
        <f t="shared" si="0"/>
        <v>OK</v>
      </c>
    </row>
    <row r="34" spans="1:18">
      <c r="A34" t="s">
        <v>334</v>
      </c>
      <c r="B34" t="s">
        <v>90</v>
      </c>
      <c r="C34" s="27" t="str">
        <f>HYPERLINK("#'Healy'!A1","Healy")</f>
        <v>Healy</v>
      </c>
      <c r="D34">
        <f>COUNTA(Healy!K$2:K$1048576)</f>
        <v>0</v>
      </c>
      <c r="E34">
        <f>Healy!A12</f>
        <v>0</v>
      </c>
      <c r="F34">
        <f>Healy!A6</f>
        <v>0</v>
      </c>
      <c r="G34">
        <f>Healy!A8</f>
        <v>0</v>
      </c>
      <c r="H34">
        <f>Healy!A10</f>
        <v>0</v>
      </c>
      <c r="I34">
        <f>COUNTA(Healy!B$2:B$1048576)</f>
        <v>0</v>
      </c>
      <c r="J34" s="8">
        <f>SUM(Healy!D$2:D$1048576)+SUM(Healy!I$2:I$1048576)</f>
        <v>0</v>
      </c>
      <c r="K34" s="9">
        <f>SUM(Healy!D$2:D$1048576)</f>
        <v>0</v>
      </c>
      <c r="L34" s="9">
        <f>SUMIFS(Healy!I$2:I$1048576, Healy!F$2:F$1048576, "&gt;1999", Healy!F$2:F$1048576, "&lt;3000")</f>
        <v>0</v>
      </c>
      <c r="M34" s="9">
        <f>SUMIFS(Healy!I$2:I$1048576, Healy!F$2:F$1048576, "&gt;2999", Healy!F$2:F$1048576, "&lt;4000")</f>
        <v>0</v>
      </c>
      <c r="N34" s="9">
        <f>SUMIFS(Healy!I$2:I$1048576, Healy!F$2:F$1048576, "&gt;3999", Healy!F$2:F$1048576, "&lt;5000")</f>
        <v>0</v>
      </c>
      <c r="O34" s="9">
        <f>SUMIFS(Healy!I$2:I$1048576, Healy!F$2:F$1048576, "&gt;4999", Healy!F$2:F$1048576, "&lt;6000")</f>
        <v>0</v>
      </c>
      <c r="P34" s="8">
        <f>Healy!A14</f>
        <v>0</v>
      </c>
      <c r="Q34" s="9">
        <f>Healy!A18</f>
        <v>0</v>
      </c>
      <c r="R34" t="str">
        <f t="shared" ref="R34:R65" si="1">IF(SUM(K34:O34)=J34,"OK","&gt;&gt;ERROR&lt;&lt;")</f>
        <v>OK</v>
      </c>
    </row>
    <row r="35" spans="1:18">
      <c r="A35" t="s">
        <v>334</v>
      </c>
      <c r="B35" t="s">
        <v>90</v>
      </c>
      <c r="C35" s="27" t="str">
        <f>HYPERLINK("#'Nenana'!A1","Nenana")</f>
        <v>Nenana</v>
      </c>
      <c r="D35">
        <f>COUNTA(Nenana!K$2:K$1048576)</f>
        <v>0</v>
      </c>
      <c r="E35">
        <f>Nenana!A12</f>
        <v>0</v>
      </c>
      <c r="F35">
        <f>Nenana!A6</f>
        <v>0</v>
      </c>
      <c r="G35">
        <f>Nenana!A8</f>
        <v>0</v>
      </c>
      <c r="H35">
        <f>Nenana!A10</f>
        <v>0</v>
      </c>
      <c r="I35">
        <f>COUNTA(Nenana!B$2:B$1048576)</f>
        <v>0</v>
      </c>
      <c r="J35" s="8">
        <f>SUM(Nenana!D$2:D$1048576)+SUM(Nenana!I$2:I$1048576)</f>
        <v>0</v>
      </c>
      <c r="K35" s="9">
        <f>SUM(Nenana!D$2:D$1048576)</f>
        <v>0</v>
      </c>
      <c r="L35" s="9">
        <f>SUMIFS(Nenana!I$2:I$1048576, Nenana!F$2:F$1048576, "&gt;1999", Nenana!F$2:F$1048576, "&lt;3000")</f>
        <v>0</v>
      </c>
      <c r="M35" s="9">
        <f>SUMIFS(Nenana!I$2:I$1048576, Nenana!F$2:F$1048576, "&gt;2999", Nenana!F$2:F$1048576, "&lt;4000")</f>
        <v>0</v>
      </c>
      <c r="N35" s="9">
        <f>SUMIFS(Nenana!I$2:I$1048576, Nenana!F$2:F$1048576, "&gt;3999", Nenana!F$2:F$1048576, "&lt;5000")</f>
        <v>0</v>
      </c>
      <c r="O35" s="9">
        <f>SUMIFS(Nenana!I$2:I$1048576, Nenana!F$2:F$1048576, "&gt;4999", Nenana!F$2:F$1048576, "&lt;6000")</f>
        <v>0</v>
      </c>
      <c r="P35" s="8">
        <f>Nenana!A14</f>
        <v>0</v>
      </c>
      <c r="Q35" s="9">
        <f>Nenana!A18</f>
        <v>0</v>
      </c>
      <c r="R35" t="str">
        <f t="shared" si="1"/>
        <v>OK</v>
      </c>
    </row>
    <row r="36" spans="1:18">
      <c r="A36" t="s">
        <v>334</v>
      </c>
      <c r="B36" t="s">
        <v>86</v>
      </c>
      <c r="C36" s="27" t="str">
        <f>HYPERLINK("#'Birch Lake'!A1","Birch Lake")</f>
        <v>Birch Lake</v>
      </c>
      <c r="D36">
        <f>COUNTA('Birch Lake'!K$2:K$1048576)</f>
        <v>0</v>
      </c>
      <c r="E36">
        <f>'Birch Lake'!A12</f>
        <v>0</v>
      </c>
      <c r="F36">
        <f>'Birch Lake'!A6</f>
        <v>0</v>
      </c>
      <c r="G36">
        <f>'Birch Lake'!A8</f>
        <v>0</v>
      </c>
      <c r="H36">
        <f>'Birch Lake'!A10</f>
        <v>0</v>
      </c>
      <c r="I36">
        <f>COUNTA('Birch Lake'!B$2:B$1048576)</f>
        <v>0</v>
      </c>
      <c r="J36" s="8">
        <f>SUM('Birch Lake'!D$2:D$1048576)+SUM('Birch Lake'!I$2:I$1048576)</f>
        <v>0</v>
      </c>
      <c r="K36" s="9">
        <f>SUM('Birch Lake'!D$2:D$1048576)</f>
        <v>0</v>
      </c>
      <c r="L36" s="9">
        <f>SUMIFS('Birch Lake'!I$2:I$1048576, 'Birch Lake'!F$2:F$1048576, "&gt;1999", 'Birch Lake'!F$2:F$1048576, "&lt;3000")</f>
        <v>0</v>
      </c>
      <c r="M36" s="9">
        <f>SUMIFS('Birch Lake'!I$2:I$1048576, 'Birch Lake'!F$2:F$1048576, "&gt;2999", 'Birch Lake'!F$2:F$1048576, "&lt;4000")</f>
        <v>0</v>
      </c>
      <c r="N36" s="9">
        <f>SUMIFS('Birch Lake'!I$2:I$1048576, 'Birch Lake'!F$2:F$1048576, "&gt;3999", 'Birch Lake'!F$2:F$1048576, "&lt;5000")</f>
        <v>0</v>
      </c>
      <c r="O36" s="9">
        <f>SUMIFS('Birch Lake'!I$2:I$1048576, 'Birch Lake'!F$2:F$1048576, "&gt;4999", 'Birch Lake'!F$2:F$1048576, "&lt;6000")</f>
        <v>0</v>
      </c>
      <c r="P36" s="8">
        <f>'Birch Lake'!A14</f>
        <v>0</v>
      </c>
      <c r="Q36" s="9">
        <f>'Birch Lake'!A18</f>
        <v>0</v>
      </c>
      <c r="R36" t="str">
        <f t="shared" si="1"/>
        <v>OK</v>
      </c>
    </row>
    <row r="37" spans="1:18">
      <c r="A37" t="s">
        <v>334</v>
      </c>
      <c r="B37" t="s">
        <v>86</v>
      </c>
      <c r="C37" s="27" t="str">
        <f>HYPERLINK("#'Central'!A1","Central")</f>
        <v>Central</v>
      </c>
      <c r="D37">
        <f>COUNTA(Central!K$2:K$1048576)</f>
        <v>0</v>
      </c>
      <c r="E37">
        <f>Central!A12</f>
        <v>0</v>
      </c>
      <c r="F37">
        <f>Central!A6</f>
        <v>0</v>
      </c>
      <c r="G37">
        <f>Central!A8</f>
        <v>0</v>
      </c>
      <c r="H37">
        <f>Central!A10</f>
        <v>0</v>
      </c>
      <c r="I37">
        <f>COUNTA(Central!B$2:B$1048576)</f>
        <v>0</v>
      </c>
      <c r="J37" s="8">
        <f>SUM(Central!D$2:D$1048576)+SUM(Central!I$2:I$1048576)</f>
        <v>0</v>
      </c>
      <c r="K37" s="9">
        <f>SUM(Central!D$2:D$1048576)</f>
        <v>0</v>
      </c>
      <c r="L37" s="9">
        <f>SUMIFS(Central!I$2:I$1048576, Central!F$2:F$1048576, "&gt;1999", Central!F$2:F$1048576, "&lt;3000")</f>
        <v>0</v>
      </c>
      <c r="M37" s="9">
        <f>SUMIFS(Central!I$2:I$1048576, Central!F$2:F$1048576, "&gt;2999", Central!F$2:F$1048576, "&lt;4000")</f>
        <v>0</v>
      </c>
      <c r="N37" s="9">
        <f>SUMIFS(Central!I$2:I$1048576, Central!F$2:F$1048576, "&gt;3999", Central!F$2:F$1048576, "&lt;5000")</f>
        <v>0</v>
      </c>
      <c r="O37" s="9">
        <f>SUMIFS(Central!I$2:I$1048576, Central!F$2:F$1048576, "&gt;4999", Central!F$2:F$1048576, "&lt;6000")</f>
        <v>0</v>
      </c>
      <c r="P37" s="8">
        <f>Central!A14</f>
        <v>0</v>
      </c>
      <c r="Q37" s="9">
        <f>Central!A18</f>
        <v>0</v>
      </c>
      <c r="R37" t="str">
        <f t="shared" si="1"/>
        <v>OK</v>
      </c>
    </row>
    <row r="38" spans="1:18">
      <c r="A38" t="s">
        <v>334</v>
      </c>
      <c r="B38" t="s">
        <v>86</v>
      </c>
      <c r="C38" s="27" t="str">
        <f>HYPERLINK("#'Fairbanks'!A1","Fairbanks")</f>
        <v>Fairbanks</v>
      </c>
      <c r="D38">
        <f>COUNTA(Fairbanks!K$2:K$1048576)</f>
        <v>0</v>
      </c>
      <c r="E38">
        <f>Fairbanks!A12</f>
        <v>0</v>
      </c>
      <c r="F38">
        <f>Fairbanks!A6</f>
        <v>0</v>
      </c>
      <c r="G38">
        <f>Fairbanks!A8</f>
        <v>0</v>
      </c>
      <c r="H38">
        <f>Fairbanks!A10</f>
        <v>0</v>
      </c>
      <c r="I38">
        <f>COUNTA(Fairbanks!B$2:B$1048576)</f>
        <v>0</v>
      </c>
      <c r="J38" s="8">
        <f>SUM(Fairbanks!D$2:D$1048576)+SUM(Fairbanks!I$2:I$1048576)</f>
        <v>0</v>
      </c>
      <c r="K38" s="9">
        <f>SUM(Fairbanks!D$2:D$1048576)</f>
        <v>0</v>
      </c>
      <c r="L38" s="9">
        <f>SUMIFS(Fairbanks!I$2:I$1048576, Fairbanks!F$2:F$1048576, "&gt;1999", Fairbanks!F$2:F$1048576, "&lt;3000")</f>
        <v>0</v>
      </c>
      <c r="M38" s="9">
        <f>SUMIFS(Fairbanks!I$2:I$1048576, Fairbanks!F$2:F$1048576, "&gt;2999", Fairbanks!F$2:F$1048576, "&lt;4000")</f>
        <v>0</v>
      </c>
      <c r="N38" s="9">
        <f>SUMIFS(Fairbanks!I$2:I$1048576, Fairbanks!F$2:F$1048576, "&gt;3999", Fairbanks!F$2:F$1048576, "&lt;5000")</f>
        <v>0</v>
      </c>
      <c r="O38" s="9">
        <f>SUMIFS(Fairbanks!I$2:I$1048576, Fairbanks!F$2:F$1048576, "&gt;4999", Fairbanks!F$2:F$1048576, "&lt;6000")</f>
        <v>0</v>
      </c>
      <c r="P38" s="8">
        <f>Fairbanks!A14</f>
        <v>0</v>
      </c>
      <c r="Q38" s="9">
        <f>Fairbanks!A18</f>
        <v>0</v>
      </c>
      <c r="R38" t="str">
        <f t="shared" si="1"/>
        <v>OK</v>
      </c>
    </row>
    <row r="39" spans="1:18">
      <c r="A39" t="s">
        <v>334</v>
      </c>
      <c r="B39" t="s">
        <v>86</v>
      </c>
      <c r="C39" s="27" t="str">
        <f>HYPERLINK("#'Montana Creek'!A1","Montana Creek")</f>
        <v>Montana Creek</v>
      </c>
      <c r="D39">
        <f>COUNTA('Montana Creek'!K$2:K$1048576)</f>
        <v>0</v>
      </c>
      <c r="E39">
        <f>'Montana Creek'!A12</f>
        <v>0</v>
      </c>
      <c r="F39">
        <f>'Montana Creek'!A6</f>
        <v>0</v>
      </c>
      <c r="G39">
        <f>'Montana Creek'!A8</f>
        <v>0</v>
      </c>
      <c r="H39">
        <f>'Montana Creek'!A10</f>
        <v>0</v>
      </c>
      <c r="I39">
        <f>COUNTA('Montana Creek'!B$2:B$1048576)</f>
        <v>0</v>
      </c>
      <c r="J39" s="8">
        <f>SUM('Montana Creek'!D$2:D$1048576)+SUM('Montana Creek'!I$2:I$1048576)</f>
        <v>0</v>
      </c>
      <c r="K39" s="9">
        <f>SUM('Montana Creek'!D$2:D$1048576)</f>
        <v>0</v>
      </c>
      <c r="L39" s="9">
        <f>SUMIFS('Montana Creek'!I$2:I$1048576, 'Montana Creek'!F$2:F$1048576, "&gt;1999", 'Montana Creek'!F$2:F$1048576, "&lt;3000")</f>
        <v>0</v>
      </c>
      <c r="M39" s="9">
        <f>SUMIFS('Montana Creek'!I$2:I$1048576, 'Montana Creek'!F$2:F$1048576, "&gt;2999", 'Montana Creek'!F$2:F$1048576, "&lt;4000")</f>
        <v>0</v>
      </c>
      <c r="N39" s="9">
        <f>SUMIFS('Montana Creek'!I$2:I$1048576, 'Montana Creek'!F$2:F$1048576, "&gt;3999", 'Montana Creek'!F$2:F$1048576, "&lt;5000")</f>
        <v>0</v>
      </c>
      <c r="O39" s="9">
        <f>SUMIFS('Montana Creek'!I$2:I$1048576, 'Montana Creek'!F$2:F$1048576, "&gt;4999", 'Montana Creek'!F$2:F$1048576, "&lt;6000")</f>
        <v>0</v>
      </c>
      <c r="P39" s="8">
        <f>'Montana Creek'!A14</f>
        <v>0</v>
      </c>
      <c r="Q39" s="9">
        <f>'Montana Creek'!A18</f>
        <v>0</v>
      </c>
      <c r="R39" t="str">
        <f t="shared" si="1"/>
        <v>OK</v>
      </c>
    </row>
    <row r="40" spans="1:18">
      <c r="A40" t="s">
        <v>334</v>
      </c>
      <c r="B40" t="s">
        <v>61</v>
      </c>
      <c r="C40" s="27" t="str">
        <f>HYPERLINK("#'Galena'!A1","Galena")</f>
        <v>Galena</v>
      </c>
      <c r="D40">
        <f>COUNTA(Galena!K$2:K$1048576)</f>
        <v>0</v>
      </c>
      <c r="E40">
        <f>Galena!A12</f>
        <v>0</v>
      </c>
      <c r="F40">
        <f>Galena!A6</f>
        <v>0</v>
      </c>
      <c r="G40">
        <f>Galena!A8</f>
        <v>0</v>
      </c>
      <c r="H40">
        <f>Galena!A10</f>
        <v>0</v>
      </c>
      <c r="I40">
        <f>COUNTA(Galena!B$2:B$1048576)</f>
        <v>0</v>
      </c>
      <c r="J40" s="8">
        <f>SUM(Galena!D$2:D$1048576)+SUM(Galena!I$2:I$1048576)</f>
        <v>0</v>
      </c>
      <c r="K40" s="9">
        <f>SUM(Galena!D$2:D$1048576)</f>
        <v>0</v>
      </c>
      <c r="L40" s="9">
        <f>SUMIFS(Galena!I$2:I$1048576, Galena!F$2:F$1048576, "&gt;1999", Galena!F$2:F$1048576, "&lt;3000")</f>
        <v>0</v>
      </c>
      <c r="M40" s="9">
        <f>SUMIFS(Galena!I$2:I$1048576, Galena!F$2:F$1048576, "&gt;2999", Galena!F$2:F$1048576, "&lt;4000")</f>
        <v>0</v>
      </c>
      <c r="N40" s="9">
        <f>SUMIFS(Galena!I$2:I$1048576, Galena!F$2:F$1048576, "&gt;3999", Galena!F$2:F$1048576, "&lt;5000")</f>
        <v>0</v>
      </c>
      <c r="O40" s="9">
        <f>SUMIFS(Galena!I$2:I$1048576, Galena!F$2:F$1048576, "&gt;4999", Galena!F$2:F$1048576, "&lt;6000")</f>
        <v>0</v>
      </c>
      <c r="P40" s="8">
        <f>Galena!A14</f>
        <v>0</v>
      </c>
      <c r="Q40" s="9">
        <f>Galena!A18</f>
        <v>0</v>
      </c>
      <c r="R40" t="str">
        <f t="shared" si="1"/>
        <v>OK</v>
      </c>
    </row>
    <row r="41" spans="1:18">
      <c r="A41" t="s">
        <v>334</v>
      </c>
      <c r="B41" t="s">
        <v>80</v>
      </c>
      <c r="C41" s="27" t="str">
        <f>HYPERLINK("#'Ernestine'!A1","Ernestine")</f>
        <v>Ernestine</v>
      </c>
      <c r="D41">
        <f>COUNTA(Ernestine!K$2:K$1048576)</f>
        <v>0</v>
      </c>
      <c r="E41">
        <f>Ernestine!A12</f>
        <v>0</v>
      </c>
      <c r="F41">
        <f>Ernestine!A6</f>
        <v>0</v>
      </c>
      <c r="G41">
        <f>Ernestine!A8</f>
        <v>0</v>
      </c>
      <c r="H41">
        <f>Ernestine!A10</f>
        <v>0</v>
      </c>
      <c r="I41">
        <f>COUNTA(Ernestine!B$2:B$1048576)</f>
        <v>0</v>
      </c>
      <c r="J41" s="8">
        <f>SUM(Ernestine!D$2:D$1048576)+SUM(Ernestine!I$2:I$1048576)</f>
        <v>0</v>
      </c>
      <c r="K41" s="9">
        <f>SUM(Ernestine!D$2:D$1048576)</f>
        <v>0</v>
      </c>
      <c r="L41" s="9">
        <f>SUMIFS(Ernestine!I$2:I$1048576, Ernestine!F$2:F$1048576, "&gt;1999", Ernestine!F$2:F$1048576, "&lt;3000")</f>
        <v>0</v>
      </c>
      <c r="M41" s="9">
        <f>SUMIFS(Ernestine!I$2:I$1048576, Ernestine!F$2:F$1048576, "&gt;2999", Ernestine!F$2:F$1048576, "&lt;4000")</f>
        <v>0</v>
      </c>
      <c r="N41" s="9">
        <f>SUMIFS(Ernestine!I$2:I$1048576, Ernestine!F$2:F$1048576, "&gt;3999", Ernestine!F$2:F$1048576, "&lt;5000")</f>
        <v>0</v>
      </c>
      <c r="O41" s="9">
        <f>SUMIFS(Ernestine!I$2:I$1048576, Ernestine!F$2:F$1048576, "&gt;4999", Ernestine!F$2:F$1048576, "&lt;6000")</f>
        <v>0</v>
      </c>
      <c r="P41" s="8">
        <f>Ernestine!A14</f>
        <v>0</v>
      </c>
      <c r="Q41" s="9">
        <f>Ernestine!A18</f>
        <v>0</v>
      </c>
      <c r="R41" t="str">
        <f t="shared" si="1"/>
        <v>OK</v>
      </c>
    </row>
    <row r="42" spans="1:18">
      <c r="A42" t="s">
        <v>334</v>
      </c>
      <c r="B42" t="s">
        <v>80</v>
      </c>
      <c r="C42" s="27" t="str">
        <f>HYPERLINK("#'Nelchina'!A1","Nelchina")</f>
        <v>Nelchina</v>
      </c>
      <c r="D42">
        <f>COUNTA(Nelchina!K$2:K$1048576)</f>
        <v>0</v>
      </c>
      <c r="E42">
        <f>Nelchina!A12</f>
        <v>0</v>
      </c>
      <c r="F42">
        <f>Nelchina!A6</f>
        <v>0</v>
      </c>
      <c r="G42">
        <f>Nelchina!A8</f>
        <v>0</v>
      </c>
      <c r="H42">
        <f>Nelchina!A10</f>
        <v>0</v>
      </c>
      <c r="I42">
        <f>COUNTA(Nelchina!B$2:B$1048576)</f>
        <v>0</v>
      </c>
      <c r="J42" s="8">
        <f>SUM(Nelchina!D$2:D$1048576)+SUM(Nelchina!I$2:I$1048576)</f>
        <v>0</v>
      </c>
      <c r="K42" s="9">
        <f>SUM(Nelchina!D$2:D$1048576)</f>
        <v>0</v>
      </c>
      <c r="L42" s="9">
        <f>SUMIFS(Nelchina!I$2:I$1048576, Nelchina!F$2:F$1048576, "&gt;1999", Nelchina!F$2:F$1048576, "&lt;3000")</f>
        <v>0</v>
      </c>
      <c r="M42" s="9">
        <f>SUMIFS(Nelchina!I$2:I$1048576, Nelchina!F$2:F$1048576, "&gt;2999", Nelchina!F$2:F$1048576, "&lt;4000")</f>
        <v>0</v>
      </c>
      <c r="N42" s="9">
        <f>SUMIFS(Nelchina!I$2:I$1048576, Nelchina!F$2:F$1048576, "&gt;3999", Nelchina!F$2:F$1048576, "&lt;5000")</f>
        <v>0</v>
      </c>
      <c r="O42" s="9">
        <f>SUMIFS(Nelchina!I$2:I$1048576, Nelchina!F$2:F$1048576, "&gt;4999", Nelchina!F$2:F$1048576, "&lt;6000")</f>
        <v>0</v>
      </c>
      <c r="P42" s="8">
        <f>Nelchina!A14</f>
        <v>0</v>
      </c>
      <c r="Q42" s="9">
        <f>Nelchina!A18</f>
        <v>0</v>
      </c>
      <c r="R42" t="str">
        <f t="shared" si="1"/>
        <v>OK</v>
      </c>
    </row>
    <row r="43" spans="1:18">
      <c r="A43" t="s">
        <v>334</v>
      </c>
      <c r="B43" t="s">
        <v>80</v>
      </c>
      <c r="C43" s="27" t="str">
        <f>HYPERLINK("#'Paxson'!A1","Paxson")</f>
        <v>Paxson</v>
      </c>
      <c r="D43">
        <f>COUNTA(Paxson!K$2:K$1048576)</f>
        <v>0</v>
      </c>
      <c r="E43">
        <f>Paxson!A12</f>
        <v>0</v>
      </c>
      <c r="F43">
        <f>Paxson!A6</f>
        <v>0</v>
      </c>
      <c r="G43">
        <f>Paxson!A8</f>
        <v>0</v>
      </c>
      <c r="H43">
        <f>Paxson!A10</f>
        <v>0</v>
      </c>
      <c r="I43">
        <f>COUNTA(Paxson!B$2:B$1048576)</f>
        <v>0</v>
      </c>
      <c r="J43" s="8">
        <f>SUM(Paxson!D$2:D$1048576)+SUM(Paxson!I$2:I$1048576)</f>
        <v>0</v>
      </c>
      <c r="K43" s="9">
        <f>SUM(Paxson!D$2:D$1048576)</f>
        <v>0</v>
      </c>
      <c r="L43" s="9">
        <f>SUMIFS(Paxson!I$2:I$1048576, Paxson!F$2:F$1048576, "&gt;1999", Paxson!F$2:F$1048576, "&lt;3000")</f>
        <v>0</v>
      </c>
      <c r="M43" s="9">
        <f>SUMIFS(Paxson!I$2:I$1048576, Paxson!F$2:F$1048576, "&gt;2999", Paxson!F$2:F$1048576, "&lt;4000")</f>
        <v>0</v>
      </c>
      <c r="N43" s="9">
        <f>SUMIFS(Paxson!I$2:I$1048576, Paxson!F$2:F$1048576, "&gt;3999", Paxson!F$2:F$1048576, "&lt;5000")</f>
        <v>0</v>
      </c>
      <c r="O43" s="9">
        <f>SUMIFS(Paxson!I$2:I$1048576, Paxson!F$2:F$1048576, "&gt;4999", Paxson!F$2:F$1048576, "&lt;6000")</f>
        <v>0</v>
      </c>
      <c r="P43" s="8">
        <f>Paxson!A14</f>
        <v>0</v>
      </c>
      <c r="Q43" s="9">
        <f>Paxson!A18</f>
        <v>0</v>
      </c>
      <c r="R43" t="str">
        <f t="shared" si="1"/>
        <v>OK</v>
      </c>
    </row>
    <row r="44" spans="1:18">
      <c r="A44" t="s">
        <v>334</v>
      </c>
      <c r="B44" t="s">
        <v>80</v>
      </c>
      <c r="C44" s="27" t="str">
        <f>HYPERLINK("#'Slana'!A1","Slana")</f>
        <v>Slana</v>
      </c>
      <c r="D44">
        <f>COUNTA(Slana!K$2:K$1048576)</f>
        <v>0</v>
      </c>
      <c r="E44">
        <f>Slana!A12</f>
        <v>0</v>
      </c>
      <c r="F44">
        <f>Slana!A6</f>
        <v>0</v>
      </c>
      <c r="G44">
        <f>Slana!A8</f>
        <v>0</v>
      </c>
      <c r="H44">
        <f>Slana!A10</f>
        <v>0</v>
      </c>
      <c r="I44">
        <f>COUNTA(Slana!B$2:B$1048576)</f>
        <v>0</v>
      </c>
      <c r="J44" s="8">
        <f>SUM(Slana!D$2:D$1048576)+SUM(Slana!I$2:I$1048576)</f>
        <v>0</v>
      </c>
      <c r="K44" s="9">
        <f>SUM(Slana!D$2:D$1048576)</f>
        <v>0</v>
      </c>
      <c r="L44" s="9">
        <f>SUMIFS(Slana!I$2:I$1048576, Slana!F$2:F$1048576, "&gt;1999", Slana!F$2:F$1048576, "&lt;3000")</f>
        <v>0</v>
      </c>
      <c r="M44" s="9">
        <f>SUMIFS(Slana!I$2:I$1048576, Slana!F$2:F$1048576, "&gt;2999", Slana!F$2:F$1048576, "&lt;4000")</f>
        <v>0</v>
      </c>
      <c r="N44" s="9">
        <f>SUMIFS(Slana!I$2:I$1048576, Slana!F$2:F$1048576, "&gt;3999", Slana!F$2:F$1048576, "&lt;5000")</f>
        <v>0</v>
      </c>
      <c r="O44" s="9">
        <f>SUMIFS(Slana!I$2:I$1048576, Slana!F$2:F$1048576, "&gt;4999", Slana!F$2:F$1048576, "&lt;6000")</f>
        <v>0</v>
      </c>
      <c r="P44" s="8">
        <f>Slana!A14</f>
        <v>0</v>
      </c>
      <c r="Q44" s="9">
        <f>Slana!A18</f>
        <v>0</v>
      </c>
      <c r="R44" t="str">
        <f t="shared" si="1"/>
        <v>OK</v>
      </c>
    </row>
    <row r="45" spans="1:18">
      <c r="A45" t="s">
        <v>334</v>
      </c>
      <c r="B45" t="s">
        <v>80</v>
      </c>
      <c r="C45" s="27" t="str">
        <f>HYPERLINK("#'Tazlina'!A1","Tazlina")</f>
        <v>Tazlina</v>
      </c>
      <c r="D45">
        <f>COUNTA(Tazlina!K$2:K$1048576)</f>
        <v>0</v>
      </c>
      <c r="E45">
        <f>Tazlina!A12</f>
        <v>0</v>
      </c>
      <c r="F45">
        <f>Tazlina!A6</f>
        <v>0</v>
      </c>
      <c r="G45">
        <f>Tazlina!A8</f>
        <v>0</v>
      </c>
      <c r="H45">
        <f>Tazlina!A10</f>
        <v>0</v>
      </c>
      <c r="I45">
        <f>COUNTA(Tazlina!B$2:B$1048576)</f>
        <v>0</v>
      </c>
      <c r="J45" s="8">
        <f>SUM(Tazlina!D$2:D$1048576)+SUM(Tazlina!I$2:I$1048576)</f>
        <v>0</v>
      </c>
      <c r="K45" s="9">
        <f>SUM(Tazlina!D$2:D$1048576)</f>
        <v>0</v>
      </c>
      <c r="L45" s="9">
        <f>SUMIFS(Tazlina!I$2:I$1048576, Tazlina!F$2:F$1048576, "&gt;1999", Tazlina!F$2:F$1048576, "&lt;3000")</f>
        <v>0</v>
      </c>
      <c r="M45" s="9">
        <f>SUMIFS(Tazlina!I$2:I$1048576, Tazlina!F$2:F$1048576, "&gt;2999", Tazlina!F$2:F$1048576, "&lt;4000")</f>
        <v>0</v>
      </c>
      <c r="N45" s="9">
        <f>SUMIFS(Tazlina!I$2:I$1048576, Tazlina!F$2:F$1048576, "&gt;3999", Tazlina!F$2:F$1048576, "&lt;5000")</f>
        <v>0</v>
      </c>
      <c r="O45" s="9">
        <f>SUMIFS(Tazlina!I$2:I$1048576, Tazlina!F$2:F$1048576, "&gt;4999", Tazlina!F$2:F$1048576, "&lt;6000")</f>
        <v>0</v>
      </c>
      <c r="P45" s="8">
        <f>Tazlina!A14</f>
        <v>0</v>
      </c>
      <c r="Q45" s="9">
        <f>Tazlina!A18</f>
        <v>0</v>
      </c>
      <c r="R45" t="str">
        <f t="shared" si="1"/>
        <v>OK</v>
      </c>
    </row>
    <row r="46" spans="1:18">
      <c r="A46" t="s">
        <v>334</v>
      </c>
      <c r="B46" t="s">
        <v>63</v>
      </c>
      <c r="C46" s="27" t="str">
        <f>HYPERLINK("#'Delta Junction'!A1","Delta Junction")</f>
        <v>Delta Junction</v>
      </c>
      <c r="D46">
        <f>COUNTA('Delta Junction'!K$2:K$1048576)</f>
        <v>0</v>
      </c>
      <c r="E46">
        <f>'Delta Junction'!A12</f>
        <v>0</v>
      </c>
      <c r="F46">
        <f>'Delta Junction'!A6</f>
        <v>0</v>
      </c>
      <c r="G46">
        <f>'Delta Junction'!A8</f>
        <v>0</v>
      </c>
      <c r="H46">
        <f>'Delta Junction'!A10</f>
        <v>0</v>
      </c>
      <c r="I46">
        <f>COUNTA('Delta Junction'!B$2:B$1048576)</f>
        <v>0</v>
      </c>
      <c r="J46" s="8">
        <f>SUM('Delta Junction'!D$2:D$1048576)+SUM('Delta Junction'!I$2:I$1048576)</f>
        <v>0</v>
      </c>
      <c r="K46" s="9">
        <f>SUM('Delta Junction'!D$2:D$1048576)</f>
        <v>0</v>
      </c>
      <c r="L46" s="9">
        <f>SUMIFS('Delta Junction'!I$2:I$1048576, 'Delta Junction'!F$2:F$1048576, "&gt;1999", 'Delta Junction'!F$2:F$1048576, "&lt;3000")</f>
        <v>0</v>
      </c>
      <c r="M46" s="9">
        <f>SUMIFS('Delta Junction'!I$2:I$1048576, 'Delta Junction'!F$2:F$1048576, "&gt;2999", 'Delta Junction'!F$2:F$1048576, "&lt;4000")</f>
        <v>0</v>
      </c>
      <c r="N46" s="9">
        <f>SUMIFS('Delta Junction'!I$2:I$1048576, 'Delta Junction'!F$2:F$1048576, "&gt;3999", 'Delta Junction'!F$2:F$1048576, "&lt;5000")</f>
        <v>0</v>
      </c>
      <c r="O46" s="9">
        <f>SUMIFS('Delta Junction'!I$2:I$1048576, 'Delta Junction'!F$2:F$1048576, "&gt;4999", 'Delta Junction'!F$2:F$1048576, "&lt;6000")</f>
        <v>0</v>
      </c>
      <c r="P46" s="8">
        <f>'Delta Junction'!A14</f>
        <v>0</v>
      </c>
      <c r="Q46" s="9">
        <f>'Delta Junction'!A18</f>
        <v>0</v>
      </c>
      <c r="R46" t="str">
        <f t="shared" si="1"/>
        <v>OK</v>
      </c>
    </row>
    <row r="47" spans="1:18">
      <c r="A47" t="s">
        <v>334</v>
      </c>
      <c r="B47" t="s">
        <v>63</v>
      </c>
      <c r="C47" s="27" t="str">
        <f>HYPERLINK("#'Eagle'!A1","Eagle")</f>
        <v>Eagle</v>
      </c>
      <c r="D47">
        <f>COUNTA(Eagle!K$2:K$1048576)</f>
        <v>0</v>
      </c>
      <c r="E47">
        <f>Eagle!A12</f>
        <v>0</v>
      </c>
      <c r="F47">
        <f>Eagle!A6</f>
        <v>0</v>
      </c>
      <c r="G47">
        <f>Eagle!A8</f>
        <v>0</v>
      </c>
      <c r="H47">
        <f>Eagle!A10</f>
        <v>0</v>
      </c>
      <c r="I47">
        <f>COUNTA(Eagle!B$2:B$1048576)</f>
        <v>0</v>
      </c>
      <c r="J47" s="8">
        <f>SUM(Eagle!D$2:D$1048576)+SUM(Eagle!I$2:I$1048576)</f>
        <v>0</v>
      </c>
      <c r="K47" s="9">
        <f>SUM(Eagle!D$2:D$1048576)</f>
        <v>0</v>
      </c>
      <c r="L47" s="9">
        <f>SUMIFS(Eagle!I$2:I$1048576, Eagle!F$2:F$1048576, "&gt;1999", Eagle!F$2:F$1048576, "&lt;3000")</f>
        <v>0</v>
      </c>
      <c r="M47" s="9">
        <f>SUMIFS(Eagle!I$2:I$1048576, Eagle!F$2:F$1048576, "&gt;2999", Eagle!F$2:F$1048576, "&lt;4000")</f>
        <v>0</v>
      </c>
      <c r="N47" s="9">
        <f>SUMIFS(Eagle!I$2:I$1048576, Eagle!F$2:F$1048576, "&gt;3999", Eagle!F$2:F$1048576, "&lt;5000")</f>
        <v>0</v>
      </c>
      <c r="O47" s="9">
        <f>SUMIFS(Eagle!I$2:I$1048576, Eagle!F$2:F$1048576, "&gt;4999", Eagle!F$2:F$1048576, "&lt;6000")</f>
        <v>0</v>
      </c>
      <c r="P47" s="8">
        <f>Eagle!A14</f>
        <v>0</v>
      </c>
      <c r="Q47" s="9">
        <f>Eagle!A18</f>
        <v>0</v>
      </c>
      <c r="R47" t="str">
        <f t="shared" si="1"/>
        <v>OK</v>
      </c>
    </row>
    <row r="48" spans="1:18">
      <c r="A48" t="s">
        <v>334</v>
      </c>
      <c r="B48" t="s">
        <v>63</v>
      </c>
      <c r="C48" s="27" t="str">
        <f>HYPERLINK("#'Northway'!A1","Northway")</f>
        <v>Northway</v>
      </c>
      <c r="D48">
        <f>COUNTA(Northway!K$2:K$1048576)</f>
        <v>0</v>
      </c>
      <c r="E48">
        <f>Northway!A12</f>
        <v>0</v>
      </c>
      <c r="F48">
        <f>Northway!A6</f>
        <v>0</v>
      </c>
      <c r="G48">
        <f>Northway!A8</f>
        <v>0</v>
      </c>
      <c r="H48">
        <f>Northway!A10</f>
        <v>0</v>
      </c>
      <c r="I48">
        <f>COUNTA(Northway!B$2:B$1048576)</f>
        <v>0</v>
      </c>
      <c r="J48" s="8">
        <f>SUM(Northway!D$2:D$1048576)+SUM(Northway!I$2:I$1048576)</f>
        <v>0</v>
      </c>
      <c r="K48" s="9">
        <f>SUM(Northway!D$2:D$1048576)</f>
        <v>0</v>
      </c>
      <c r="L48" s="9">
        <f>SUMIFS(Northway!I$2:I$1048576, Northway!F$2:F$1048576, "&gt;1999", Northway!F$2:F$1048576, "&lt;3000")</f>
        <v>0</v>
      </c>
      <c r="M48" s="9">
        <f>SUMIFS(Northway!I$2:I$1048576, Northway!F$2:F$1048576, "&gt;2999", Northway!F$2:F$1048576, "&lt;4000")</f>
        <v>0</v>
      </c>
      <c r="N48" s="9">
        <f>SUMIFS(Northway!I$2:I$1048576, Northway!F$2:F$1048576, "&gt;3999", Northway!F$2:F$1048576, "&lt;5000")</f>
        <v>0</v>
      </c>
      <c r="O48" s="9">
        <f>SUMIFS(Northway!I$2:I$1048576, Northway!F$2:F$1048576, "&gt;4999", Northway!F$2:F$1048576, "&lt;6000")</f>
        <v>0</v>
      </c>
      <c r="P48" s="8">
        <f>Northway!A14</f>
        <v>0</v>
      </c>
      <c r="Q48" s="9">
        <f>Northway!A18</f>
        <v>0</v>
      </c>
      <c r="R48" t="str">
        <f t="shared" si="1"/>
        <v>OK</v>
      </c>
    </row>
    <row r="49" spans="1:18">
      <c r="A49" t="s">
        <v>334</v>
      </c>
      <c r="B49" t="s">
        <v>63</v>
      </c>
      <c r="C49" s="27" t="str">
        <f>HYPERLINK("#'South Fork'!A1","South Fork")</f>
        <v>South Fork</v>
      </c>
      <c r="D49">
        <f>COUNTA('South Fork'!K$2:K$1048576)</f>
        <v>0</v>
      </c>
      <c r="E49">
        <f>'South Fork'!A12</f>
        <v>0</v>
      </c>
      <c r="F49">
        <f>'South Fork'!A6</f>
        <v>0</v>
      </c>
      <c r="G49">
        <f>'South Fork'!A8</f>
        <v>0</v>
      </c>
      <c r="H49">
        <f>'South Fork'!A10</f>
        <v>0</v>
      </c>
      <c r="I49">
        <f>COUNTA('South Fork'!B$2:B$1048576)</f>
        <v>0</v>
      </c>
      <c r="J49" s="8">
        <f>SUM('South Fork'!D$2:D$1048576)+SUM('South Fork'!I$2:I$1048576)</f>
        <v>0</v>
      </c>
      <c r="K49" s="9">
        <f>SUM('South Fork'!D$2:D$1048576)</f>
        <v>0</v>
      </c>
      <c r="L49" s="9">
        <f>SUMIFS('South Fork'!I$2:I$1048576, 'South Fork'!F$2:F$1048576, "&gt;1999", 'South Fork'!F$2:F$1048576, "&lt;3000")</f>
        <v>0</v>
      </c>
      <c r="M49" s="9">
        <f>SUMIFS('South Fork'!I$2:I$1048576, 'South Fork'!F$2:F$1048576, "&gt;2999", 'South Fork'!F$2:F$1048576, "&lt;4000")</f>
        <v>0</v>
      </c>
      <c r="N49" s="9">
        <f>SUMIFS('South Fork'!I$2:I$1048576, 'South Fork'!F$2:F$1048576, "&gt;3999", 'South Fork'!F$2:F$1048576, "&lt;5000")</f>
        <v>0</v>
      </c>
      <c r="O49" s="9">
        <f>SUMIFS('South Fork'!I$2:I$1048576, 'South Fork'!F$2:F$1048576, "&gt;4999", 'South Fork'!F$2:F$1048576, "&lt;6000")</f>
        <v>0</v>
      </c>
      <c r="P49" s="8">
        <f>'South Fork'!A14</f>
        <v>0</v>
      </c>
      <c r="Q49" s="9">
        <f>'South Fork'!A18</f>
        <v>0</v>
      </c>
      <c r="R49" t="str">
        <f t="shared" si="1"/>
        <v>OK</v>
      </c>
    </row>
    <row r="50" spans="1:18">
      <c r="A50" t="s">
        <v>334</v>
      </c>
      <c r="B50" t="s">
        <v>63</v>
      </c>
      <c r="C50" s="27" t="str">
        <f>HYPERLINK("#'Tok'!A1","Tok")</f>
        <v>Tok</v>
      </c>
      <c r="D50">
        <f>COUNTA(Tok!K$2:K$1048576)</f>
        <v>0</v>
      </c>
      <c r="E50">
        <f>Tok!A12</f>
        <v>0</v>
      </c>
      <c r="F50">
        <f>Tok!A6</f>
        <v>0</v>
      </c>
      <c r="G50">
        <f>Tok!A8</f>
        <v>0</v>
      </c>
      <c r="H50">
        <f>Tok!A10</f>
        <v>0</v>
      </c>
      <c r="I50">
        <f>COUNTA(Tok!B$2:B$1048576)</f>
        <v>0</v>
      </c>
      <c r="J50" s="8">
        <f>SUM(Tok!D$2:D$1048576)+SUM(Tok!I$2:I$1048576)</f>
        <v>0</v>
      </c>
      <c r="K50" s="9">
        <f>SUM(Tok!D$2:D$1048576)</f>
        <v>0</v>
      </c>
      <c r="L50" s="9">
        <f>SUMIFS(Tok!I$2:I$1048576, Tok!F$2:F$1048576, "&gt;1999", Tok!F$2:F$1048576, "&lt;3000")</f>
        <v>0</v>
      </c>
      <c r="M50" s="9">
        <f>SUMIFS(Tok!I$2:I$1048576, Tok!F$2:F$1048576, "&gt;2999", Tok!F$2:F$1048576, "&lt;4000")</f>
        <v>0</v>
      </c>
      <c r="N50" s="9">
        <f>SUMIFS(Tok!I$2:I$1048576, Tok!F$2:F$1048576, "&gt;3999", Tok!F$2:F$1048576, "&lt;5000")</f>
        <v>0</v>
      </c>
      <c r="O50" s="9">
        <f>SUMIFS(Tok!I$2:I$1048576, Tok!F$2:F$1048576, "&gt;4999", Tok!F$2:F$1048576, "&lt;6000")</f>
        <v>0</v>
      </c>
      <c r="P50" s="8">
        <f>Tok!A14</f>
        <v>0</v>
      </c>
      <c r="Q50" s="9">
        <f>Tok!A18</f>
        <v>0</v>
      </c>
      <c r="R50" t="str">
        <f t="shared" si="1"/>
        <v>OK</v>
      </c>
    </row>
    <row r="51" spans="1:18">
      <c r="A51" t="s">
        <v>334</v>
      </c>
      <c r="B51" t="s">
        <v>63</v>
      </c>
      <c r="C51" s="27" t="str">
        <f>HYPERLINK("#'Trims'!A1","Trims")</f>
        <v>Trims</v>
      </c>
      <c r="D51">
        <f>COUNTA(Trims!K$2:K$1048576)</f>
        <v>0</v>
      </c>
      <c r="E51">
        <f>Trims!A12</f>
        <v>0</v>
      </c>
      <c r="F51">
        <f>Trims!A6</f>
        <v>0</v>
      </c>
      <c r="G51">
        <f>Trims!A8</f>
        <v>0</v>
      </c>
      <c r="H51">
        <f>Trims!A10</f>
        <v>0</v>
      </c>
      <c r="I51">
        <f>COUNTA(Trims!B$2:B$1048576)</f>
        <v>0</v>
      </c>
      <c r="J51" s="8">
        <f>SUM(Trims!D$2:D$1048576)+SUM(Trims!I$2:I$1048576)</f>
        <v>0</v>
      </c>
      <c r="K51" s="9">
        <f>SUM(Trims!D$2:D$1048576)</f>
        <v>0</v>
      </c>
      <c r="L51" s="9">
        <f>SUMIFS(Trims!I$2:I$1048576, Trims!F$2:F$1048576, "&gt;1999", Trims!F$2:F$1048576, "&lt;3000")</f>
        <v>0</v>
      </c>
      <c r="M51" s="9">
        <f>SUMIFS(Trims!I$2:I$1048576, Trims!F$2:F$1048576, "&gt;2999", Trims!F$2:F$1048576, "&lt;4000")</f>
        <v>0</v>
      </c>
      <c r="N51" s="9">
        <f>SUMIFS(Trims!I$2:I$1048576, Trims!F$2:F$1048576, "&gt;3999", Trims!F$2:F$1048576, "&lt;5000")</f>
        <v>0</v>
      </c>
      <c r="O51" s="9">
        <f>SUMIFS(Trims!I$2:I$1048576, Trims!F$2:F$1048576, "&gt;4999", Trims!F$2:F$1048576, "&lt;6000")</f>
        <v>0</v>
      </c>
      <c r="P51" s="8">
        <f>Trims!A14</f>
        <v>0</v>
      </c>
      <c r="Q51" s="9">
        <f>Trims!A18</f>
        <v>0</v>
      </c>
      <c r="R51" t="str">
        <f t="shared" si="1"/>
        <v>OK</v>
      </c>
    </row>
    <row r="52" spans="1:18">
      <c r="A52" t="s">
        <v>334</v>
      </c>
      <c r="B52" t="s">
        <v>47</v>
      </c>
      <c r="C52" s="27" t="str">
        <f>HYPERLINK("#'Cordova'!A1","Cordova")</f>
        <v>Cordova</v>
      </c>
      <c r="D52">
        <f>COUNTA(Cordova!K$2:K$1048576)</f>
        <v>0</v>
      </c>
      <c r="E52">
        <f>Cordova!A12</f>
        <v>0</v>
      </c>
      <c r="F52">
        <f>Cordova!A6</f>
        <v>0</v>
      </c>
      <c r="G52">
        <f>Cordova!A8</f>
        <v>0</v>
      </c>
      <c r="H52">
        <f>Cordova!A10</f>
        <v>0</v>
      </c>
      <c r="I52">
        <f>COUNTA(Cordova!B$2:B$1048576)</f>
        <v>0</v>
      </c>
      <c r="J52" s="8">
        <f>SUM(Cordova!D$2:D$1048576)+SUM(Cordova!I$2:I$1048576)</f>
        <v>0</v>
      </c>
      <c r="K52" s="9">
        <f>SUM(Cordova!D$2:D$1048576)</f>
        <v>0</v>
      </c>
      <c r="L52" s="9">
        <f>SUMIFS(Cordova!I$2:I$1048576, Cordova!F$2:F$1048576, "&gt;1999", Cordova!F$2:F$1048576, "&lt;3000")</f>
        <v>0</v>
      </c>
      <c r="M52" s="9">
        <f>SUMIFS(Cordova!I$2:I$1048576, Cordova!F$2:F$1048576, "&gt;2999", Cordova!F$2:F$1048576, "&lt;4000")</f>
        <v>0</v>
      </c>
      <c r="N52" s="9">
        <f>SUMIFS(Cordova!I$2:I$1048576, Cordova!F$2:F$1048576, "&gt;3999", Cordova!F$2:F$1048576, "&lt;5000")</f>
        <v>0</v>
      </c>
      <c r="O52" s="9">
        <f>SUMIFS(Cordova!I$2:I$1048576, Cordova!F$2:F$1048576, "&gt;4999", Cordova!F$2:F$1048576, "&lt;6000")</f>
        <v>0</v>
      </c>
      <c r="P52" s="8">
        <f>Cordova!A14</f>
        <v>0</v>
      </c>
      <c r="Q52" s="9">
        <f>Cordova!A18</f>
        <v>0</v>
      </c>
      <c r="R52" t="str">
        <f t="shared" si="1"/>
        <v>OK</v>
      </c>
    </row>
    <row r="53" spans="1:18">
      <c r="A53" t="s">
        <v>334</v>
      </c>
      <c r="B53" t="s">
        <v>47</v>
      </c>
      <c r="C53" s="27" t="str">
        <f>HYPERLINK("#'Thompson Pass'!A1","Thompson Pass")</f>
        <v>Thompson Pass</v>
      </c>
      <c r="D53">
        <f>COUNTA('Thompson Pass'!K$2:K$1048576)</f>
        <v>0</v>
      </c>
      <c r="E53">
        <f>'Thompson Pass'!A12</f>
        <v>0</v>
      </c>
      <c r="F53">
        <f>'Thompson Pass'!A6</f>
        <v>0</v>
      </c>
      <c r="G53">
        <f>'Thompson Pass'!A8</f>
        <v>0</v>
      </c>
      <c r="H53">
        <f>'Thompson Pass'!A10</f>
        <v>0</v>
      </c>
      <c r="I53">
        <f>COUNTA('Thompson Pass'!B$2:B$1048576)</f>
        <v>0</v>
      </c>
      <c r="J53" s="8">
        <f>SUM('Thompson Pass'!D$2:D$1048576)+SUM('Thompson Pass'!I$2:I$1048576)</f>
        <v>0</v>
      </c>
      <c r="K53" s="9">
        <f>SUM('Thompson Pass'!D$2:D$1048576)</f>
        <v>0</v>
      </c>
      <c r="L53" s="9">
        <f>SUMIFS('Thompson Pass'!I$2:I$1048576, 'Thompson Pass'!F$2:F$1048576, "&gt;1999", 'Thompson Pass'!F$2:F$1048576, "&lt;3000")</f>
        <v>0</v>
      </c>
      <c r="M53" s="9">
        <f>SUMIFS('Thompson Pass'!I$2:I$1048576, 'Thompson Pass'!F$2:F$1048576, "&gt;2999", 'Thompson Pass'!F$2:F$1048576, "&lt;4000")</f>
        <v>0</v>
      </c>
      <c r="N53" s="9">
        <f>SUMIFS('Thompson Pass'!I$2:I$1048576, 'Thompson Pass'!F$2:F$1048576, "&gt;3999", 'Thompson Pass'!F$2:F$1048576, "&lt;5000")</f>
        <v>0</v>
      </c>
      <c r="O53" s="9">
        <f>SUMIFS('Thompson Pass'!I$2:I$1048576, 'Thompson Pass'!F$2:F$1048576, "&gt;4999", 'Thompson Pass'!F$2:F$1048576, "&lt;6000")</f>
        <v>0</v>
      </c>
      <c r="P53" s="8">
        <f>'Thompson Pass'!A14</f>
        <v>0</v>
      </c>
      <c r="Q53" s="9">
        <f>'Thompson Pass'!A18</f>
        <v>0</v>
      </c>
      <c r="R53" t="str">
        <f t="shared" si="1"/>
        <v>OK</v>
      </c>
    </row>
    <row r="54" spans="1:18">
      <c r="A54" t="s">
        <v>334</v>
      </c>
      <c r="B54" t="s">
        <v>47</v>
      </c>
      <c r="C54" s="27" t="str">
        <f>HYPERLINK("#'Valdez'!A1","Valdez")</f>
        <v>Valdez</v>
      </c>
      <c r="D54">
        <f>COUNTA(Valdez!K$2:K$1048576)</f>
        <v>0</v>
      </c>
      <c r="E54">
        <f>Valdez!A12</f>
        <v>0</v>
      </c>
      <c r="F54">
        <f>Valdez!A6</f>
        <v>0</v>
      </c>
      <c r="G54">
        <f>Valdez!A8</f>
        <v>0</v>
      </c>
      <c r="H54">
        <f>Valdez!A10</f>
        <v>0</v>
      </c>
      <c r="I54">
        <f>COUNTA(Valdez!B$2:B$1048576)</f>
        <v>0</v>
      </c>
      <c r="J54" s="8">
        <f>SUM(Valdez!D$2:D$1048576)+SUM(Valdez!I$2:I$1048576)</f>
        <v>0</v>
      </c>
      <c r="K54" s="9">
        <f>SUM(Valdez!D$2:D$1048576)</f>
        <v>0</v>
      </c>
      <c r="L54" s="9">
        <f>SUMIFS(Valdez!I$2:I$1048576, Valdez!F$2:F$1048576, "&gt;1999", Valdez!F$2:F$1048576, "&lt;3000")</f>
        <v>0</v>
      </c>
      <c r="M54" s="9">
        <f>SUMIFS(Valdez!I$2:I$1048576, Valdez!F$2:F$1048576, "&gt;2999", Valdez!F$2:F$1048576, "&lt;4000")</f>
        <v>0</v>
      </c>
      <c r="N54" s="9">
        <f>SUMIFS(Valdez!I$2:I$1048576, Valdez!F$2:F$1048576, "&gt;3999", Valdez!F$2:F$1048576, "&lt;5000")</f>
        <v>0</v>
      </c>
      <c r="O54" s="9">
        <f>SUMIFS(Valdez!I$2:I$1048576, Valdez!F$2:F$1048576, "&gt;4999", Valdez!F$2:F$1048576, "&lt;6000")</f>
        <v>0</v>
      </c>
      <c r="P54" s="8">
        <f>Valdez!A14</f>
        <v>0</v>
      </c>
      <c r="Q54" s="9">
        <f>Valdez!A18</f>
        <v>0</v>
      </c>
      <c r="R54" t="str">
        <f t="shared" si="1"/>
        <v>OK</v>
      </c>
    </row>
    <row r="55" spans="1:18">
      <c r="A55" t="s">
        <v>334</v>
      </c>
      <c r="B55" t="s">
        <v>47</v>
      </c>
      <c r="C55" s="27" t="str">
        <f>HYPERLINK("#'Valdez Airport'!A1","Valdez Airport")</f>
        <v>Valdez Airport</v>
      </c>
      <c r="D55">
        <f>COUNTA('Valdez Airport'!K$2:K$1048576)</f>
        <v>0</v>
      </c>
      <c r="E55">
        <f>'Valdez Airport'!A12</f>
        <v>0</v>
      </c>
      <c r="F55">
        <f>'Valdez Airport'!A6</f>
        <v>0</v>
      </c>
      <c r="G55">
        <f>'Valdez Airport'!A8</f>
        <v>0</v>
      </c>
      <c r="H55">
        <f>'Valdez Airport'!A10</f>
        <v>0</v>
      </c>
      <c r="I55">
        <f>COUNTA('Valdez Airport'!B$2:B$1048576)</f>
        <v>0</v>
      </c>
      <c r="J55" s="8">
        <f>SUM('Valdez Airport'!D$2:D$1048576)+SUM('Valdez Airport'!I$2:I$1048576)</f>
        <v>0</v>
      </c>
      <c r="K55" s="9">
        <f>SUM('Valdez Airport'!D$2:D$1048576)</f>
        <v>0</v>
      </c>
      <c r="L55" s="9">
        <f>SUMIFS('Valdez Airport'!I$2:I$1048576, 'Valdez Airport'!F$2:F$1048576, "&gt;1999", 'Valdez Airport'!F$2:F$1048576, "&lt;3000")</f>
        <v>0</v>
      </c>
      <c r="M55" s="9">
        <f>SUMIFS('Valdez Airport'!I$2:I$1048576, 'Valdez Airport'!F$2:F$1048576, "&gt;2999", 'Valdez Airport'!F$2:F$1048576, "&lt;4000")</f>
        <v>0</v>
      </c>
      <c r="N55" s="9">
        <f>SUMIFS('Valdez Airport'!I$2:I$1048576, 'Valdez Airport'!F$2:F$1048576, "&gt;3999", 'Valdez Airport'!F$2:F$1048576, "&lt;5000")</f>
        <v>0</v>
      </c>
      <c r="O55" s="9">
        <f>SUMIFS('Valdez Airport'!I$2:I$1048576, 'Valdez Airport'!F$2:F$1048576, "&gt;4999", 'Valdez Airport'!F$2:F$1048576, "&lt;6000")</f>
        <v>0</v>
      </c>
      <c r="P55" s="8">
        <f>'Valdez Airport'!A14</f>
        <v>0</v>
      </c>
      <c r="Q55" s="9">
        <f>'Valdez Airport'!A18</f>
        <v>0</v>
      </c>
      <c r="R55" t="str">
        <f t="shared" si="1"/>
        <v>OK</v>
      </c>
    </row>
    <row r="56" spans="1:18">
      <c r="A56" t="s">
        <v>334</v>
      </c>
      <c r="B56" t="s">
        <v>52</v>
      </c>
      <c r="C56" s="27" t="str">
        <f>HYPERLINK("#'Bear Creek'!A1","Bear Creek")</f>
        <v>Bear Creek</v>
      </c>
      <c r="D56">
        <f>COUNTA('Bear Creek'!K$2:K$1048576)</f>
        <v>0</v>
      </c>
      <c r="E56">
        <f>'Bear Creek'!A12</f>
        <v>0</v>
      </c>
      <c r="F56">
        <f>'Bear Creek'!A6</f>
        <v>0</v>
      </c>
      <c r="G56">
        <f>'Bear Creek'!A8</f>
        <v>0</v>
      </c>
      <c r="H56">
        <f>'Bear Creek'!A10</f>
        <v>0</v>
      </c>
      <c r="I56">
        <f>COUNTA('Bear Creek'!B$2:B$1048576)</f>
        <v>0</v>
      </c>
      <c r="J56" s="8">
        <f>SUM('Bear Creek'!D$2:D$1048576)+SUM('Bear Creek'!I$2:I$1048576)</f>
        <v>0</v>
      </c>
      <c r="K56" s="9">
        <f>SUM('Bear Creek'!D$2:D$1048576)</f>
        <v>0</v>
      </c>
      <c r="L56" s="9">
        <f>SUMIFS('Bear Creek'!I$2:I$1048576, 'Bear Creek'!F$2:F$1048576, "&gt;1999", 'Bear Creek'!F$2:F$1048576, "&lt;3000")</f>
        <v>0</v>
      </c>
      <c r="M56" s="9">
        <f>SUMIFS('Bear Creek'!I$2:I$1048576, 'Bear Creek'!F$2:F$1048576, "&gt;2999", 'Bear Creek'!F$2:F$1048576, "&lt;4000")</f>
        <v>0</v>
      </c>
      <c r="N56" s="9">
        <f>SUMIFS('Bear Creek'!I$2:I$1048576, 'Bear Creek'!F$2:F$1048576, "&gt;3999", 'Bear Creek'!F$2:F$1048576, "&lt;5000")</f>
        <v>0</v>
      </c>
      <c r="O56" s="9">
        <f>SUMIFS('Bear Creek'!I$2:I$1048576, 'Bear Creek'!F$2:F$1048576, "&gt;4999", 'Bear Creek'!F$2:F$1048576, "&lt;6000")</f>
        <v>0</v>
      </c>
      <c r="P56" s="8">
        <f>'Bear Creek'!A14</f>
        <v>0</v>
      </c>
      <c r="Q56" s="9">
        <f>'Bear Creek'!A18</f>
        <v>0</v>
      </c>
      <c r="R56" t="str">
        <f t="shared" si="1"/>
        <v>OK</v>
      </c>
    </row>
    <row r="57" spans="1:18">
      <c r="A57" t="s">
        <v>334</v>
      </c>
      <c r="B57" t="s">
        <v>52</v>
      </c>
      <c r="C57" s="27" t="str">
        <f>HYPERLINK("#'Cottonwood'!A1","Cottonwood")</f>
        <v>Cottonwood</v>
      </c>
      <c r="D57">
        <f>COUNTA(Cottonwood!K$2:K$1048576)</f>
        <v>0</v>
      </c>
      <c r="E57">
        <f>Cottonwood!A12</f>
        <v>0</v>
      </c>
      <c r="F57">
        <f>Cottonwood!A6</f>
        <v>0</v>
      </c>
      <c r="G57">
        <f>Cottonwood!A8</f>
        <v>0</v>
      </c>
      <c r="H57">
        <f>Cottonwood!A10</f>
        <v>0</v>
      </c>
      <c r="I57">
        <f>COUNTA(Cottonwood!B$2:B$1048576)</f>
        <v>0</v>
      </c>
      <c r="J57" s="8">
        <f>SUM(Cottonwood!D$2:D$1048576)+SUM(Cottonwood!I$2:I$1048576)</f>
        <v>0</v>
      </c>
      <c r="K57" s="9">
        <f>SUM(Cottonwood!D$2:D$1048576)</f>
        <v>0</v>
      </c>
      <c r="L57" s="9">
        <f>SUMIFS(Cottonwood!I$2:I$1048576, Cottonwood!F$2:F$1048576, "&gt;1999", Cottonwood!F$2:F$1048576, "&lt;3000")</f>
        <v>0</v>
      </c>
      <c r="M57" s="9">
        <f>SUMIFS(Cottonwood!I$2:I$1048576, Cottonwood!F$2:F$1048576, "&gt;2999", Cottonwood!F$2:F$1048576, "&lt;4000")</f>
        <v>0</v>
      </c>
      <c r="N57" s="9">
        <f>SUMIFS(Cottonwood!I$2:I$1048576, Cottonwood!F$2:F$1048576, "&gt;3999", Cottonwood!F$2:F$1048576, "&lt;5000")</f>
        <v>0</v>
      </c>
      <c r="O57" s="9">
        <f>SUMIFS(Cottonwood!I$2:I$1048576, Cottonwood!F$2:F$1048576, "&gt;4999", Cottonwood!F$2:F$1048576, "&lt;6000")</f>
        <v>0</v>
      </c>
      <c r="P57" s="8">
        <f>Cottonwood!A14</f>
        <v>0</v>
      </c>
      <c r="Q57" s="9">
        <f>Cottonwood!A18</f>
        <v>0</v>
      </c>
      <c r="R57" t="str">
        <f t="shared" si="1"/>
        <v>OK</v>
      </c>
    </row>
    <row r="58" spans="1:18">
      <c r="A58" t="s">
        <v>334</v>
      </c>
      <c r="B58" t="s">
        <v>52</v>
      </c>
      <c r="C58" s="27" t="str">
        <f>HYPERLINK("#'Kotzebue'!A1","Kotzebue")</f>
        <v>Kotzebue</v>
      </c>
      <c r="D58">
        <f>COUNTA(Kotzebue!K$2:K$1048576)</f>
        <v>0</v>
      </c>
      <c r="E58">
        <f>Kotzebue!A12</f>
        <v>0</v>
      </c>
      <c r="F58">
        <f>Kotzebue!A6</f>
        <v>0</v>
      </c>
      <c r="G58">
        <f>Kotzebue!A8</f>
        <v>0</v>
      </c>
      <c r="H58">
        <f>Kotzebue!A10</f>
        <v>0</v>
      </c>
      <c r="I58">
        <f>COUNTA(Kotzebue!B$2:B$1048576)</f>
        <v>0</v>
      </c>
      <c r="J58" s="8">
        <f>SUM(Kotzebue!D$2:D$1048576)+SUM(Kotzebue!I$2:I$1048576)</f>
        <v>0</v>
      </c>
      <c r="K58" s="9">
        <f>SUM(Kotzebue!D$2:D$1048576)</f>
        <v>0</v>
      </c>
      <c r="L58" s="9">
        <f>SUMIFS(Kotzebue!I$2:I$1048576, Kotzebue!F$2:F$1048576, "&gt;1999", Kotzebue!F$2:F$1048576, "&lt;3000")</f>
        <v>0</v>
      </c>
      <c r="M58" s="9">
        <f>SUMIFS(Kotzebue!I$2:I$1048576, Kotzebue!F$2:F$1048576, "&gt;2999", Kotzebue!F$2:F$1048576, "&lt;4000")</f>
        <v>0</v>
      </c>
      <c r="N58" s="9">
        <f>SUMIFS(Kotzebue!I$2:I$1048576, Kotzebue!F$2:F$1048576, "&gt;3999", Kotzebue!F$2:F$1048576, "&lt;5000")</f>
        <v>0</v>
      </c>
      <c r="O58" s="9">
        <f>SUMIFS(Kotzebue!I$2:I$1048576, Kotzebue!F$2:F$1048576, "&gt;4999", Kotzebue!F$2:F$1048576, "&lt;6000")</f>
        <v>0</v>
      </c>
      <c r="P58" s="8">
        <f>Kotzebue!A14</f>
        <v>0</v>
      </c>
      <c r="Q58" s="9">
        <f>Kotzebue!A18</f>
        <v>0</v>
      </c>
      <c r="R58" t="str">
        <f t="shared" si="1"/>
        <v>OK</v>
      </c>
    </row>
    <row r="59" spans="1:18">
      <c r="A59" t="s">
        <v>334</v>
      </c>
      <c r="B59" t="s">
        <v>52</v>
      </c>
      <c r="C59" s="27" t="str">
        <f>HYPERLINK("#'Nome'!A1","Nome")</f>
        <v>Nome</v>
      </c>
      <c r="D59">
        <f>COUNTA(Nome!K$2:K$1048576)</f>
        <v>0</v>
      </c>
      <c r="E59">
        <f>Nome!A12</f>
        <v>0</v>
      </c>
      <c r="F59">
        <f>Nome!A6</f>
        <v>0</v>
      </c>
      <c r="G59">
        <f>Nome!A8</f>
        <v>0</v>
      </c>
      <c r="H59">
        <f>Nome!A10</f>
        <v>0</v>
      </c>
      <c r="I59">
        <f>COUNTA(Nome!B$2:B$1048576)</f>
        <v>0</v>
      </c>
      <c r="J59" s="8">
        <f>SUM(Nome!D$2:D$1048576)+SUM(Nome!I$2:I$1048576)</f>
        <v>0</v>
      </c>
      <c r="K59" s="9">
        <f>SUM(Nome!D$2:D$1048576)</f>
        <v>0</v>
      </c>
      <c r="L59" s="9">
        <f>SUMIFS(Nome!I$2:I$1048576, Nome!F$2:F$1048576, "&gt;1999", Nome!F$2:F$1048576, "&lt;3000")</f>
        <v>0</v>
      </c>
      <c r="M59" s="9">
        <f>SUMIFS(Nome!I$2:I$1048576, Nome!F$2:F$1048576, "&gt;2999", Nome!F$2:F$1048576, "&lt;4000")</f>
        <v>0</v>
      </c>
      <c r="N59" s="9">
        <f>SUMIFS(Nome!I$2:I$1048576, Nome!F$2:F$1048576, "&gt;3999", Nome!F$2:F$1048576, "&lt;5000")</f>
        <v>0</v>
      </c>
      <c r="O59" s="9">
        <f>SUMIFS(Nome!I$2:I$1048576, Nome!F$2:F$1048576, "&gt;4999", Nome!F$2:F$1048576, "&lt;6000")</f>
        <v>0</v>
      </c>
      <c r="P59" s="8">
        <f>Nome!A14</f>
        <v>0</v>
      </c>
      <c r="Q59" s="9">
        <f>Nome!A18</f>
        <v>0</v>
      </c>
      <c r="R59" t="str">
        <f t="shared" si="1"/>
        <v>OK</v>
      </c>
    </row>
    <row r="60" spans="1:18">
      <c r="A60" t="s">
        <v>334</v>
      </c>
      <c r="B60" t="s">
        <v>52</v>
      </c>
      <c r="C60" s="27" t="str">
        <f>HYPERLINK("#'Nome Airport'!A1","Nome Airport")</f>
        <v>Nome Airport</v>
      </c>
      <c r="D60">
        <f>COUNTA('Nome Airport'!K$2:K$1048576)</f>
        <v>0</v>
      </c>
      <c r="E60">
        <f>'Nome Airport'!A12</f>
        <v>0</v>
      </c>
      <c r="F60">
        <f>'Nome Airport'!A6</f>
        <v>0</v>
      </c>
      <c r="G60">
        <f>'Nome Airport'!A8</f>
        <v>0</v>
      </c>
      <c r="H60">
        <f>'Nome Airport'!A10</f>
        <v>0</v>
      </c>
      <c r="I60">
        <f>COUNTA('Nome Airport'!B$2:B$1048576)</f>
        <v>0</v>
      </c>
      <c r="J60" s="8">
        <f>SUM('Nome Airport'!D$2:D$1048576)+SUM('Nome Airport'!I$2:I$1048576)</f>
        <v>0</v>
      </c>
      <c r="K60" s="9">
        <f>SUM('Nome Airport'!D$2:D$1048576)</f>
        <v>0</v>
      </c>
      <c r="L60" s="9">
        <f>SUMIFS('Nome Airport'!I$2:I$1048576, 'Nome Airport'!F$2:F$1048576, "&gt;1999", 'Nome Airport'!F$2:F$1048576, "&lt;3000")</f>
        <v>0</v>
      </c>
      <c r="M60" s="9">
        <f>SUMIFS('Nome Airport'!I$2:I$1048576, 'Nome Airport'!F$2:F$1048576, "&gt;2999", 'Nome Airport'!F$2:F$1048576, "&lt;4000")</f>
        <v>0</v>
      </c>
      <c r="N60" s="9">
        <f>SUMIFS('Nome Airport'!I$2:I$1048576, 'Nome Airport'!F$2:F$1048576, "&gt;3999", 'Nome Airport'!F$2:F$1048576, "&lt;5000")</f>
        <v>0</v>
      </c>
      <c r="O60" s="9">
        <f>SUMIFS('Nome Airport'!I$2:I$1048576, 'Nome Airport'!F$2:F$1048576, "&gt;4999", 'Nome Airport'!F$2:F$1048576, "&lt;6000")</f>
        <v>0</v>
      </c>
      <c r="P60" s="8">
        <f>'Nome Airport'!A14</f>
        <v>0</v>
      </c>
      <c r="Q60" s="9">
        <f>'Nome Airport'!A18</f>
        <v>0</v>
      </c>
      <c r="R60" t="str">
        <f t="shared" si="1"/>
        <v>OK</v>
      </c>
    </row>
    <row r="61" spans="1:18">
      <c r="A61" t="s">
        <v>334</v>
      </c>
      <c r="B61" t="s">
        <v>52</v>
      </c>
      <c r="C61" s="27" t="str">
        <f>HYPERLINK("#'Saint Marys'!A1","Saint Marys")</f>
        <v>Saint Marys</v>
      </c>
      <c r="D61">
        <f>COUNTA('Saint Marys'!K$2:K$1048576)</f>
        <v>0</v>
      </c>
      <c r="E61">
        <f>'Saint Marys'!A12</f>
        <v>0</v>
      </c>
      <c r="F61">
        <f>'Saint Marys'!A6</f>
        <v>0</v>
      </c>
      <c r="G61">
        <f>'Saint Marys'!A8</f>
        <v>0</v>
      </c>
      <c r="H61">
        <f>'Saint Marys'!A10</f>
        <v>0</v>
      </c>
      <c r="I61">
        <f>COUNTA('Saint Marys'!B$2:B$1048576)</f>
        <v>0</v>
      </c>
      <c r="J61" s="8">
        <f>SUM('Saint Marys'!D$2:D$1048576)+SUM('Saint Marys'!I$2:I$1048576)</f>
        <v>0</v>
      </c>
      <c r="K61" s="9">
        <f>SUM('Saint Marys'!D$2:D$1048576)</f>
        <v>0</v>
      </c>
      <c r="L61" s="9">
        <f>SUMIFS('Saint Marys'!I$2:I$1048576, 'Saint Marys'!F$2:F$1048576, "&gt;1999", 'Saint Marys'!F$2:F$1048576, "&lt;3000")</f>
        <v>0</v>
      </c>
      <c r="M61" s="9">
        <f>SUMIFS('Saint Marys'!I$2:I$1048576, 'Saint Marys'!F$2:F$1048576, "&gt;2999", 'Saint Marys'!F$2:F$1048576, "&lt;4000")</f>
        <v>0</v>
      </c>
      <c r="N61" s="9">
        <f>SUMIFS('Saint Marys'!I$2:I$1048576, 'Saint Marys'!F$2:F$1048576, "&gt;3999", 'Saint Marys'!F$2:F$1048576, "&lt;5000")</f>
        <v>0</v>
      </c>
      <c r="O61" s="9">
        <f>SUMIFS('Saint Marys'!I$2:I$1048576, 'Saint Marys'!F$2:F$1048576, "&gt;4999", 'Saint Marys'!F$2:F$1048576, "&lt;6000")</f>
        <v>0</v>
      </c>
      <c r="P61" s="8">
        <f>'Saint Marys'!A14</f>
        <v>0</v>
      </c>
      <c r="Q61" s="9">
        <f>'Saint Marys'!A18</f>
        <v>0</v>
      </c>
      <c r="R61" t="str">
        <f t="shared" si="1"/>
        <v>OK</v>
      </c>
    </row>
    <row r="62" spans="1:18">
      <c r="A62" t="s">
        <v>334</v>
      </c>
      <c r="B62" t="s">
        <v>52</v>
      </c>
      <c r="C62" s="27" t="str">
        <f>HYPERLINK("#'Teller'!A1","Teller")</f>
        <v>Teller</v>
      </c>
      <c r="D62">
        <f>COUNTA(Teller!K$2:K$1048576)</f>
        <v>0</v>
      </c>
      <c r="E62">
        <f>Teller!A12</f>
        <v>0</v>
      </c>
      <c r="F62">
        <f>Teller!A6</f>
        <v>0</v>
      </c>
      <c r="G62">
        <f>Teller!A8</f>
        <v>0</v>
      </c>
      <c r="H62">
        <f>Teller!A10</f>
        <v>0</v>
      </c>
      <c r="I62">
        <f>COUNTA(Teller!B$2:B$1048576)</f>
        <v>0</v>
      </c>
      <c r="J62" s="8">
        <f>SUM(Teller!D$2:D$1048576)+SUM(Teller!I$2:I$1048576)</f>
        <v>0</v>
      </c>
      <c r="K62" s="9">
        <f>SUM(Teller!D$2:D$1048576)</f>
        <v>0</v>
      </c>
      <c r="L62" s="9">
        <f>SUMIFS(Teller!I$2:I$1048576, Teller!F$2:F$1048576, "&gt;1999", Teller!F$2:F$1048576, "&lt;3000")</f>
        <v>0</v>
      </c>
      <c r="M62" s="9">
        <f>SUMIFS(Teller!I$2:I$1048576, Teller!F$2:F$1048576, "&gt;2999", Teller!F$2:F$1048576, "&lt;4000")</f>
        <v>0</v>
      </c>
      <c r="N62" s="9">
        <f>SUMIFS(Teller!I$2:I$1048576, Teller!F$2:F$1048576, "&gt;3999", Teller!F$2:F$1048576, "&lt;5000")</f>
        <v>0</v>
      </c>
      <c r="O62" s="9">
        <f>SUMIFS(Teller!I$2:I$1048576, Teller!F$2:F$1048576, "&gt;4999", Teller!F$2:F$1048576, "&lt;6000")</f>
        <v>0</v>
      </c>
      <c r="P62" s="8">
        <f>Teller!A14</f>
        <v>0</v>
      </c>
      <c r="Q62" s="9">
        <f>Teller!A18</f>
        <v>0</v>
      </c>
      <c r="R62" t="str">
        <f t="shared" si="1"/>
        <v>OK</v>
      </c>
    </row>
    <row r="63" spans="1:18">
      <c r="A63" t="s">
        <v>334</v>
      </c>
      <c r="B63" t="s">
        <v>52</v>
      </c>
      <c r="C63" s="27" t="str">
        <f>HYPERLINK("#'Unalakleet'!A1","Unalakleet")</f>
        <v>Unalakleet</v>
      </c>
      <c r="D63">
        <f>COUNTA(Unalakleet!K$2:K$1048576)</f>
        <v>0</v>
      </c>
      <c r="E63">
        <f>Unalakleet!A12</f>
        <v>0</v>
      </c>
      <c r="F63">
        <f>Unalakleet!A6</f>
        <v>0</v>
      </c>
      <c r="G63">
        <f>Unalakleet!A8</f>
        <v>0</v>
      </c>
      <c r="H63">
        <f>Unalakleet!A10</f>
        <v>0</v>
      </c>
      <c r="I63">
        <f>COUNTA(Unalakleet!B$2:B$1048576)</f>
        <v>0</v>
      </c>
      <c r="J63" s="8">
        <f>SUM(Unalakleet!D$2:D$1048576)+SUM(Unalakleet!I$2:I$1048576)</f>
        <v>0</v>
      </c>
      <c r="K63" s="9">
        <f>SUM(Unalakleet!D$2:D$1048576)</f>
        <v>0</v>
      </c>
      <c r="L63" s="9">
        <f>SUMIFS(Unalakleet!I$2:I$1048576, Unalakleet!F$2:F$1048576, "&gt;1999", Unalakleet!F$2:F$1048576, "&lt;3000")</f>
        <v>0</v>
      </c>
      <c r="M63" s="9">
        <f>SUMIFS(Unalakleet!I$2:I$1048576, Unalakleet!F$2:F$1048576, "&gt;2999", Unalakleet!F$2:F$1048576, "&lt;4000")</f>
        <v>0</v>
      </c>
      <c r="N63" s="9">
        <f>SUMIFS(Unalakleet!I$2:I$1048576, Unalakleet!F$2:F$1048576, "&gt;3999", Unalakleet!F$2:F$1048576, "&lt;5000")</f>
        <v>0</v>
      </c>
      <c r="O63" s="9">
        <f>SUMIFS(Unalakleet!I$2:I$1048576, Unalakleet!F$2:F$1048576, "&gt;4999", Unalakleet!F$2:F$1048576, "&lt;6000")</f>
        <v>0</v>
      </c>
      <c r="P63" s="8">
        <f>Unalakleet!A14</f>
        <v>0</v>
      </c>
      <c r="Q63" s="9">
        <f>Unalakleet!A18</f>
        <v>0</v>
      </c>
      <c r="R63" t="str">
        <f t="shared" si="1"/>
        <v>OK</v>
      </c>
    </row>
    <row r="64" spans="1:18" s="4" customFormat="1">
      <c r="A64" s="4" t="s">
        <v>335</v>
      </c>
      <c r="B64" s="4" t="s">
        <v>349</v>
      </c>
      <c r="C64" s="40" t="str">
        <f>HYPERLINK("#'SC Other'!A1","SC Other")</f>
        <v>SC Other</v>
      </c>
      <c r="D64" s="4">
        <f>COUNTA('SC Other'!K$2:K$1048576)</f>
        <v>0</v>
      </c>
      <c r="E64" s="4">
        <f>'SC Other'!A12</f>
        <v>0</v>
      </c>
      <c r="F64" s="4">
        <f>'SC Other'!A6</f>
        <v>0</v>
      </c>
      <c r="G64" s="4">
        <f>'SC Other'!A8</f>
        <v>0</v>
      </c>
      <c r="H64" s="4">
        <f>'SC Other'!A10</f>
        <v>0</v>
      </c>
      <c r="I64" s="4">
        <f>COUNTA('SC Other'!B$2:B$1048576)</f>
        <v>0</v>
      </c>
      <c r="J64" s="10">
        <f>SUM('SC Other'!D$2:D$1048576)+SUM('SC Other'!I$2:I$1048576)</f>
        <v>0</v>
      </c>
      <c r="K64" s="11">
        <f>SUM('SC Other'!D$2:D$1048576)</f>
        <v>0</v>
      </c>
      <c r="L64" s="11">
        <f>SUMIFS('SC Other'!I$2:I$1048576, 'SC Other'!F$2:F$1048576, "&gt;1999", 'SC Other'!F$2:F$1048576, "&lt;3000")</f>
        <v>0</v>
      </c>
      <c r="M64" s="11">
        <f>SUMIFS('SC Other'!I$2:I$1048576, 'SC Other'!F$2:F$1048576, "&gt;2999", 'SC Other'!F$2:F$1048576, "&lt;4000")</f>
        <v>0</v>
      </c>
      <c r="N64" s="11">
        <f>SUMIFS('SC Other'!I$2:I$1048576, 'SC Other'!F$2:F$1048576, "&gt;3999", 'SC Other'!F$2:F$1048576, "&lt;5000")</f>
        <v>0</v>
      </c>
      <c r="O64" s="11">
        <f>SUMIFS('SC Other'!I$2:I$1048576, 'SC Other'!F$2:F$1048576, "&gt;4999", 'SC Other'!F$2:F$1048576, "&lt;6000")</f>
        <v>0</v>
      </c>
      <c r="P64" s="10">
        <f>'SC Other'!A14</f>
        <v>0</v>
      </c>
      <c r="Q64" s="11">
        <f>'SC Other'!A18</f>
        <v>0</v>
      </c>
      <c r="R64" t="str">
        <f t="shared" si="1"/>
        <v>OK</v>
      </c>
    </row>
    <row r="65" spans="1:18">
      <c r="A65" t="s">
        <v>335</v>
      </c>
      <c r="B65" t="s">
        <v>1</v>
      </c>
      <c r="C65" s="27" t="str">
        <f>HYPERLINK("#'Adak Station'!A1","Adak Station")</f>
        <v>Adak Station</v>
      </c>
      <c r="D65">
        <f>COUNTA('Adak Station'!K$2:K$1048576)</f>
        <v>0</v>
      </c>
      <c r="E65">
        <f>'Adak Station'!A12</f>
        <v>0</v>
      </c>
      <c r="F65">
        <f>'Adak Station'!A6</f>
        <v>0</v>
      </c>
      <c r="G65">
        <f>'Adak Station'!A8</f>
        <v>0</v>
      </c>
      <c r="H65">
        <f>'Adak Station'!A10</f>
        <v>0</v>
      </c>
      <c r="I65">
        <f>COUNTA('Adak Station'!B$2:B$1048576)</f>
        <v>0</v>
      </c>
      <c r="J65" s="8">
        <f>SUM('Adak Station'!D$2:D$1048576)+SUM('Adak Station'!I$2:I$1048576)</f>
        <v>0</v>
      </c>
      <c r="K65" s="9">
        <f>SUM('Adak Station'!D$2:D$1048576)</f>
        <v>0</v>
      </c>
      <c r="L65" s="9">
        <f>SUMIFS('Adak Station'!I$2:I$1048576, 'Adak Station'!F$2:F$1048576, "&gt;1999", 'Adak Station'!F$2:F$1048576, "&lt;3000")</f>
        <v>0</v>
      </c>
      <c r="M65" s="9">
        <f>SUMIFS('Adak Station'!I$2:I$1048576, 'Adak Station'!F$2:F$1048576, "&gt;2999", 'Adak Station'!F$2:F$1048576, "&lt;4000")</f>
        <v>0</v>
      </c>
      <c r="N65" s="9">
        <f>SUMIFS('Adak Station'!I$2:I$1048576, 'Adak Station'!F$2:F$1048576, "&gt;3999", 'Adak Station'!F$2:F$1048576, "&lt;5000")</f>
        <v>0</v>
      </c>
      <c r="O65" s="9">
        <f>SUMIFS('Adak Station'!I$2:I$1048576, 'Adak Station'!F$2:F$1048576, "&gt;4999", 'Adak Station'!F$2:F$1048576, "&lt;6000")</f>
        <v>0</v>
      </c>
      <c r="P65" s="8">
        <f>'Adak Station'!A14</f>
        <v>0</v>
      </c>
      <c r="Q65" s="9">
        <f>'Adak Station'!A18</f>
        <v>0</v>
      </c>
      <c r="R65" t="str">
        <f t="shared" si="1"/>
        <v>OK</v>
      </c>
    </row>
    <row r="66" spans="1:18">
      <c r="A66" t="s">
        <v>335</v>
      </c>
      <c r="B66" t="s">
        <v>1</v>
      </c>
      <c r="C66" s="27" t="str">
        <f>HYPERLINK("#'Akun'!A1","Akun")</f>
        <v>Akun</v>
      </c>
      <c r="D66">
        <f>COUNTA(Akun!K$2:K$1048576)</f>
        <v>0</v>
      </c>
      <c r="E66">
        <f>Akun!A12</f>
        <v>0</v>
      </c>
      <c r="F66">
        <f>Akun!A6</f>
        <v>0</v>
      </c>
      <c r="G66">
        <f>Akun!A8</f>
        <v>0</v>
      </c>
      <c r="H66">
        <f>Akun!A10</f>
        <v>0</v>
      </c>
      <c r="I66">
        <f>COUNTA(Akun!B$2:B$1048576)</f>
        <v>0</v>
      </c>
      <c r="J66" s="8">
        <f>SUM(Akun!D$2:D$1048576)+SUM(Akun!I$2:I$1048576)</f>
        <v>0</v>
      </c>
      <c r="K66" s="9">
        <f>SUM(Akun!D$2:D$1048576)</f>
        <v>0</v>
      </c>
      <c r="L66" s="9">
        <f>SUMIFS(Akun!I$2:I$1048576, Akun!F$2:F$1048576, "&gt;1999", Akun!F$2:F$1048576, "&lt;3000")</f>
        <v>0</v>
      </c>
      <c r="M66" s="9">
        <f>SUMIFS(Akun!I$2:I$1048576, Akun!F$2:F$1048576, "&gt;2999", Akun!F$2:F$1048576, "&lt;4000")</f>
        <v>0</v>
      </c>
      <c r="N66" s="9">
        <f>SUMIFS(Akun!I$2:I$1048576, Akun!F$2:F$1048576, "&gt;3999", Akun!F$2:F$1048576, "&lt;5000")</f>
        <v>0</v>
      </c>
      <c r="O66" s="9">
        <f>SUMIFS(Akun!I$2:I$1048576, Akun!F$2:F$1048576, "&gt;4999", Akun!F$2:F$1048576, "&lt;6000")</f>
        <v>0</v>
      </c>
      <c r="P66" s="8">
        <f>Akun!A14</f>
        <v>0</v>
      </c>
      <c r="Q66" s="9">
        <f>Akun!A18</f>
        <v>0</v>
      </c>
      <c r="R66" t="str">
        <f t="shared" ref="R66:R84" si="2">IF(SUM(K66:O66)=J66,"OK","&gt;&gt;ERROR&lt;&lt;")</f>
        <v>OK</v>
      </c>
    </row>
    <row r="67" spans="1:18">
      <c r="A67" t="s">
        <v>335</v>
      </c>
      <c r="B67" t="s">
        <v>1</v>
      </c>
      <c r="C67" s="27" t="str">
        <f>HYPERLINK("#'Cold Bay'!A1","Cold Bay")</f>
        <v>Cold Bay</v>
      </c>
      <c r="D67">
        <f>COUNTA('Cold Bay'!K$2:K$1048576)</f>
        <v>0</v>
      </c>
      <c r="E67">
        <f>'Cold Bay'!A12</f>
        <v>0</v>
      </c>
      <c r="F67">
        <f>'Cold Bay'!A6</f>
        <v>0</v>
      </c>
      <c r="G67">
        <f>'Cold Bay'!A8</f>
        <v>0</v>
      </c>
      <c r="H67">
        <f>'Cold Bay'!A10</f>
        <v>0</v>
      </c>
      <c r="I67">
        <f>COUNTA('Cold Bay'!B$2:B$1048576)</f>
        <v>0</v>
      </c>
      <c r="J67" s="8">
        <f>SUM('Cold Bay'!D$2:D$1048576)+SUM('Cold Bay'!I$2:I$1048576)</f>
        <v>0</v>
      </c>
      <c r="K67" s="9">
        <f>SUM('Cold Bay'!D$2:D$1048576)</f>
        <v>0</v>
      </c>
      <c r="L67" s="9">
        <f>SUMIFS('Cold Bay'!I$2:I$1048576, 'Cold Bay'!F$2:F$1048576, "&gt;1999", 'Cold Bay'!F$2:F$1048576, "&lt;3000")</f>
        <v>0</v>
      </c>
      <c r="M67" s="9">
        <f>SUMIFS('Cold Bay'!I$2:I$1048576, 'Cold Bay'!F$2:F$1048576, "&gt;2999", 'Cold Bay'!F$2:F$1048576, "&lt;4000")</f>
        <v>0</v>
      </c>
      <c r="N67" s="9">
        <f>SUMIFS('Cold Bay'!I$2:I$1048576, 'Cold Bay'!F$2:F$1048576, "&gt;3999", 'Cold Bay'!F$2:F$1048576, "&lt;5000")</f>
        <v>0</v>
      </c>
      <c r="O67" s="9">
        <f>SUMIFS('Cold Bay'!I$2:I$1048576, 'Cold Bay'!F$2:F$1048576, "&gt;4999", 'Cold Bay'!F$2:F$1048576, "&lt;6000")</f>
        <v>0</v>
      </c>
      <c r="P67" s="8">
        <f>'Cold Bay'!A14</f>
        <v>0</v>
      </c>
      <c r="Q67" s="9">
        <f>'Cold Bay'!A18</f>
        <v>0</v>
      </c>
      <c r="R67" t="str">
        <f t="shared" si="2"/>
        <v>OK</v>
      </c>
    </row>
    <row r="68" spans="1:18">
      <c r="A68" t="s">
        <v>335</v>
      </c>
      <c r="B68" t="s">
        <v>1</v>
      </c>
      <c r="C68" s="27" t="str">
        <f>HYPERLINK("#'Iliamna'!A1","Iliamna")</f>
        <v>Iliamna</v>
      </c>
      <c r="D68">
        <f>COUNTA(Iliamna!K$2:K$1048576)</f>
        <v>0</v>
      </c>
      <c r="E68">
        <f>Iliamna!A12</f>
        <v>0</v>
      </c>
      <c r="F68">
        <f>Iliamna!A6</f>
        <v>0</v>
      </c>
      <c r="G68">
        <f>Iliamna!A8</f>
        <v>0</v>
      </c>
      <c r="H68">
        <f>Iliamna!A10</f>
        <v>0</v>
      </c>
      <c r="I68">
        <f>COUNTA(Iliamna!B$2:B$1048576)</f>
        <v>0</v>
      </c>
      <c r="J68" s="8">
        <f>SUM(Iliamna!D$2:D$1048576)+SUM(Iliamna!I$2:I$1048576)</f>
        <v>0</v>
      </c>
      <c r="K68" s="9">
        <f>SUM(Iliamna!D$2:D$1048576)</f>
        <v>0</v>
      </c>
      <c r="L68" s="9">
        <f>SUMIFS(Iliamna!I$2:I$1048576, Iliamna!F$2:F$1048576, "&gt;1999", Iliamna!F$2:F$1048576, "&lt;3000")</f>
        <v>0</v>
      </c>
      <c r="M68" s="9">
        <f>SUMIFS(Iliamna!I$2:I$1048576, Iliamna!F$2:F$1048576, "&gt;2999", Iliamna!F$2:F$1048576, "&lt;4000")</f>
        <v>0</v>
      </c>
      <c r="N68" s="9">
        <f>SUMIFS(Iliamna!I$2:I$1048576, Iliamna!F$2:F$1048576, "&gt;3999", Iliamna!F$2:F$1048576, "&lt;5000")</f>
        <v>0</v>
      </c>
      <c r="O68" s="9">
        <f>SUMIFS(Iliamna!I$2:I$1048576, Iliamna!F$2:F$1048576, "&gt;4999", Iliamna!F$2:F$1048576, "&lt;6000")</f>
        <v>0</v>
      </c>
      <c r="P68" s="8">
        <f>Iliamna!A14</f>
        <v>0</v>
      </c>
      <c r="Q68" s="9">
        <f>Iliamna!A18</f>
        <v>0</v>
      </c>
      <c r="R68" t="str">
        <f t="shared" si="2"/>
        <v>OK</v>
      </c>
    </row>
    <row r="69" spans="1:18">
      <c r="A69" t="s">
        <v>335</v>
      </c>
      <c r="B69" t="s">
        <v>1</v>
      </c>
      <c r="C69" s="27" t="str">
        <f>HYPERLINK("#'Kalsin Bay'!A1","Kalsin Bay")</f>
        <v>Kalsin Bay</v>
      </c>
      <c r="D69">
        <f>COUNTA('Kalsin Bay'!K$2:K$1048576)</f>
        <v>0</v>
      </c>
      <c r="E69">
        <f>'Kalsin Bay'!A12</f>
        <v>0</v>
      </c>
      <c r="F69">
        <f>'Kalsin Bay'!A6</f>
        <v>0</v>
      </c>
      <c r="G69">
        <f>'Kalsin Bay'!A8</f>
        <v>0</v>
      </c>
      <c r="H69">
        <f>'Kalsin Bay'!A10</f>
        <v>0</v>
      </c>
      <c r="I69">
        <f>COUNTA('Kalsin Bay'!B$2:B$1048576)</f>
        <v>0</v>
      </c>
      <c r="J69" s="8">
        <f>SUM('Kalsin Bay'!D$2:D$1048576)+SUM('Kalsin Bay'!I$2:I$1048576)</f>
        <v>0</v>
      </c>
      <c r="K69" s="9">
        <f>SUM('Kalsin Bay'!D$2:D$1048576)</f>
        <v>0</v>
      </c>
      <c r="L69" s="9">
        <f>SUMIFS('Kalsin Bay'!I$2:I$1048576, 'Kalsin Bay'!F$2:F$1048576, "&gt;1999", 'Kalsin Bay'!F$2:F$1048576, "&lt;3000")</f>
        <v>0</v>
      </c>
      <c r="M69" s="9">
        <f>SUMIFS('Kalsin Bay'!I$2:I$1048576, 'Kalsin Bay'!F$2:F$1048576, "&gt;2999", 'Kalsin Bay'!F$2:F$1048576, "&lt;4000")</f>
        <v>0</v>
      </c>
      <c r="N69" s="9">
        <f>SUMIFS('Kalsin Bay'!I$2:I$1048576, 'Kalsin Bay'!F$2:F$1048576, "&gt;3999", 'Kalsin Bay'!F$2:F$1048576, "&lt;5000")</f>
        <v>0</v>
      </c>
      <c r="O69" s="9">
        <f>SUMIFS('Kalsin Bay'!I$2:I$1048576, 'Kalsin Bay'!F$2:F$1048576, "&gt;4999", 'Kalsin Bay'!F$2:F$1048576, "&lt;6000")</f>
        <v>0</v>
      </c>
      <c r="P69" s="8">
        <f>'Kalsin Bay'!A14</f>
        <v>0</v>
      </c>
      <c r="Q69" s="9">
        <f>'Kalsin Bay'!A18</f>
        <v>0</v>
      </c>
      <c r="R69" t="str">
        <f t="shared" si="2"/>
        <v>OK</v>
      </c>
    </row>
    <row r="70" spans="1:18">
      <c r="A70" t="s">
        <v>335</v>
      </c>
      <c r="B70" t="s">
        <v>1</v>
      </c>
      <c r="C70" s="27" t="str">
        <f>HYPERLINK("#'King Salmon'!A1","King Salmon")</f>
        <v>King Salmon</v>
      </c>
      <c r="D70">
        <f>COUNTA('King Salmon'!K$2:K$1048576)</f>
        <v>0</v>
      </c>
      <c r="E70">
        <f>'King Salmon'!A12</f>
        <v>0</v>
      </c>
      <c r="F70">
        <f>'King Salmon'!A6</f>
        <v>0</v>
      </c>
      <c r="G70">
        <f>'King Salmon'!A8</f>
        <v>0</v>
      </c>
      <c r="H70">
        <f>'King Salmon'!A10</f>
        <v>0</v>
      </c>
      <c r="I70">
        <f>COUNTA('King Salmon'!B$2:B$1048576)</f>
        <v>0</v>
      </c>
      <c r="J70" s="8">
        <f>SUM('King Salmon'!D$2:D$1048576)+SUM('King Salmon'!I$2:I$1048576)</f>
        <v>0</v>
      </c>
      <c r="K70" s="9">
        <f>SUM('King Salmon'!D$2:D$1048576)</f>
        <v>0</v>
      </c>
      <c r="L70" s="9">
        <f>SUMIFS('King Salmon'!I$2:I$1048576, 'King Salmon'!F$2:F$1048576, "&gt;1999", 'King Salmon'!F$2:F$1048576, "&lt;3000")</f>
        <v>0</v>
      </c>
      <c r="M70" s="9">
        <f>SUMIFS('King Salmon'!I$2:I$1048576, 'King Salmon'!F$2:F$1048576, "&gt;2999", 'King Salmon'!F$2:F$1048576, "&lt;4000")</f>
        <v>0</v>
      </c>
      <c r="N70" s="9">
        <f>SUMIFS('King Salmon'!I$2:I$1048576, 'King Salmon'!F$2:F$1048576, "&gt;3999", 'King Salmon'!F$2:F$1048576, "&lt;5000")</f>
        <v>0</v>
      </c>
      <c r="O70" s="9">
        <f>SUMIFS('King Salmon'!I$2:I$1048576, 'King Salmon'!F$2:F$1048576, "&gt;4999", 'King Salmon'!F$2:F$1048576, "&lt;6000")</f>
        <v>0</v>
      </c>
      <c r="P70" s="8">
        <f>'King Salmon'!A14</f>
        <v>0</v>
      </c>
      <c r="Q70" s="9">
        <f>'King Salmon'!A18</f>
        <v>0</v>
      </c>
      <c r="R70" t="str">
        <f t="shared" si="2"/>
        <v>OK</v>
      </c>
    </row>
    <row r="71" spans="1:18">
      <c r="A71" t="s">
        <v>335</v>
      </c>
      <c r="B71" t="s">
        <v>1</v>
      </c>
      <c r="C71" s="27" t="str">
        <f>HYPERLINK("#'Kodiak'!A1","Kodiak")</f>
        <v>Kodiak</v>
      </c>
      <c r="D71">
        <f>COUNTA(Kodiak!K$2:K$1048576)</f>
        <v>0</v>
      </c>
      <c r="E71">
        <f>Kodiak!A12</f>
        <v>0</v>
      </c>
      <c r="F71">
        <f>Kodiak!A6</f>
        <v>0</v>
      </c>
      <c r="G71">
        <f>Kodiak!A8</f>
        <v>0</v>
      </c>
      <c r="H71">
        <f>Kodiak!A10</f>
        <v>0</v>
      </c>
      <c r="I71">
        <f>COUNTA(Kodiak!B$2:B$1048576)</f>
        <v>0</v>
      </c>
      <c r="J71" s="8">
        <f>SUM(Kodiak!D$2:D$1048576)+SUM(Kodiak!I$2:I$1048576)</f>
        <v>0</v>
      </c>
      <c r="K71" s="9">
        <f>SUM(Kodiak!D$2:D$1048576)</f>
        <v>0</v>
      </c>
      <c r="L71" s="9">
        <f>SUMIFS(Kodiak!I$2:I$1048576, Kodiak!F$2:F$1048576, "&gt;1999", Kodiak!F$2:F$1048576, "&lt;3000")</f>
        <v>0</v>
      </c>
      <c r="M71" s="9">
        <f>SUMIFS(Kodiak!I$2:I$1048576, Kodiak!F$2:F$1048576, "&gt;2999", Kodiak!F$2:F$1048576, "&lt;4000")</f>
        <v>0</v>
      </c>
      <c r="N71" s="9">
        <f>SUMIFS(Kodiak!I$2:I$1048576, Kodiak!F$2:F$1048576, "&gt;3999", Kodiak!F$2:F$1048576, "&lt;5000")</f>
        <v>0</v>
      </c>
      <c r="O71" s="9">
        <f>SUMIFS(Kodiak!I$2:I$1048576, Kodiak!F$2:F$1048576, "&gt;4999", Kodiak!F$2:F$1048576, "&lt;6000")</f>
        <v>0</v>
      </c>
      <c r="P71" s="8">
        <f>Kodiak!A14</f>
        <v>0</v>
      </c>
      <c r="Q71" s="9">
        <f>Kodiak!A18</f>
        <v>0</v>
      </c>
      <c r="R71" t="str">
        <f t="shared" si="2"/>
        <v>OK</v>
      </c>
    </row>
    <row r="72" spans="1:18">
      <c r="A72" t="s">
        <v>335</v>
      </c>
      <c r="B72" t="s">
        <v>1</v>
      </c>
      <c r="C72" s="27" t="str">
        <f>HYPERLINK("#'Unalaska'!A1","Unalaska")</f>
        <v>Unalaska</v>
      </c>
      <c r="D72">
        <f>COUNTA(Unalaska!K$2:K$1048576)</f>
        <v>0</v>
      </c>
      <c r="E72">
        <f>Unalaska!A12</f>
        <v>0</v>
      </c>
      <c r="F72">
        <f>Unalaska!A6</f>
        <v>0</v>
      </c>
      <c r="G72">
        <f>Unalaska!A8</f>
        <v>0</v>
      </c>
      <c r="H72">
        <f>Unalaska!A10</f>
        <v>0</v>
      </c>
      <c r="I72">
        <f>COUNTA(Unalaska!B$2:B$1048576)</f>
        <v>0</v>
      </c>
      <c r="J72" s="8">
        <f>SUM(Unalaska!D$2:D$1048576)+SUM(Unalaska!I$2:I$1048576)</f>
        <v>0</v>
      </c>
      <c r="K72" s="9">
        <f>SUM(Unalaska!D$2:D$1048576)</f>
        <v>0</v>
      </c>
      <c r="L72" s="9">
        <f>SUMIFS(Unalaska!I$2:I$1048576, Unalaska!F$2:F$1048576, "&gt;1999", Unalaska!F$2:F$1048576, "&lt;3000")</f>
        <v>0</v>
      </c>
      <c r="M72" s="9">
        <f>SUMIFS(Unalaska!I$2:I$1048576, Unalaska!F$2:F$1048576, "&gt;2999", Unalaska!F$2:F$1048576, "&lt;4000")</f>
        <v>0</v>
      </c>
      <c r="N72" s="9">
        <f>SUMIFS(Unalaska!I$2:I$1048576, Unalaska!F$2:F$1048576, "&gt;3999", Unalaska!F$2:F$1048576, "&lt;5000")</f>
        <v>0</v>
      </c>
      <c r="O72" s="9">
        <f>SUMIFS(Unalaska!I$2:I$1048576, Unalaska!F$2:F$1048576, "&gt;4999", Unalaska!F$2:F$1048576, "&lt;6000")</f>
        <v>0</v>
      </c>
      <c r="P72" s="8">
        <f>Unalaska!A14</f>
        <v>0</v>
      </c>
      <c r="Q72" s="9">
        <f>Unalaska!A18</f>
        <v>0</v>
      </c>
      <c r="R72" t="str">
        <f t="shared" si="2"/>
        <v>OK</v>
      </c>
    </row>
    <row r="73" spans="1:18">
      <c r="A73" t="s">
        <v>335</v>
      </c>
      <c r="B73" t="s">
        <v>10</v>
      </c>
      <c r="C73" s="27" t="str">
        <f>HYPERLINK("#'Coffman Cove'!A1","Coffman Cove")</f>
        <v>Coffman Cove</v>
      </c>
      <c r="D73">
        <f>COUNTA('Coffman Cove'!K$2:K$1048576)</f>
        <v>0</v>
      </c>
      <c r="E73">
        <f>'Coffman Cove'!A12</f>
        <v>0</v>
      </c>
      <c r="F73">
        <f>'Coffman Cove'!A6</f>
        <v>0</v>
      </c>
      <c r="G73">
        <f>'Coffman Cove'!A8</f>
        <v>0</v>
      </c>
      <c r="H73">
        <f>'Coffman Cove'!A10</f>
        <v>0</v>
      </c>
      <c r="I73">
        <f>COUNTA('Coffman Cove'!B$2:B$1048576)</f>
        <v>0</v>
      </c>
      <c r="J73" s="8">
        <f>SUM('Coffman Cove'!D$2:D$1048576)+SUM('Coffman Cove'!I$2:I$1048576)</f>
        <v>0</v>
      </c>
      <c r="K73" s="9">
        <f>SUM('Coffman Cove'!D$2:D$1048576)</f>
        <v>0</v>
      </c>
      <c r="L73" s="9">
        <f>SUMIFS('Coffman Cove'!I$2:I$1048576, 'Coffman Cove'!F$2:F$1048576, "&gt;1999", 'Coffman Cove'!F$2:F$1048576, "&lt;3000")</f>
        <v>0</v>
      </c>
      <c r="M73" s="9">
        <f>SUMIFS('Coffman Cove'!I$2:I$1048576, 'Coffman Cove'!F$2:F$1048576, "&gt;2999", 'Coffman Cove'!F$2:F$1048576, "&lt;4000")</f>
        <v>0</v>
      </c>
      <c r="N73" s="9">
        <f>SUMIFS('Coffman Cove'!I$2:I$1048576, 'Coffman Cove'!F$2:F$1048576, "&gt;3999", 'Coffman Cove'!F$2:F$1048576, "&lt;5000")</f>
        <v>0</v>
      </c>
      <c r="O73" s="9">
        <f>SUMIFS('Coffman Cove'!I$2:I$1048576, 'Coffman Cove'!F$2:F$1048576, "&gt;4999", 'Coffman Cove'!F$2:F$1048576, "&lt;6000")</f>
        <v>0</v>
      </c>
      <c r="P73" s="8">
        <f>'Coffman Cove'!A14</f>
        <v>0</v>
      </c>
      <c r="Q73" s="9">
        <f>'Coffman Cove'!A18</f>
        <v>0</v>
      </c>
      <c r="R73" t="str">
        <f t="shared" si="2"/>
        <v>OK</v>
      </c>
    </row>
    <row r="74" spans="1:18">
      <c r="A74" t="s">
        <v>335</v>
      </c>
      <c r="B74" t="s">
        <v>10</v>
      </c>
      <c r="C74" s="27" t="str">
        <f>HYPERLINK("#'Gustavus'!A1","Gustavus")</f>
        <v>Gustavus</v>
      </c>
      <c r="D74">
        <f>COUNTA(Gustavus!K$2:K$1048576)</f>
        <v>0</v>
      </c>
      <c r="E74">
        <f>Gustavus!A12</f>
        <v>0</v>
      </c>
      <c r="F74">
        <f>Gustavus!A6</f>
        <v>0</v>
      </c>
      <c r="G74">
        <f>Gustavus!A8</f>
        <v>0</v>
      </c>
      <c r="H74">
        <f>Gustavus!A10</f>
        <v>0</v>
      </c>
      <c r="I74">
        <f>COUNTA(Gustavus!B$2:B$1048576)</f>
        <v>0</v>
      </c>
      <c r="J74" s="8">
        <f>SUM(Gustavus!D$2:D$1048576)+SUM(Gustavus!I$2:I$1048576)</f>
        <v>0</v>
      </c>
      <c r="K74" s="9">
        <f>SUM(Gustavus!D$2:D$1048576)</f>
        <v>0</v>
      </c>
      <c r="L74" s="9">
        <f>SUMIFS(Gustavus!I$2:I$1048576, Gustavus!F$2:F$1048576, "&gt;1999", Gustavus!F$2:F$1048576, "&lt;3000")</f>
        <v>0</v>
      </c>
      <c r="M74" s="9">
        <f>SUMIFS(Gustavus!I$2:I$1048576, Gustavus!F$2:F$1048576, "&gt;2999", Gustavus!F$2:F$1048576, "&lt;4000")</f>
        <v>0</v>
      </c>
      <c r="N74" s="9">
        <f>SUMIFS(Gustavus!I$2:I$1048576, Gustavus!F$2:F$1048576, "&gt;3999", Gustavus!F$2:F$1048576, "&lt;5000")</f>
        <v>0</v>
      </c>
      <c r="O74" s="9">
        <f>SUMIFS(Gustavus!I$2:I$1048576, Gustavus!F$2:F$1048576, "&gt;4999", Gustavus!F$2:F$1048576, "&lt;6000")</f>
        <v>0</v>
      </c>
      <c r="P74" s="8">
        <f>Gustavus!A14</f>
        <v>0</v>
      </c>
      <c r="Q74" s="9">
        <f>Gustavus!A18</f>
        <v>0</v>
      </c>
      <c r="R74" t="str">
        <f t="shared" si="2"/>
        <v>OK</v>
      </c>
    </row>
    <row r="75" spans="1:18">
      <c r="A75" t="s">
        <v>335</v>
      </c>
      <c r="B75" t="s">
        <v>10</v>
      </c>
      <c r="C75" s="27" t="str">
        <f>HYPERLINK("#'Haines'!A1","Haines")</f>
        <v>Haines</v>
      </c>
      <c r="D75">
        <f>COUNTA(Haines!K$2:K$1048576)</f>
        <v>0</v>
      </c>
      <c r="E75">
        <f>Haines!A12</f>
        <v>0</v>
      </c>
      <c r="F75">
        <f>Haines!A6</f>
        <v>0</v>
      </c>
      <c r="G75">
        <f>Haines!A8</f>
        <v>0</v>
      </c>
      <c r="H75">
        <f>Haines!A10</f>
        <v>0</v>
      </c>
      <c r="I75">
        <f>COUNTA(Haines!B$2:B$1048576)</f>
        <v>0</v>
      </c>
      <c r="J75" s="8">
        <f>SUM(Haines!D$2:D$1048576)+SUM(Haines!I$2:I$1048576)</f>
        <v>0</v>
      </c>
      <c r="K75" s="9">
        <f>SUM(Haines!D$2:D$1048576)</f>
        <v>0</v>
      </c>
      <c r="L75" s="9">
        <f>SUMIFS(Haines!I$2:I$1048576, Haines!F$2:F$1048576, "&gt;1999", Haines!F$2:F$1048576, "&lt;3000")</f>
        <v>0</v>
      </c>
      <c r="M75" s="9">
        <f>SUMIFS(Haines!I$2:I$1048576, Haines!F$2:F$1048576, "&gt;2999", Haines!F$2:F$1048576, "&lt;4000")</f>
        <v>0</v>
      </c>
      <c r="N75" s="9">
        <f>SUMIFS(Haines!I$2:I$1048576, Haines!F$2:F$1048576, "&gt;3999", Haines!F$2:F$1048576, "&lt;5000")</f>
        <v>0</v>
      </c>
      <c r="O75" s="9">
        <f>SUMIFS(Haines!I$2:I$1048576, Haines!F$2:F$1048576, "&gt;4999", Haines!F$2:F$1048576, "&lt;6000")</f>
        <v>0</v>
      </c>
      <c r="P75" s="8">
        <f>Haines!A14</f>
        <v>0</v>
      </c>
      <c r="Q75" s="9">
        <f>Haines!A18</f>
        <v>0</v>
      </c>
      <c r="R75" t="str">
        <f t="shared" si="2"/>
        <v>OK</v>
      </c>
    </row>
    <row r="76" spans="1:18">
      <c r="A76" t="s">
        <v>335</v>
      </c>
      <c r="B76" t="s">
        <v>10</v>
      </c>
      <c r="C76" s="27" t="str">
        <f>HYPERLINK("#'Hoonah'!A1","Hoonah")</f>
        <v>Hoonah</v>
      </c>
      <c r="D76">
        <f>COUNTA(Hoonah!K$2:K$1048576)</f>
        <v>0</v>
      </c>
      <c r="E76">
        <f>Hoonah!A12</f>
        <v>0</v>
      </c>
      <c r="F76">
        <f>Hoonah!A6</f>
        <v>0</v>
      </c>
      <c r="G76">
        <f>Hoonah!A8</f>
        <v>0</v>
      </c>
      <c r="H76">
        <f>Hoonah!A10</f>
        <v>0</v>
      </c>
      <c r="I76">
        <f>COUNTA(Hoonah!B$2:B$1048576)</f>
        <v>0</v>
      </c>
      <c r="J76" s="8">
        <f>SUM(Hoonah!D$2:D$1048576)+SUM(Hoonah!I$2:I$1048576)</f>
        <v>0</v>
      </c>
      <c r="K76" s="9">
        <f>SUM(Hoonah!D$2:D$1048576)</f>
        <v>0</v>
      </c>
      <c r="L76" s="9">
        <f>SUMIFS(Hoonah!I$2:I$1048576, Hoonah!F$2:F$1048576, "&gt;1999", Hoonah!F$2:F$1048576, "&lt;3000")</f>
        <v>0</v>
      </c>
      <c r="M76" s="9">
        <f>SUMIFS(Hoonah!I$2:I$1048576, Hoonah!F$2:F$1048576, "&gt;2999", Hoonah!F$2:F$1048576, "&lt;4000")</f>
        <v>0</v>
      </c>
      <c r="N76" s="9">
        <f>SUMIFS(Hoonah!I$2:I$1048576, Hoonah!F$2:F$1048576, "&gt;3999", Hoonah!F$2:F$1048576, "&lt;5000")</f>
        <v>0</v>
      </c>
      <c r="O76" s="9">
        <f>SUMIFS(Hoonah!I$2:I$1048576, Hoonah!F$2:F$1048576, "&gt;4999", Hoonah!F$2:F$1048576, "&lt;6000")</f>
        <v>0</v>
      </c>
      <c r="P76" s="8">
        <f>Hoonah!A14</f>
        <v>0</v>
      </c>
      <c r="Q76" s="9">
        <f>Hoonah!A18</f>
        <v>0</v>
      </c>
      <c r="R76" t="str">
        <f t="shared" si="2"/>
        <v>OK</v>
      </c>
    </row>
    <row r="77" spans="1:18">
      <c r="A77" t="s">
        <v>335</v>
      </c>
      <c r="B77" t="s">
        <v>10</v>
      </c>
      <c r="C77" s="27" t="str">
        <f>HYPERLINK("#'Juneau'!A1","Juneau")</f>
        <v>Juneau</v>
      </c>
      <c r="D77">
        <f>COUNTA(Juneau!K$2:K$1048576)</f>
        <v>0</v>
      </c>
      <c r="E77">
        <f>Juneau!A12</f>
        <v>0</v>
      </c>
      <c r="F77">
        <f>Juneau!A6</f>
        <v>0</v>
      </c>
      <c r="G77">
        <f>Juneau!A8</f>
        <v>0</v>
      </c>
      <c r="H77">
        <f>Juneau!A10</f>
        <v>0</v>
      </c>
      <c r="I77">
        <f>COUNTA(Juneau!B$2:B$1048576)</f>
        <v>0</v>
      </c>
      <c r="J77" s="8">
        <f>SUM(Juneau!D$2:D$1048576)+SUM(Juneau!I$2:I$1048576)</f>
        <v>0</v>
      </c>
      <c r="K77" s="9">
        <f>SUM(Juneau!D$2:D$1048576)</f>
        <v>0</v>
      </c>
      <c r="L77" s="9">
        <f>SUMIFS(Juneau!I$2:I$1048576, Juneau!F$2:F$1048576, "&gt;1999", Juneau!F$2:F$1048576, "&lt;3000")</f>
        <v>0</v>
      </c>
      <c r="M77" s="9">
        <f>SUMIFS(Juneau!I$2:I$1048576, Juneau!F$2:F$1048576, "&gt;2999", Juneau!F$2:F$1048576, "&lt;4000")</f>
        <v>0</v>
      </c>
      <c r="N77" s="9">
        <f>SUMIFS(Juneau!I$2:I$1048576, Juneau!F$2:F$1048576, "&gt;3999", Juneau!F$2:F$1048576, "&lt;5000")</f>
        <v>0</v>
      </c>
      <c r="O77" s="9">
        <f>SUMIFS(Juneau!I$2:I$1048576, Juneau!F$2:F$1048576, "&gt;4999", Juneau!F$2:F$1048576, "&lt;6000")</f>
        <v>0</v>
      </c>
      <c r="P77" s="8">
        <f>Juneau!A14</f>
        <v>0</v>
      </c>
      <c r="Q77" s="9">
        <f>Juneau!A18</f>
        <v>0</v>
      </c>
      <c r="R77" t="str">
        <f t="shared" si="2"/>
        <v>OK</v>
      </c>
    </row>
    <row r="78" spans="1:18">
      <c r="A78" t="s">
        <v>335</v>
      </c>
      <c r="B78" t="s">
        <v>10</v>
      </c>
      <c r="C78" s="27" t="str">
        <f>HYPERLINK("#'Ketchikan'!A1","Ketchikan")</f>
        <v>Ketchikan</v>
      </c>
      <c r="D78">
        <f>COUNTA(Ketchikan!K$2:K$1048576)</f>
        <v>0</v>
      </c>
      <c r="E78">
        <f>Ketchikan!A12</f>
        <v>0</v>
      </c>
      <c r="F78">
        <f>Ketchikan!A6</f>
        <v>0</v>
      </c>
      <c r="G78">
        <f>Ketchikan!A8</f>
        <v>0</v>
      </c>
      <c r="H78">
        <f>Ketchikan!A10</f>
        <v>0</v>
      </c>
      <c r="I78">
        <f>COUNTA(Ketchikan!B$2:B$1048576)</f>
        <v>0</v>
      </c>
      <c r="J78" s="8">
        <f>SUM(Ketchikan!D$2:D$1048576)+SUM(Ketchikan!I$2:I$1048576)</f>
        <v>0</v>
      </c>
      <c r="K78" s="9">
        <f>SUM(Ketchikan!D$2:D$1048576)</f>
        <v>0</v>
      </c>
      <c r="L78" s="9">
        <f>SUMIFS(Ketchikan!I$2:I$1048576, Ketchikan!F$2:F$1048576, "&gt;1999", Ketchikan!F$2:F$1048576, "&lt;3000")</f>
        <v>0</v>
      </c>
      <c r="M78" s="9">
        <f>SUMIFS(Ketchikan!I$2:I$1048576, Ketchikan!F$2:F$1048576, "&gt;2999", Ketchikan!F$2:F$1048576, "&lt;4000")</f>
        <v>0</v>
      </c>
      <c r="N78" s="9">
        <f>SUMIFS(Ketchikan!I$2:I$1048576, Ketchikan!F$2:F$1048576, "&gt;3999", Ketchikan!F$2:F$1048576, "&lt;5000")</f>
        <v>0</v>
      </c>
      <c r="O78" s="9">
        <f>SUMIFS(Ketchikan!I$2:I$1048576, Ketchikan!F$2:F$1048576, "&gt;4999", Ketchikan!F$2:F$1048576, "&lt;6000")</f>
        <v>0</v>
      </c>
      <c r="P78" s="8">
        <f>Ketchikan!A14</f>
        <v>0</v>
      </c>
      <c r="Q78" s="9">
        <f>Ketchikan!A18</f>
        <v>0</v>
      </c>
      <c r="R78" t="str">
        <f t="shared" si="2"/>
        <v>OK</v>
      </c>
    </row>
    <row r="79" spans="1:18">
      <c r="A79" t="s">
        <v>335</v>
      </c>
      <c r="B79" t="s">
        <v>10</v>
      </c>
      <c r="C79" s="27" t="str">
        <f>HYPERLINK("#'Klawock'!A1","Klawock")</f>
        <v>Klawock</v>
      </c>
      <c r="D79">
        <f>COUNTA(Klawock!K$2:K$1048576)</f>
        <v>0</v>
      </c>
      <c r="E79">
        <f>Klawock!A12</f>
        <v>0</v>
      </c>
      <c r="F79">
        <f>Klawock!A6</f>
        <v>0</v>
      </c>
      <c r="G79">
        <f>Klawock!A8</f>
        <v>0</v>
      </c>
      <c r="H79">
        <f>Klawock!A10</f>
        <v>0</v>
      </c>
      <c r="I79">
        <f>COUNTA(Klawock!B$2:B$1048576)</f>
        <v>0</v>
      </c>
      <c r="J79" s="8">
        <f>SUM(Klawock!D$2:D$1048576)+SUM(Klawock!I$2:I$1048576)</f>
        <v>0</v>
      </c>
      <c r="K79" s="9">
        <f>SUM(Klawock!D$2:D$1048576)</f>
        <v>0</v>
      </c>
      <c r="L79" s="9">
        <f>SUMIFS(Klawock!I$2:I$1048576, Klawock!F$2:F$1048576, "&gt;1999", Klawock!F$2:F$1048576, "&lt;3000")</f>
        <v>0</v>
      </c>
      <c r="M79" s="9">
        <f>SUMIFS(Klawock!I$2:I$1048576, Klawock!F$2:F$1048576, "&gt;2999", Klawock!F$2:F$1048576, "&lt;4000")</f>
        <v>0</v>
      </c>
      <c r="N79" s="9">
        <f>SUMIFS(Klawock!I$2:I$1048576, Klawock!F$2:F$1048576, "&gt;3999", Klawock!F$2:F$1048576, "&lt;5000")</f>
        <v>0</v>
      </c>
      <c r="O79" s="9">
        <f>SUMIFS(Klawock!I$2:I$1048576, Klawock!F$2:F$1048576, "&gt;4999", Klawock!F$2:F$1048576, "&lt;6000")</f>
        <v>0</v>
      </c>
      <c r="P79" s="8">
        <f>Klawock!A14</f>
        <v>0</v>
      </c>
      <c r="Q79" s="9">
        <f>Klawock!A18</f>
        <v>0</v>
      </c>
      <c r="R79" t="str">
        <f t="shared" si="2"/>
        <v>OK</v>
      </c>
    </row>
    <row r="80" spans="1:18">
      <c r="A80" t="s">
        <v>335</v>
      </c>
      <c r="B80" t="s">
        <v>10</v>
      </c>
      <c r="C80" s="27" t="str">
        <f>HYPERLINK("#'Petersburg'!A1","Petersburg")</f>
        <v>Petersburg</v>
      </c>
      <c r="D80">
        <f>COUNTA(Petersburg!K$2:K$1048576)</f>
        <v>0</v>
      </c>
      <c r="E80">
        <f>Petersburg!A12</f>
        <v>0</v>
      </c>
      <c r="F80">
        <f>Petersburg!A6</f>
        <v>0</v>
      </c>
      <c r="G80">
        <f>Petersburg!A8</f>
        <v>0</v>
      </c>
      <c r="H80">
        <f>Petersburg!A10</f>
        <v>0</v>
      </c>
      <c r="I80">
        <f>COUNTA(Petersburg!B$2:B$1048576)</f>
        <v>0</v>
      </c>
      <c r="J80" s="8">
        <f>SUM(Petersburg!D$2:D$1048576)+SUM(Petersburg!I$2:I$1048576)</f>
        <v>0</v>
      </c>
      <c r="K80" s="9">
        <f>SUM(Petersburg!D$2:D$1048576)</f>
        <v>0</v>
      </c>
      <c r="L80" s="9">
        <f>SUMIFS(Petersburg!I$2:I$1048576, Petersburg!F$2:F$1048576, "&gt;1999", Petersburg!F$2:F$1048576, "&lt;3000")</f>
        <v>0</v>
      </c>
      <c r="M80" s="9">
        <f>SUMIFS(Petersburg!I$2:I$1048576, Petersburg!F$2:F$1048576, "&gt;2999", Petersburg!F$2:F$1048576, "&lt;4000")</f>
        <v>0</v>
      </c>
      <c r="N80" s="9">
        <f>SUMIFS(Petersburg!I$2:I$1048576, Petersburg!F$2:F$1048576, "&gt;3999", Petersburg!F$2:F$1048576, "&lt;5000")</f>
        <v>0</v>
      </c>
      <c r="O80" s="9">
        <f>SUMIFS(Petersburg!I$2:I$1048576, Petersburg!F$2:F$1048576, "&gt;4999", Petersburg!F$2:F$1048576, "&lt;6000")</f>
        <v>0</v>
      </c>
      <c r="P80" s="8">
        <f>Petersburg!A14</f>
        <v>0</v>
      </c>
      <c r="Q80" s="9">
        <f>Petersburg!A18</f>
        <v>0</v>
      </c>
      <c r="R80" t="str">
        <f t="shared" si="2"/>
        <v>OK</v>
      </c>
    </row>
    <row r="81" spans="1:18">
      <c r="A81" t="s">
        <v>335</v>
      </c>
      <c r="B81" t="s">
        <v>10</v>
      </c>
      <c r="C81" s="27" t="str">
        <f>HYPERLINK("#'Sitka'!A1","Sitka")</f>
        <v>Sitka</v>
      </c>
      <c r="D81">
        <f>COUNTA(Sitka!K$2:K$1048576)</f>
        <v>0</v>
      </c>
      <c r="E81">
        <f>Sitka!A12</f>
        <v>0</v>
      </c>
      <c r="F81">
        <f>Sitka!A6</f>
        <v>0</v>
      </c>
      <c r="G81">
        <f>Sitka!A8</f>
        <v>0</v>
      </c>
      <c r="H81">
        <f>Sitka!A10</f>
        <v>0</v>
      </c>
      <c r="I81">
        <f>COUNTA(Sitka!B$2:B$1048576)</f>
        <v>0</v>
      </c>
      <c r="J81" s="8">
        <f>SUM(Sitka!D$2:D$1048576)+SUM(Sitka!I$2:I$1048576)</f>
        <v>0</v>
      </c>
      <c r="K81" s="9">
        <f>SUM(Sitka!D$2:D$1048576)</f>
        <v>0</v>
      </c>
      <c r="L81" s="9">
        <f>SUMIFS(Sitka!I$2:I$1048576, Sitka!F$2:F$1048576, "&gt;1999", Sitka!F$2:F$1048576, "&lt;3000")</f>
        <v>0</v>
      </c>
      <c r="M81" s="9">
        <f>SUMIFS(Sitka!I$2:I$1048576, Sitka!F$2:F$1048576, "&gt;2999", Sitka!F$2:F$1048576, "&lt;4000")</f>
        <v>0</v>
      </c>
      <c r="N81" s="9">
        <f>SUMIFS(Sitka!I$2:I$1048576, Sitka!F$2:F$1048576, "&gt;3999", Sitka!F$2:F$1048576, "&lt;5000")</f>
        <v>0</v>
      </c>
      <c r="O81" s="9">
        <f>SUMIFS(Sitka!I$2:I$1048576, Sitka!F$2:F$1048576, "&gt;4999", Sitka!F$2:F$1048576, "&lt;6000")</f>
        <v>0</v>
      </c>
      <c r="P81" s="8">
        <f>Sitka!A14</f>
        <v>0</v>
      </c>
      <c r="Q81" s="9">
        <f>Sitka!A18</f>
        <v>0</v>
      </c>
      <c r="R81" t="str">
        <f t="shared" si="2"/>
        <v>OK</v>
      </c>
    </row>
    <row r="82" spans="1:18">
      <c r="A82" t="s">
        <v>335</v>
      </c>
      <c r="B82" t="s">
        <v>10</v>
      </c>
      <c r="C82" s="27" t="str">
        <f>HYPERLINK("#'Skagway'!A1","Skagway")</f>
        <v>Skagway</v>
      </c>
      <c r="D82">
        <f>COUNTA(Skagway!K$2:K$1048576)</f>
        <v>0</v>
      </c>
      <c r="E82">
        <f>Skagway!A12</f>
        <v>0</v>
      </c>
      <c r="F82">
        <f>Skagway!A6</f>
        <v>0</v>
      </c>
      <c r="G82">
        <f>Skagway!A8</f>
        <v>0</v>
      </c>
      <c r="H82">
        <f>Skagway!A10</f>
        <v>0</v>
      </c>
      <c r="I82">
        <f>COUNTA(Skagway!B$2:B$1048576)</f>
        <v>0</v>
      </c>
      <c r="J82" s="8">
        <f>SUM(Skagway!D$2:D$1048576)+SUM(Skagway!I$2:I$1048576)</f>
        <v>0</v>
      </c>
      <c r="K82" s="9">
        <f>SUM(Skagway!D$2:D$1048576)</f>
        <v>0</v>
      </c>
      <c r="L82" s="9">
        <f>SUMIFS(Skagway!I$2:I$1048576, Skagway!F$2:F$1048576, "&gt;1999", Skagway!F$2:F$1048576, "&lt;3000")</f>
        <v>0</v>
      </c>
      <c r="M82" s="9">
        <f>SUMIFS(Skagway!I$2:I$1048576, Skagway!F$2:F$1048576, "&gt;2999", Skagway!F$2:F$1048576, "&lt;4000")</f>
        <v>0</v>
      </c>
      <c r="N82" s="9">
        <f>SUMIFS(Skagway!I$2:I$1048576, Skagway!F$2:F$1048576, "&gt;3999", Skagway!F$2:F$1048576, "&lt;5000")</f>
        <v>0</v>
      </c>
      <c r="O82" s="9">
        <f>SUMIFS(Skagway!I$2:I$1048576, Skagway!F$2:F$1048576, "&gt;4999", Skagway!F$2:F$1048576, "&lt;6000")</f>
        <v>0</v>
      </c>
      <c r="P82" s="8">
        <f>Skagway!A14</f>
        <v>0</v>
      </c>
      <c r="Q82" s="9">
        <f>Skagway!A18</f>
        <v>0</v>
      </c>
      <c r="R82" t="str">
        <f t="shared" si="2"/>
        <v>OK</v>
      </c>
    </row>
    <row r="83" spans="1:18">
      <c r="A83" t="s">
        <v>335</v>
      </c>
      <c r="B83" t="s">
        <v>10</v>
      </c>
      <c r="C83" s="27" t="str">
        <f>HYPERLINK("#'Wrangell'!A1","Wrangell")</f>
        <v>Wrangell</v>
      </c>
      <c r="D83">
        <f>COUNTA(Wrangell!K$2:K$1048576)</f>
        <v>0</v>
      </c>
      <c r="E83">
        <f>Wrangell!A12</f>
        <v>0</v>
      </c>
      <c r="F83">
        <f>Wrangell!A6</f>
        <v>0</v>
      </c>
      <c r="G83">
        <f>Wrangell!A8</f>
        <v>0</v>
      </c>
      <c r="H83">
        <f>Wrangell!A10</f>
        <v>0</v>
      </c>
      <c r="I83">
        <f>COUNTA(Wrangell!B$2:B$1048576)</f>
        <v>0</v>
      </c>
      <c r="J83" s="8">
        <f>SUM(Wrangell!D$2:D$1048576)+SUM(Wrangell!I$2:I$1048576)</f>
        <v>0</v>
      </c>
      <c r="K83" s="9">
        <f>SUM(Wrangell!D$2:D$1048576)</f>
        <v>0</v>
      </c>
      <c r="L83" s="9">
        <f>SUMIFS(Wrangell!I$2:I$1048576, Wrangell!F$2:F$1048576, "&gt;1999", Wrangell!F$2:F$1048576, "&lt;3000")</f>
        <v>0</v>
      </c>
      <c r="M83" s="9">
        <f>SUMIFS(Wrangell!I$2:I$1048576, Wrangell!F$2:F$1048576, "&gt;2999", Wrangell!F$2:F$1048576, "&lt;4000")</f>
        <v>0</v>
      </c>
      <c r="N83" s="9">
        <f>SUMIFS(Wrangell!I$2:I$1048576, Wrangell!F$2:F$1048576, "&gt;3999", Wrangell!F$2:F$1048576, "&lt;5000")</f>
        <v>0</v>
      </c>
      <c r="O83" s="9">
        <f>SUMIFS(Wrangell!I$2:I$1048576, Wrangell!F$2:F$1048576, "&gt;4999", Wrangell!F$2:F$1048576, "&lt;6000")</f>
        <v>0</v>
      </c>
      <c r="P83" s="8">
        <f>Wrangell!A14</f>
        <v>0</v>
      </c>
      <c r="Q83" s="9">
        <f>Wrangell!A18</f>
        <v>0</v>
      </c>
      <c r="R83" t="str">
        <f t="shared" si="2"/>
        <v>OK</v>
      </c>
    </row>
    <row r="84" spans="1:18">
      <c r="A84" t="s">
        <v>335</v>
      </c>
      <c r="B84" t="s">
        <v>10</v>
      </c>
      <c r="C84" s="27" t="str">
        <f>HYPERLINK("#'Yakutat'!A1","Yakutat")</f>
        <v>Yakutat</v>
      </c>
      <c r="D84">
        <f>COUNTA(Yakutat!K$2:K$1048576)</f>
        <v>0</v>
      </c>
      <c r="E84">
        <f>Yakutat!A12</f>
        <v>0</v>
      </c>
      <c r="F84">
        <f>Yakutat!A6</f>
        <v>0</v>
      </c>
      <c r="G84">
        <f>Yakutat!A8</f>
        <v>0</v>
      </c>
      <c r="H84">
        <f>Yakutat!A10</f>
        <v>0</v>
      </c>
      <c r="I84">
        <f>COUNTA(Yakutat!B$2:B$1048576)</f>
        <v>0</v>
      </c>
      <c r="J84" s="8">
        <f>SUM(Yakutat!D$2:D$1048576)+SUM(Yakutat!I$2:I$1048576)</f>
        <v>0</v>
      </c>
      <c r="K84" s="9">
        <f>SUM(Yakutat!D$2:D$1048576)</f>
        <v>0</v>
      </c>
      <c r="L84" s="9">
        <f>SUMIFS(Yakutat!I$2:I$1048576, Yakutat!F$2:F$1048576, "&gt;1999", Yakutat!F$2:F$1048576, "&lt;3000")</f>
        <v>0</v>
      </c>
      <c r="M84" s="9">
        <f>SUMIFS(Yakutat!I$2:I$1048576, Yakutat!F$2:F$1048576, "&gt;2999", Yakutat!F$2:F$1048576, "&lt;4000")</f>
        <v>0</v>
      </c>
      <c r="N84" s="9">
        <f>SUMIFS(Yakutat!I$2:I$1048576, Yakutat!F$2:F$1048576, "&gt;3999", Yakutat!F$2:F$1048576, "&lt;5000")</f>
        <v>0</v>
      </c>
      <c r="O84" s="9">
        <f>SUMIFS(Yakutat!I$2:I$1048576, Yakutat!F$2:F$1048576, "&gt;4999", Yakutat!F$2:F$1048576, "&lt;6000")</f>
        <v>0</v>
      </c>
      <c r="P84" s="8">
        <f>Yakutat!A14</f>
        <v>0</v>
      </c>
      <c r="Q84" s="9">
        <f>Yakutat!A18</f>
        <v>0</v>
      </c>
      <c r="R84" t="str">
        <f t="shared" si="2"/>
        <v>OK</v>
      </c>
    </row>
    <row r="85" spans="1:18">
      <c r="A85" t="s">
        <v>432</v>
      </c>
      <c r="D85">
        <f>SUBTOTAL(109,Table2[Rural Airports])</f>
        <v>0</v>
      </c>
      <c r="E85">
        <f>SUBTOTAL(109,Table2[Airport Surface Area])</f>
        <v>0</v>
      </c>
      <c r="F85">
        <f>SUBTOTAL(109,Table2[Through Miles])</f>
        <v>0</v>
      </c>
      <c r="G85">
        <f>SUBTOTAL(109,Table2[Lane Miles])</f>
        <v>0</v>
      </c>
      <c r="H85">
        <f>SUBTOTAL(109,Table2[Sidewalk Miles])</f>
        <v>0</v>
      </c>
      <c r="I85">
        <f>SUBTOTAL(109,Table2[Positions])</f>
        <v>0</v>
      </c>
      <c r="J85" s="12">
        <f>SUBTOTAL(109,Table2[Total])</f>
        <v>0</v>
      </c>
      <c r="K85" s="13">
        <f>SUBTOTAL(109,Table2[1000])</f>
        <v>0</v>
      </c>
      <c r="L85" s="13">
        <f>SUBTOTAL(109,Table2[2000])</f>
        <v>0</v>
      </c>
      <c r="M85" s="13">
        <f>SUBTOTAL(109,Table2[3000])</f>
        <v>0</v>
      </c>
      <c r="N85" s="13">
        <f>SUBTOTAL(109,Table2[4000])</f>
        <v>0</v>
      </c>
      <c r="O85" s="13">
        <f>SUBTOTAL(109,Table2[5000])</f>
        <v>0</v>
      </c>
      <c r="P85" s="12">
        <f>SUBTOTAL(109,Table2[FED / CIP])</f>
        <v>0</v>
      </c>
      <c r="Q85" s="13">
        <f>SUBTOTAL(109,Table2[Rural Aviation])</f>
        <v>0</v>
      </c>
    </row>
  </sheetData>
  <sortState xmlns:xlrd2="http://schemas.microsoft.com/office/spreadsheetml/2017/richdata2" ref="A3:C86">
    <sortCondition ref="A3:A86"/>
    <sortCondition ref="B3:B86"/>
    <sortCondition ref="C3:C8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5C2-26A0-40D7-B421-B827114D1D9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"Coffman Cove",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CF7D82B2-EFC0-4175-93F1-54597B9CDE52}">
      <formula1>2000</formula1>
      <formula2>5999</formula2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052D-86E6-4245-967E-86393650C24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"Gustavus",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20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696FF41C-BAAE-4277-9BA0-E5F9BDD75789}">
      <formula1>2000</formula1>
      <formula2>5999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D3C-657D-4233-9DF6-9313765A002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"Haines",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9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50FD596E-8726-4DB6-9C88-F798F9FCE11C}">
      <formula1>2000</formula1>
      <formula2>5999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BE3-D3B8-486C-B2C4-EE2ED8260E39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"Hoonah",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16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E1F5C283-80E6-45C7-A7CC-56F04B585A96}">
      <formula1>2000</formula1>
      <formula2>5999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F210-519D-4F2C-8A2D-867DB5BCEE5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"Juneau",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B1EAE92A-ED84-41D0-A939-F4F7C0B68650}">
      <formula1>2000</formula1>
      <formula2>5999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8735-E9FF-4E34-96D8-CFADEEE8F100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"Ketchikan",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12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BF8B94FD-022D-4D87-8E5A-CF623C188282}">
      <formula1>2000</formula1>
      <formula2>5999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06DE-57BD-4BF5-837D-1AB2B03B869F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"Klawock",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13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440495C6-17D4-461B-B07B-249CBE1C15EC}">
      <formula1>2000</formula1>
      <formula2>5999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90E0-824C-45EA-97CB-E7F5BA1E3328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"Petersburg",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14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2641B38E-6A0C-4744-9FCA-3DF674BAD01A}">
      <formula1>2000</formula1>
      <formula2>5999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015A-B6FB-4655-A489-923744B16FB1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"Sitka",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15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779A35BA-0612-4AD3-90F8-DB4ABA513E58}">
      <formula1>2000</formula1>
      <formula2>5999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CBC1-95D1-4469-ACF8-EE1ACEA8143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"Skagway",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8C5ABECF-2E93-4D46-844C-B29992EE4447}">
      <formula1>2000</formula1>
      <formula2>5999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D932-5058-4F11-8153-FDDFE903114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"CR Other",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347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345</v>
      </c>
    </row>
    <row r="26" spans="1:1">
      <c r="A26" s="34" t="s">
        <v>85</v>
      </c>
    </row>
  </sheetData>
  <dataValidations count="1">
    <dataValidation type="whole" allowBlank="1" showInputMessage="1" showErrorMessage="1" errorTitle="Must be an object code" error="You must enter a 4 digit object code" sqref="F2:F1048576" xr:uid="{E6559384-E9D7-4D5A-B5C8-87E1B3AA98C3}">
      <formula1>2000</formula1>
      <formula2>5999</formula2>
    </dataValidation>
  </dataValidation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250A-C56B-4578-BA9C-F1C6FA12D42C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"Wrangell",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21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3A5F8089-1F7D-43C1-8C12-1A4A2650795C}">
      <formula1>2000</formula1>
      <formula2>5999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4F25-36D0-4B69-8C28-17B147A68ADE}">
  <dimension ref="A1:K26"/>
  <sheetViews>
    <sheetView workbookViewId="0"/>
  </sheetViews>
  <sheetFormatPr defaultColWidth="0" defaultRowHeight="12.75"/>
  <cols>
    <col min="1" max="1" width="20.59765625" style="31" customWidth="1"/>
    <col min="2" max="2" width="12.59765625" customWidth="1"/>
    <col min="3" max="3" width="30.59765625" customWidth="1"/>
    <col min="4" max="4" width="12.59765625" style="12" customWidth="1"/>
    <col min="5" max="5" width="12.59765625" style="39" customWidth="1"/>
    <col min="6" max="6" width="12.59765625" customWidth="1"/>
    <col min="7" max="7" width="30.59765625" customWidth="1"/>
    <col min="8" max="8" width="12.59765625" customWidth="1"/>
    <col min="9" max="9" width="12.59765625" style="12" customWidth="1"/>
    <col min="10" max="10" width="12.59765625" style="39" customWidth="1"/>
    <col min="11" max="11" width="30.59765625" customWidth="1"/>
    <col min="12" max="16384" width="9.06640625" hidden="1"/>
  </cols>
  <sheetData>
    <row r="1" spans="1:11" ht="13.15">
      <c r="A1" s="29" t="str">
        <f ca="1">HYPERLINK("#" &amp; CELL("address", _xlfn.XLOOKUP( "Yakutat", 'Budget Overview'!C:C, 'Budget Overview'!C:C)),"[     &lt;-BACK      ]")</f>
        <v>[     &lt;-BACK      ]</v>
      </c>
      <c r="B1" s="28" t="s">
        <v>530</v>
      </c>
      <c r="C1" s="28" t="s">
        <v>531</v>
      </c>
      <c r="D1" s="28" t="s">
        <v>532</v>
      </c>
      <c r="E1" s="38" t="s">
        <v>533</v>
      </c>
      <c r="F1" s="28" t="s">
        <v>534</v>
      </c>
      <c r="G1" s="28" t="s">
        <v>535</v>
      </c>
      <c r="H1" s="28" t="s">
        <v>536</v>
      </c>
      <c r="I1" s="28" t="s">
        <v>537</v>
      </c>
      <c r="J1" s="38" t="s">
        <v>533</v>
      </c>
      <c r="K1" s="28" t="s">
        <v>439</v>
      </c>
    </row>
    <row r="3" spans="1:11" ht="13.15">
      <c r="A3" s="30" t="s">
        <v>18</v>
      </c>
    </row>
    <row r="5" spans="1:11">
      <c r="A5" s="31" t="s">
        <v>518</v>
      </c>
    </row>
    <row r="6" spans="1:11">
      <c r="A6" s="32"/>
    </row>
    <row r="7" spans="1:11">
      <c r="A7" s="31" t="s">
        <v>520</v>
      </c>
    </row>
    <row r="8" spans="1:11">
      <c r="A8" s="32"/>
    </row>
    <row r="9" spans="1:11">
      <c r="A9" s="31" t="s">
        <v>522</v>
      </c>
    </row>
    <row r="10" spans="1:11">
      <c r="A10" s="32"/>
    </row>
    <row r="11" spans="1:11">
      <c r="A11" s="31" t="s">
        <v>524</v>
      </c>
    </row>
    <row r="12" spans="1:11">
      <c r="A12" s="32"/>
    </row>
    <row r="13" spans="1:11">
      <c r="A13" s="31" t="s">
        <v>526</v>
      </c>
    </row>
    <row r="14" spans="1:11">
      <c r="A14" s="33"/>
    </row>
    <row r="17" spans="1:1">
      <c r="A17" s="34" t="s">
        <v>527</v>
      </c>
    </row>
    <row r="18" spans="1:1">
      <c r="A18" s="35">
        <f>SUMPRODUCT(D2:D1048576*E2:E1048576)+SUMPRODUCT(I2:I1048576*J2:J1048576)</f>
        <v>0</v>
      </c>
    </row>
    <row r="19" spans="1:1">
      <c r="A19" s="34" t="s">
        <v>528</v>
      </c>
    </row>
    <row r="20" spans="1:1">
      <c r="A20" s="36" t="e">
        <f>A18/A22</f>
        <v>#DIV/0!</v>
      </c>
    </row>
    <row r="21" spans="1:1">
      <c r="A21" s="34" t="s">
        <v>529</v>
      </c>
    </row>
    <row r="22" spans="1:1">
      <c r="A22" s="35">
        <f>SUM(D$2:D$1048576)+SUM(I$2:I$1048576)</f>
        <v>0</v>
      </c>
    </row>
    <row r="25" spans="1:1">
      <c r="A25" s="37" t="s">
        <v>10</v>
      </c>
    </row>
    <row r="26" spans="1:1">
      <c r="A26" s="34" t="s">
        <v>335</v>
      </c>
    </row>
  </sheetData>
  <dataValidations count="1">
    <dataValidation type="whole" allowBlank="1" showInputMessage="1" showErrorMessage="1" errorTitle="Must be an object code" error="You must enter a 4 digit object code" sqref="F2:F1048576" xr:uid="{B84DAA73-FBDF-4512-95F3-FEF6B75179D9}">
      <formula1>2000</formula1>
      <formula2>5999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91</vt:i4>
      </vt:variant>
      <vt:variant>
        <vt:lpstr>Named Ranges</vt:lpstr>
      </vt:variant>
      <vt:variant>
        <vt:i4>1</vt:i4>
      </vt:variant>
    </vt:vector>
  </HeadingPairs>
  <TitlesOfParts>
    <vt:vector size="92" baseType="lpstr">
      <vt:lpstr>M&amp;O</vt:lpstr>
      <vt:lpstr>StationMileage2021</vt:lpstr>
      <vt:lpstr>scratch pad 1</vt:lpstr>
      <vt:lpstr>vba_vars</vt:lpstr>
      <vt:lpstr>test_data</vt:lpstr>
      <vt:lpstr>Rural Airports</vt:lpstr>
      <vt:lpstr>Overview</vt:lpstr>
      <vt:lpstr>Budget Overview</vt:lpstr>
      <vt:lpstr>CR Other</vt:lpstr>
      <vt:lpstr>Anchorage</vt:lpstr>
      <vt:lpstr>Girdwood</vt:lpstr>
      <vt:lpstr>Crown Point Station</vt:lpstr>
      <vt:lpstr>Homer</vt:lpstr>
      <vt:lpstr>Homer Airport</vt:lpstr>
      <vt:lpstr>Ninilchik</vt:lpstr>
      <vt:lpstr>North Kenai</vt:lpstr>
      <vt:lpstr>Quartz Creek</vt:lpstr>
      <vt:lpstr>Seldovia</vt:lpstr>
      <vt:lpstr>Silvertip</vt:lpstr>
      <vt:lpstr>Soldotna</vt:lpstr>
      <vt:lpstr>Cascade</vt:lpstr>
      <vt:lpstr>Chulitna</vt:lpstr>
      <vt:lpstr>Mcgrath</vt:lpstr>
      <vt:lpstr>Palmer</vt:lpstr>
      <vt:lpstr>Talkeetna</vt:lpstr>
      <vt:lpstr>Willow</vt:lpstr>
      <vt:lpstr>Aniak</vt:lpstr>
      <vt:lpstr>Bethel</vt:lpstr>
      <vt:lpstr>Dillingham</vt:lpstr>
      <vt:lpstr>NR Other</vt:lpstr>
      <vt:lpstr>Barrow</vt:lpstr>
      <vt:lpstr>Chandalar</vt:lpstr>
      <vt:lpstr>Coldfoot</vt:lpstr>
      <vt:lpstr>Deadhorse</vt:lpstr>
      <vt:lpstr>Jim River</vt:lpstr>
      <vt:lpstr>Livengood</vt:lpstr>
      <vt:lpstr>Manley Hot Springs</vt:lpstr>
      <vt:lpstr>Sag River</vt:lpstr>
      <vt:lpstr>Seven Mile</vt:lpstr>
      <vt:lpstr>Cantwell</vt:lpstr>
      <vt:lpstr>Healy</vt:lpstr>
      <vt:lpstr>Nenana</vt:lpstr>
      <vt:lpstr>Birch Lake</vt:lpstr>
      <vt:lpstr>Central</vt:lpstr>
      <vt:lpstr>Fairbanks</vt:lpstr>
      <vt:lpstr>Montana Creek</vt:lpstr>
      <vt:lpstr>Galena</vt:lpstr>
      <vt:lpstr>Ernestine</vt:lpstr>
      <vt:lpstr>Nelchina</vt:lpstr>
      <vt:lpstr>Paxson</vt:lpstr>
      <vt:lpstr>Slana</vt:lpstr>
      <vt:lpstr>Tazlina</vt:lpstr>
      <vt:lpstr>Delta Junction</vt:lpstr>
      <vt:lpstr>Eagle</vt:lpstr>
      <vt:lpstr>Northway</vt:lpstr>
      <vt:lpstr>South Fork</vt:lpstr>
      <vt:lpstr>Tok</vt:lpstr>
      <vt:lpstr>Trims</vt:lpstr>
      <vt:lpstr>Cordova</vt:lpstr>
      <vt:lpstr>Thompson Pass</vt:lpstr>
      <vt:lpstr>Valdez</vt:lpstr>
      <vt:lpstr>Valdez Airport</vt:lpstr>
      <vt:lpstr>Bear Creek</vt:lpstr>
      <vt:lpstr>Cottonwood</vt:lpstr>
      <vt:lpstr>Kotzebue</vt:lpstr>
      <vt:lpstr>Nome</vt:lpstr>
      <vt:lpstr>Nome Airport</vt:lpstr>
      <vt:lpstr>Saint Marys</vt:lpstr>
      <vt:lpstr>Teller</vt:lpstr>
      <vt:lpstr>Unalakleet</vt:lpstr>
      <vt:lpstr>SC Other</vt:lpstr>
      <vt:lpstr>Adak Station</vt:lpstr>
      <vt:lpstr>Akun</vt:lpstr>
      <vt:lpstr>Cold Bay</vt:lpstr>
      <vt:lpstr>Iliamna</vt:lpstr>
      <vt:lpstr>Kalsin Bay</vt:lpstr>
      <vt:lpstr>King Salmon</vt:lpstr>
      <vt:lpstr>Kodiak</vt:lpstr>
      <vt:lpstr>Unalaska</vt:lpstr>
      <vt:lpstr>Coffman Cove</vt:lpstr>
      <vt:lpstr>Gustavus</vt:lpstr>
      <vt:lpstr>Haines</vt:lpstr>
      <vt:lpstr>Hoonah</vt:lpstr>
      <vt:lpstr>Juneau</vt:lpstr>
      <vt:lpstr>Ketchikan</vt:lpstr>
      <vt:lpstr>Klawock</vt:lpstr>
      <vt:lpstr>Petersburg</vt:lpstr>
      <vt:lpstr>Sitka</vt:lpstr>
      <vt:lpstr>Skagway</vt:lpstr>
      <vt:lpstr>Wrangell</vt:lpstr>
      <vt:lpstr>Yakutat</vt:lpstr>
      <vt:lpstr>StationMileage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dmpannone</dc:creator>
  <cp:lastModifiedBy>Pannone, Dom M (GOV)</cp:lastModifiedBy>
  <cp:revision>0</cp:revision>
  <dcterms:created xsi:type="dcterms:W3CDTF">2022-08-16T20:04:59Z</dcterms:created>
  <dcterms:modified xsi:type="dcterms:W3CDTF">2022-08-31T02:45:37Z</dcterms:modified>
</cp:coreProperties>
</file>