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Đồ án thiết kế\"/>
    </mc:Choice>
  </mc:AlternateContent>
  <xr:revisionPtr revIDLastSave="0" documentId="13_ncr:1_{69750030-43BE-4292-AD9B-A4B3A5B16C90}" xr6:coauthVersionLast="47" xr6:coauthVersionMax="47" xr10:uidLastSave="{00000000-0000-0000-0000-000000000000}"/>
  <bookViews>
    <workbookView xWindow="-108" yWindow="-108" windowWidth="23256" windowHeight="12576" xr2:uid="{875760CF-EC44-4152-880D-9D564650AA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3" i="1" l="1"/>
  <c r="C97" i="1"/>
  <c r="H96" i="1"/>
  <c r="C94" i="1"/>
  <c r="I91" i="1"/>
  <c r="I93" i="1" s="1"/>
  <c r="C91" i="1"/>
  <c r="C89" i="1"/>
  <c r="I88" i="1"/>
  <c r="I86" i="1"/>
  <c r="C86" i="1"/>
  <c r="C77" i="1"/>
  <c r="E74" i="1"/>
  <c r="E73" i="1"/>
  <c r="E69" i="1"/>
  <c r="E70" i="1"/>
  <c r="Q64" i="1"/>
  <c r="Q65" i="1"/>
  <c r="C63" i="1"/>
  <c r="Q67" i="1" s="1"/>
  <c r="C59" i="1"/>
  <c r="C61" i="1" s="1"/>
  <c r="R50" i="1"/>
  <c r="R56" i="1" s="1"/>
  <c r="M50" i="1"/>
  <c r="M56" i="1" s="1"/>
  <c r="H50" i="1"/>
  <c r="H53" i="1" s="1"/>
  <c r="C36" i="1"/>
  <c r="C104" i="1" s="1"/>
  <c r="E1" i="1"/>
  <c r="C24" i="1"/>
  <c r="C99" i="1" s="1"/>
  <c r="K17" i="1"/>
  <c r="K15" i="1"/>
  <c r="K16" i="1" s="1"/>
  <c r="G7" i="1"/>
  <c r="T6" i="1"/>
  <c r="G6" i="1"/>
  <c r="T5" i="1" s="1"/>
  <c r="G5" i="1"/>
  <c r="J9" i="1" s="1"/>
  <c r="T4" i="1"/>
  <c r="C4" i="1"/>
  <c r="C20" i="1" l="1"/>
  <c r="D21" i="1"/>
  <c r="C21" i="1"/>
  <c r="C28" i="1" s="1"/>
  <c r="C29" i="1" s="1"/>
  <c r="C30" i="1" s="1"/>
  <c r="D20" i="1"/>
  <c r="C62" i="1"/>
  <c r="C25" i="1"/>
  <c r="C26" i="1" s="1"/>
  <c r="H56" i="1"/>
  <c r="H57" i="1" s="1"/>
  <c r="C37" i="1"/>
  <c r="C38" i="1" s="1"/>
  <c r="C60" i="1"/>
  <c r="R53" i="1"/>
  <c r="R57" i="1" s="1"/>
  <c r="M53" i="1"/>
  <c r="M57" i="1" s="1"/>
  <c r="C17" i="1"/>
  <c r="T11" i="1" s="1"/>
  <c r="C32" i="1" l="1"/>
  <c r="C40" i="1"/>
  <c r="C41" i="1" s="1"/>
  <c r="C42" i="1" s="1"/>
  <c r="C44" i="1" s="1"/>
  <c r="C16" i="1"/>
  <c r="T10" i="1" s="1"/>
  <c r="C33" i="1" l="1"/>
  <c r="C45" i="1"/>
  <c r="C105" i="1"/>
  <c r="C106" i="1" s="1"/>
  <c r="C107" i="1" s="1"/>
  <c r="C100" i="1"/>
  <c r="C101" i="1" s="1"/>
  <c r="K45" i="1" l="1"/>
  <c r="C83" i="1" s="1"/>
  <c r="C84" i="1" s="1"/>
  <c r="C110" i="1" s="1"/>
  <c r="C46" i="1"/>
  <c r="C102" i="1"/>
  <c r="L110" i="1"/>
  <c r="K44" i="1"/>
  <c r="C80" i="1" s="1"/>
  <c r="C81" i="1" s="1"/>
  <c r="C109" i="1" s="1"/>
  <c r="L109" i="1" s="1"/>
  <c r="C34" i="1"/>
  <c r="C111" i="1" l="1"/>
</calcChain>
</file>

<file path=xl/sharedStrings.xml><?xml version="1.0" encoding="utf-8"?>
<sst xmlns="http://schemas.openxmlformats.org/spreadsheetml/2006/main" count="333" uniqueCount="245">
  <si>
    <t>CH3OH</t>
  </si>
  <si>
    <t>H2O</t>
  </si>
  <si>
    <t>F</t>
  </si>
  <si>
    <t>kmol/h</t>
  </si>
  <si>
    <t>xF</t>
  </si>
  <si>
    <t>phần mol</t>
  </si>
  <si>
    <t>xD</t>
  </si>
  <si>
    <t>xW</t>
  </si>
  <si>
    <t>Nhiệt độ nhập liệu ban đầu</t>
  </si>
  <si>
    <t>Nhiệt độ sản phẩm đỉnh sau khi làm nguội</t>
  </si>
  <si>
    <t xml:space="preserve">Nhiệt độ dòng nước lạnh vào </t>
  </si>
  <si>
    <t>Nhiệt độ dòng nước lạnh ra</t>
  </si>
  <si>
    <t>tBĐ</t>
  </si>
  <si>
    <t>tDR</t>
  </si>
  <si>
    <t>tV</t>
  </si>
  <si>
    <t>tR</t>
  </si>
  <si>
    <t>oC</t>
  </si>
  <si>
    <t>g/mol</t>
  </si>
  <si>
    <t>Phần khối lượng</t>
  </si>
  <si>
    <t>xF'</t>
  </si>
  <si>
    <t>xD'</t>
  </si>
  <si>
    <t>xW'</t>
  </si>
  <si>
    <t>Nhiệt độ nhập liệu tháp chưng cất</t>
  </si>
  <si>
    <t>tF</t>
  </si>
  <si>
    <t>Khối lượng riêng</t>
  </si>
  <si>
    <t>Nhập liệu</t>
  </si>
  <si>
    <t>ρN</t>
  </si>
  <si>
    <t>ρR</t>
  </si>
  <si>
    <t>kg/m3</t>
  </si>
  <si>
    <t>Khối lượng riêng hỗn hợp nhập liệu</t>
  </si>
  <si>
    <t>ρF</t>
  </si>
  <si>
    <t xml:space="preserve">Phân tử khối </t>
  </si>
  <si>
    <t>MF</t>
  </si>
  <si>
    <t>MD</t>
  </si>
  <si>
    <t>MW</t>
  </si>
  <si>
    <t>Cân bằng vật chất</t>
  </si>
  <si>
    <t>Suất lượng sản phẩm đỉnh</t>
  </si>
  <si>
    <t>Suất lượng sản phẩm đáy</t>
  </si>
  <si>
    <t>D</t>
  </si>
  <si>
    <t>W</t>
  </si>
  <si>
    <t>kg/kmol</t>
  </si>
  <si>
    <t>Suất lượng khối lượng</t>
  </si>
  <si>
    <t>GF</t>
  </si>
  <si>
    <t>GD</t>
  </si>
  <si>
    <t>GW</t>
  </si>
  <si>
    <t>y*F</t>
  </si>
  <si>
    <t>xF =&gt;</t>
  </si>
  <si>
    <t>Tỷ số hoàn lưu tối thiểu Rmin</t>
  </si>
  <si>
    <t>Tỷ số hoàn lưu làm việc R</t>
  </si>
  <si>
    <t>Suất lượng mol tối thiểu dòng nhập liệu f</t>
  </si>
  <si>
    <t>Tra</t>
  </si>
  <si>
    <t xml:space="preserve">Phương trình đường làm việc phần chưng </t>
  </si>
  <si>
    <t>y=a.x+b</t>
  </si>
  <si>
    <t>Phương trình đường làm việc phần luyện</t>
  </si>
  <si>
    <t>a</t>
  </si>
  <si>
    <t>b</t>
  </si>
  <si>
    <t>t (oC)</t>
  </si>
  <si>
    <t>x</t>
  </si>
  <si>
    <t>y</t>
  </si>
  <si>
    <t>x'</t>
  </si>
  <si>
    <t>y'</t>
  </si>
  <si>
    <t>Tháp chưng cất</t>
  </si>
  <si>
    <t>Đường kính tháp</t>
  </si>
  <si>
    <t>Lỏng - Luyện</t>
  </si>
  <si>
    <t>Nồng độ mol tb lỏng luyện</t>
  </si>
  <si>
    <t>xL</t>
  </si>
  <si>
    <t xml:space="preserve">Nội suy </t>
  </si>
  <si>
    <t>Nhiệt độ lỏng luyện</t>
  </si>
  <si>
    <t>TLL</t>
  </si>
  <si>
    <t>Nồng độ khối lượng tb lỏng luyện</t>
  </si>
  <si>
    <t>xL'</t>
  </si>
  <si>
    <t>Tra khối lượng riêng</t>
  </si>
  <si>
    <t>Khối lượng riêng tb lỏng luyện</t>
  </si>
  <si>
    <t>ρLL</t>
  </si>
  <si>
    <t>Nồng độ mol tb hơi luyện</t>
  </si>
  <si>
    <t>yL</t>
  </si>
  <si>
    <t>Nội suy</t>
  </si>
  <si>
    <t>Nhiệt độ hơi luyện</t>
  </si>
  <si>
    <t>THL</t>
  </si>
  <si>
    <t>Khối lượng mol tb hơi luyện</t>
  </si>
  <si>
    <t>MHL</t>
  </si>
  <si>
    <t>MR</t>
  </si>
  <si>
    <t xml:space="preserve">Áp suất thường </t>
  </si>
  <si>
    <t>P</t>
  </si>
  <si>
    <t>Khối lượng riêng tb hơi luyện</t>
  </si>
  <si>
    <t>ρHL</t>
  </si>
  <si>
    <t>Khoảng cách giữa các mâm</t>
  </si>
  <si>
    <t>h</t>
  </si>
  <si>
    <t>C</t>
  </si>
  <si>
    <t>Vận tốc hơi luyện</t>
  </si>
  <si>
    <t>ωL</t>
  </si>
  <si>
    <t>Lưu lượng hơi luyện</t>
  </si>
  <si>
    <t>Qv</t>
  </si>
  <si>
    <t>R</t>
  </si>
  <si>
    <t>Đường kính luyện</t>
  </si>
  <si>
    <t>DL</t>
  </si>
  <si>
    <t>Hơi - Luyện</t>
  </si>
  <si>
    <t>Lỏng - Chưng</t>
  </si>
  <si>
    <t>Nồng độ mol tb lỏng chưng</t>
  </si>
  <si>
    <t>xC</t>
  </si>
  <si>
    <t>Nhiệt độ lỏng chưng</t>
  </si>
  <si>
    <t>TLC</t>
  </si>
  <si>
    <t>Nồng độ khối lượng tb lỏng chưng</t>
  </si>
  <si>
    <t>xC'</t>
  </si>
  <si>
    <t>Khối lương riêng tb lỏng chưng</t>
  </si>
  <si>
    <t>ρLC</t>
  </si>
  <si>
    <t>Hơi - Chưng</t>
  </si>
  <si>
    <t>Nồng độ mol tb hơi chưng</t>
  </si>
  <si>
    <t>yC</t>
  </si>
  <si>
    <t>Nhiệt độ hơi chưng</t>
  </si>
  <si>
    <t>THC</t>
  </si>
  <si>
    <t>Khối lượng mol tb hơi chưng</t>
  </si>
  <si>
    <t>MHC</t>
  </si>
  <si>
    <t>MN</t>
  </si>
  <si>
    <t>Khối lượng riêng tb hơi chưng</t>
  </si>
  <si>
    <t>ρHC</t>
  </si>
  <si>
    <t>Vận tốc hơi chưng</t>
  </si>
  <si>
    <t>ωC</t>
  </si>
  <si>
    <t>Lưu lượng hơi chưng</t>
  </si>
  <si>
    <t>Đường kính chưng</t>
  </si>
  <si>
    <t>DC</t>
  </si>
  <si>
    <t>Vận tốc hơi thực</t>
  </si>
  <si>
    <t>Dt</t>
  </si>
  <si>
    <t>Chiều cao tháp</t>
  </si>
  <si>
    <t xml:space="preserve">Tổng số mâm lý thuyết </t>
  </si>
  <si>
    <t>Mâm chưng</t>
  </si>
  <si>
    <t>Mâm luyện</t>
  </si>
  <si>
    <t>Vị trí đỉnh</t>
  </si>
  <si>
    <t>Nhiệt độ sôi</t>
  </si>
  <si>
    <t>ts</t>
  </si>
  <si>
    <t>Nồng độ hơi</t>
  </si>
  <si>
    <t xml:space="preserve">Nồng độ lỏng </t>
  </si>
  <si>
    <t>y*</t>
  </si>
  <si>
    <t>Độ bay hơi tương đối</t>
  </si>
  <si>
    <t>α</t>
  </si>
  <si>
    <t xml:space="preserve">Tra độ nhớt nước </t>
  </si>
  <si>
    <t xml:space="preserve">µN </t>
  </si>
  <si>
    <t>Tra độ nhớt methanol</t>
  </si>
  <si>
    <t>µR</t>
  </si>
  <si>
    <t>Độ nhớt hỗn hợp lỏng</t>
  </si>
  <si>
    <t>µhh</t>
  </si>
  <si>
    <t>αL.µL</t>
  </si>
  <si>
    <t>Tra hiệu suất</t>
  </si>
  <si>
    <t>E</t>
  </si>
  <si>
    <t>Vị trí nhập liệu</t>
  </si>
  <si>
    <t>Vị trí đáy</t>
  </si>
  <si>
    <t>Hiệu suất tb tháp</t>
  </si>
  <si>
    <t>Etb</t>
  </si>
  <si>
    <t xml:space="preserve">Số mâm thực tế </t>
  </si>
  <si>
    <t>Ntt</t>
  </si>
  <si>
    <t>Mâm chưng thực</t>
  </si>
  <si>
    <t>Mâm luyện thực</t>
  </si>
  <si>
    <t>NttC</t>
  </si>
  <si>
    <t>NttL</t>
  </si>
  <si>
    <t xml:space="preserve">Chiều cao tháp </t>
  </si>
  <si>
    <t>Ht</t>
  </si>
  <si>
    <t>Chiều dày đĩa</t>
  </si>
  <si>
    <t>δ</t>
  </si>
  <si>
    <t>ht</t>
  </si>
  <si>
    <t>Chiều cao gờ</t>
  </si>
  <si>
    <t>hg</t>
  </si>
  <si>
    <t>Chiều cao đáy (nắp)</t>
  </si>
  <si>
    <t>Chiều cao toàn tháp</t>
  </si>
  <si>
    <t>Hđn</t>
  </si>
  <si>
    <t>Trở lực tháp</t>
  </si>
  <si>
    <t>Tiết diện tự do = 8% diện tích mâm</t>
  </si>
  <si>
    <t>Đường kính lỗ</t>
  </si>
  <si>
    <t>dl</t>
  </si>
  <si>
    <t>Chiều cao gờ chảy tràn</t>
  </si>
  <si>
    <t>h gờ</t>
  </si>
  <si>
    <t>m</t>
  </si>
  <si>
    <t>mm</t>
  </si>
  <si>
    <t>Diện tích 2 bán nguyệt = 20% diện tích mâm</t>
  </si>
  <si>
    <t>Lỗ bố trí lục giác đều</t>
  </si>
  <si>
    <t xml:space="preserve">Khoảng cách 2 tâm lỗ </t>
  </si>
  <si>
    <t>Bề dày mâm</t>
  </si>
  <si>
    <t>Mâm được làm bằng thép không gỉ</t>
  </si>
  <si>
    <t>Số lỗ trên mâm</t>
  </si>
  <si>
    <t>N</t>
  </si>
  <si>
    <t>3a.(a-1)+1=7200</t>
  </si>
  <si>
    <t>a = 50</t>
  </si>
  <si>
    <t>Suy ra</t>
  </si>
  <si>
    <t>b = 2a-1 = 99</t>
  </si>
  <si>
    <t xml:space="preserve">Suy ra </t>
  </si>
  <si>
    <t>Cấu tạo mâm</t>
  </si>
  <si>
    <t>Đĩa khô</t>
  </si>
  <si>
    <t>ξ</t>
  </si>
  <si>
    <t>Tiết diện tự do bằng 8% mâm =&gt; Tra</t>
  </si>
  <si>
    <t>Vận tốc hơi qua lỗ luyện</t>
  </si>
  <si>
    <t>ωL'</t>
  </si>
  <si>
    <t>Trở lực đĩa khô phần luyện</t>
  </si>
  <si>
    <t>ΔPkL</t>
  </si>
  <si>
    <t>Vận tốc hơi qua lỗ chưng</t>
  </si>
  <si>
    <t>Trở lực đĩa khô phần chưng</t>
  </si>
  <si>
    <t>ΔPkC</t>
  </si>
  <si>
    <t>ωC'</t>
  </si>
  <si>
    <t>Sức căng bề mặt</t>
  </si>
  <si>
    <t xml:space="preserve">Từ nhiệt độ lỏng luyện </t>
  </si>
  <si>
    <t>σN</t>
  </si>
  <si>
    <t>Sức căng bề mặt rượu luyện</t>
  </si>
  <si>
    <t>Sức căng bề mặt nước luyện</t>
  </si>
  <si>
    <t>σR</t>
  </si>
  <si>
    <t>Sức căng bề mặt lỏng luyện</t>
  </si>
  <si>
    <t>σLL</t>
  </si>
  <si>
    <t>Trở lực sức căng bề mặt lỏng luyện</t>
  </si>
  <si>
    <t>ΔP</t>
  </si>
  <si>
    <t>ΔPσL</t>
  </si>
  <si>
    <t>Thủy tĩnh</t>
  </si>
  <si>
    <t>Góc alpha ứng với chiều dài gờ chảy tràn</t>
  </si>
  <si>
    <t>alpha</t>
  </si>
  <si>
    <t>alpha - sin(alpha) = %mâm*pi</t>
  </si>
  <si>
    <t>rad</t>
  </si>
  <si>
    <t>Chiều dài gờ</t>
  </si>
  <si>
    <t>Lgờ</t>
  </si>
  <si>
    <t>Khối lượng mol tb lỏng luyện</t>
  </si>
  <si>
    <t>MLL</t>
  </si>
  <si>
    <t>Suất lượng thể tích lỏng luyện</t>
  </si>
  <si>
    <t>QLL</t>
  </si>
  <si>
    <t>ΔhlL</t>
  </si>
  <si>
    <t>Trở lực thủy tĩnh luyện</t>
  </si>
  <si>
    <t>ΔPbL</t>
  </si>
  <si>
    <t>Tổng trở lực tháp</t>
  </si>
  <si>
    <t>Tổng trở lực 1 mâm luyện</t>
  </si>
  <si>
    <t>ΔPL</t>
  </si>
  <si>
    <t>MLC</t>
  </si>
  <si>
    <t>QLC</t>
  </si>
  <si>
    <t>ΔhlC</t>
  </si>
  <si>
    <t>ΔPbC</t>
  </si>
  <si>
    <t>Trở lực thủy tĩnh chưng</t>
  </si>
  <si>
    <t>Khối lượng mol tb lỏng chưng</t>
  </si>
  <si>
    <t>Suất lượng thể tích lỏng chưng</t>
  </si>
  <si>
    <t>Tổng trở lực 1 mâm chưng</t>
  </si>
  <si>
    <t>ΔPC</t>
  </si>
  <si>
    <t>Kiểm tra</t>
  </si>
  <si>
    <t>h (0,25) &gt;</t>
  </si>
  <si>
    <t>khoảng cách mâm</t>
  </si>
  <si>
    <t>vận tốc hơi qua lỗ</t>
  </si>
  <si>
    <t>vmin</t>
  </si>
  <si>
    <t>&lt; 10.35</t>
  </si>
  <si>
    <t>Kiểm tra ngập lụt</t>
  </si>
  <si>
    <t>Tiết diện ống chảy truyền và mâm</t>
  </si>
  <si>
    <t>Sd</t>
  </si>
  <si>
    <t>Chiều cao mực chất lỏng trong ống chảy truyền</t>
  </si>
  <si>
    <t>hd</t>
  </si>
  <si>
    <t>&lt; Δh/2 (125mm)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</si>
</sst>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ill="1"/>
    <xf numFmtId="9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FA73-4CEE-4D89-9C06-4DC2D4E4E28E}">
  <dimension ref="A1:Z116"/>
  <sheetViews>
    <sheetView tabSelected="1" topLeftCell="A85" zoomScale="70" zoomScaleNormal="70" workbookViewId="0">
      <selection activeCell="C101" sqref="C101"/>
    </sheetView>
  </sheetViews>
  <sheetFormatPr defaultRowHeight="15.6" x14ac:dyDescent="0.3"/>
  <cols>
    <col min="1" max="1" width="39.69921875" customWidth="1"/>
    <col min="3" max="3" width="15.296875" customWidth="1"/>
    <col min="4" max="4" width="8.8984375" customWidth="1"/>
    <col min="5" max="5" width="10.5" customWidth="1"/>
    <col min="6" max="6" width="10.19921875" customWidth="1"/>
    <col min="15" max="15" width="9.796875" customWidth="1"/>
    <col min="20" max="20" width="9.69921875" customWidth="1"/>
  </cols>
  <sheetData>
    <row r="1" spans="1:26" x14ac:dyDescent="0.3">
      <c r="A1" t="s">
        <v>82</v>
      </c>
      <c r="B1" t="s">
        <v>83</v>
      </c>
      <c r="C1">
        <v>1</v>
      </c>
      <c r="D1" t="s">
        <v>93</v>
      </c>
      <c r="E1">
        <f>22.4/273</f>
        <v>8.2051282051282051E-2</v>
      </c>
    </row>
    <row r="2" spans="1:26" ht="16.2" thickBot="1" x14ac:dyDescent="0.35">
      <c r="A2" t="s">
        <v>0</v>
      </c>
      <c r="B2" t="s">
        <v>81</v>
      </c>
      <c r="C2">
        <v>32</v>
      </c>
      <c r="D2" t="s">
        <v>17</v>
      </c>
    </row>
    <row r="3" spans="1:26" ht="16.2" thickBot="1" x14ac:dyDescent="0.35">
      <c r="A3" t="s">
        <v>1</v>
      </c>
      <c r="B3" t="s">
        <v>113</v>
      </c>
      <c r="C3">
        <v>18</v>
      </c>
      <c r="D3" t="s">
        <v>17</v>
      </c>
      <c r="I3" t="s">
        <v>50</v>
      </c>
      <c r="J3" t="s">
        <v>24</v>
      </c>
      <c r="L3" t="s">
        <v>28</v>
      </c>
      <c r="S3" s="7" t="s">
        <v>31</v>
      </c>
      <c r="T3" s="8"/>
      <c r="U3" s="9"/>
    </row>
    <row r="4" spans="1:26" x14ac:dyDescent="0.3">
      <c r="B4" t="s">
        <v>2</v>
      </c>
      <c r="C4">
        <f xml:space="preserve"> T9/T4</f>
        <v>134.48275862068965</v>
      </c>
      <c r="D4" t="s">
        <v>3</v>
      </c>
      <c r="F4" s="18" t="s">
        <v>18</v>
      </c>
      <c r="G4" s="19"/>
      <c r="J4" t="s">
        <v>25</v>
      </c>
      <c r="S4" s="3" t="s">
        <v>32</v>
      </c>
      <c r="T4">
        <f>G5*$C$2+(1-G5)*$C$3</f>
        <v>22.307692307692307</v>
      </c>
      <c r="U4" s="4" t="s">
        <v>40</v>
      </c>
    </row>
    <row r="5" spans="1:26" x14ac:dyDescent="0.3">
      <c r="B5" s="2" t="s">
        <v>4</v>
      </c>
      <c r="C5" s="2">
        <v>0.2</v>
      </c>
      <c r="D5" t="s">
        <v>5</v>
      </c>
      <c r="F5" s="3" t="s">
        <v>19</v>
      </c>
      <c r="G5" s="4">
        <f>(C5/$C$3)/((1-C5)/$C$2+C5/$C$3)</f>
        <v>0.30769230769230765</v>
      </c>
      <c r="I5" t="s">
        <v>26</v>
      </c>
      <c r="J5">
        <v>973</v>
      </c>
      <c r="S5" s="3" t="s">
        <v>33</v>
      </c>
      <c r="T5">
        <f>G6*$C$2+(1-G6)*$C$3</f>
        <v>30.273972602739725</v>
      </c>
      <c r="U5" s="4" t="s">
        <v>40</v>
      </c>
    </row>
    <row r="6" spans="1:26" ht="16.2" thickBot="1" x14ac:dyDescent="0.35">
      <c r="B6" s="2" t="s">
        <v>6</v>
      </c>
      <c r="C6" s="2">
        <v>0.8</v>
      </c>
      <c r="D6" t="s">
        <v>5</v>
      </c>
      <c r="F6" s="3" t="s">
        <v>20</v>
      </c>
      <c r="G6" s="4">
        <f>(C6/$C$3)/((1-C6)/$C$2+C6/$C$3)</f>
        <v>0.87671232876712335</v>
      </c>
      <c r="I6" s="1" t="s">
        <v>27</v>
      </c>
      <c r="J6">
        <v>736.9</v>
      </c>
      <c r="S6" s="5" t="s">
        <v>34</v>
      </c>
      <c r="T6" s="10">
        <f>G7*$C$2+(1-G7)*$C$3</f>
        <v>18.49015317286652</v>
      </c>
      <c r="U6" s="6" t="s">
        <v>40</v>
      </c>
    </row>
    <row r="7" spans="1:26" ht="16.2" thickBot="1" x14ac:dyDescent="0.35">
      <c r="B7" s="2" t="s">
        <v>7</v>
      </c>
      <c r="C7" s="2">
        <v>0.02</v>
      </c>
      <c r="D7" t="s">
        <v>5</v>
      </c>
      <c r="F7" s="5" t="s">
        <v>21</v>
      </c>
      <c r="G7" s="6">
        <f>(C7/$C$3)/((1-C7)/$C$2+C7/$C$3)</f>
        <v>3.5010940919037198E-2</v>
      </c>
    </row>
    <row r="8" spans="1:26" x14ac:dyDescent="0.3">
      <c r="A8" t="s">
        <v>8</v>
      </c>
      <c r="B8" t="s">
        <v>12</v>
      </c>
      <c r="C8">
        <v>28</v>
      </c>
      <c r="D8" t="s">
        <v>16</v>
      </c>
      <c r="S8" s="7" t="s">
        <v>41</v>
      </c>
      <c r="T8" s="9"/>
    </row>
    <row r="9" spans="1:26" x14ac:dyDescent="0.3">
      <c r="A9" t="s">
        <v>9</v>
      </c>
      <c r="B9" t="s">
        <v>13</v>
      </c>
      <c r="C9">
        <v>60</v>
      </c>
      <c r="D9" t="s">
        <v>16</v>
      </c>
      <c r="E9" s="15" t="s">
        <v>29</v>
      </c>
      <c r="F9" s="15"/>
      <c r="G9" s="15"/>
      <c r="H9" s="15"/>
      <c r="I9" t="s">
        <v>30</v>
      </c>
      <c r="J9">
        <f>1/(G5/J6+(1-G5)/J5)</f>
        <v>885.68600640434806</v>
      </c>
      <c r="S9" s="11" t="s">
        <v>42</v>
      </c>
      <c r="T9" s="12">
        <v>3000</v>
      </c>
    </row>
    <row r="10" spans="1:26" x14ac:dyDescent="0.3">
      <c r="A10" t="s">
        <v>10</v>
      </c>
      <c r="B10" t="s">
        <v>14</v>
      </c>
      <c r="C10">
        <v>28</v>
      </c>
      <c r="D10" t="s">
        <v>16</v>
      </c>
      <c r="S10" s="3" t="s">
        <v>43</v>
      </c>
      <c r="T10" s="4">
        <f>C16*T5</f>
        <v>939.53708077468093</v>
      </c>
    </row>
    <row r="11" spans="1:26" ht="16.2" thickBot="1" x14ac:dyDescent="0.35">
      <c r="A11" t="s">
        <v>11</v>
      </c>
      <c r="B11" t="s">
        <v>15</v>
      </c>
      <c r="C11">
        <v>40</v>
      </c>
      <c r="D11" t="s">
        <v>16</v>
      </c>
      <c r="S11" s="5" t="s">
        <v>44</v>
      </c>
      <c r="T11" s="6">
        <f>C17*T6</f>
        <v>1912.7744661586057</v>
      </c>
    </row>
    <row r="12" spans="1:26" x14ac:dyDescent="0.3">
      <c r="A12" t="s">
        <v>22</v>
      </c>
      <c r="B12" t="s">
        <v>23</v>
      </c>
      <c r="C12">
        <v>78</v>
      </c>
      <c r="D12" t="s">
        <v>16</v>
      </c>
    </row>
    <row r="13" spans="1:26" x14ac:dyDescent="0.3">
      <c r="F13" t="s">
        <v>50</v>
      </c>
      <c r="G13" t="s">
        <v>46</v>
      </c>
      <c r="H13" t="s">
        <v>45</v>
      </c>
      <c r="I13">
        <v>0.57999999999999996</v>
      </c>
    </row>
    <row r="14" spans="1:26" x14ac:dyDescent="0.3">
      <c r="N14" t="s">
        <v>56</v>
      </c>
      <c r="O14">
        <v>100</v>
      </c>
      <c r="P14">
        <v>92.3</v>
      </c>
      <c r="Q14">
        <v>87.7</v>
      </c>
      <c r="R14">
        <v>81.7</v>
      </c>
      <c r="S14">
        <v>78</v>
      </c>
      <c r="T14">
        <v>75.3</v>
      </c>
      <c r="U14">
        <v>73.099999999999994</v>
      </c>
      <c r="V14">
        <v>71.2</v>
      </c>
      <c r="W14">
        <v>69.3</v>
      </c>
      <c r="X14">
        <v>67.5</v>
      </c>
      <c r="Y14">
        <v>66</v>
      </c>
      <c r="Z14">
        <v>64.5</v>
      </c>
    </row>
    <row r="15" spans="1:26" x14ac:dyDescent="0.3">
      <c r="B15" t="s">
        <v>35</v>
      </c>
      <c r="G15" s="15" t="s">
        <v>47</v>
      </c>
      <c r="H15" s="15"/>
      <c r="I15" s="15"/>
      <c r="J15" s="15"/>
      <c r="K15">
        <f>(C6-I13)/(I13-C5)</f>
        <v>0.57894736842105288</v>
      </c>
      <c r="N15" t="s">
        <v>57</v>
      </c>
      <c r="O15">
        <v>0</v>
      </c>
      <c r="P15">
        <v>5</v>
      </c>
      <c r="Q15">
        <v>10</v>
      </c>
      <c r="R15">
        <v>20</v>
      </c>
      <c r="S15">
        <v>30</v>
      </c>
      <c r="T15">
        <v>40</v>
      </c>
      <c r="U15">
        <v>50</v>
      </c>
      <c r="V15">
        <v>60</v>
      </c>
      <c r="W15">
        <v>70</v>
      </c>
      <c r="X15">
        <v>80</v>
      </c>
      <c r="Y15">
        <v>90</v>
      </c>
      <c r="Z15">
        <v>100</v>
      </c>
    </row>
    <row r="16" spans="1:26" x14ac:dyDescent="0.3">
      <c r="A16" t="s">
        <v>36</v>
      </c>
      <c r="B16" t="s">
        <v>38</v>
      </c>
      <c r="C16">
        <f>C4-C17</f>
        <v>31.034482758620683</v>
      </c>
      <c r="D16" t="s">
        <v>3</v>
      </c>
      <c r="G16" s="15" t="s">
        <v>48</v>
      </c>
      <c r="H16" s="15"/>
      <c r="I16" s="15"/>
      <c r="J16" s="15"/>
      <c r="K16">
        <f>1.3*K15+0.3</f>
        <v>1.0526315789473688</v>
      </c>
      <c r="N16" t="s">
        <v>58</v>
      </c>
      <c r="O16">
        <v>0</v>
      </c>
      <c r="P16">
        <v>26.8</v>
      </c>
      <c r="Q16">
        <v>41.8</v>
      </c>
      <c r="R16">
        <v>57.9</v>
      </c>
      <c r="S16">
        <v>66.5</v>
      </c>
      <c r="T16">
        <v>72.900000000000006</v>
      </c>
      <c r="U16">
        <v>77.900000000000006</v>
      </c>
      <c r="V16">
        <v>82.5</v>
      </c>
      <c r="W16">
        <v>87</v>
      </c>
      <c r="X16">
        <v>91.5</v>
      </c>
      <c r="Y16">
        <v>95.8</v>
      </c>
      <c r="Z16">
        <v>100</v>
      </c>
    </row>
    <row r="17" spans="1:26" x14ac:dyDescent="0.3">
      <c r="A17" t="s">
        <v>37</v>
      </c>
      <c r="B17" t="s">
        <v>39</v>
      </c>
      <c r="C17">
        <f>(C4*C5-C6*C4)/(C7-C6)</f>
        <v>103.44827586206897</v>
      </c>
      <c r="D17" t="s">
        <v>3</v>
      </c>
      <c r="G17" s="15" t="s">
        <v>49</v>
      </c>
      <c r="H17" s="15"/>
      <c r="I17" s="15"/>
      <c r="J17" s="15"/>
      <c r="K17">
        <f>(C6-C7)/(C5-C7)</f>
        <v>4.333333333333333</v>
      </c>
      <c r="N17" t="s">
        <v>59</v>
      </c>
      <c r="O17">
        <v>0</v>
      </c>
      <c r="P17">
        <v>0.05</v>
      </c>
      <c r="Q17">
        <v>0.1</v>
      </c>
      <c r="R17">
        <v>0.2</v>
      </c>
      <c r="S17">
        <v>0.3</v>
      </c>
      <c r="T17">
        <v>0.4</v>
      </c>
      <c r="U17">
        <v>0.5</v>
      </c>
      <c r="V17">
        <v>0.6</v>
      </c>
      <c r="W17">
        <v>0.7</v>
      </c>
      <c r="X17">
        <v>0.8</v>
      </c>
      <c r="Y17">
        <v>0.9</v>
      </c>
      <c r="Z17">
        <v>1</v>
      </c>
    </row>
    <row r="18" spans="1:26" x14ac:dyDescent="0.3">
      <c r="N18" t="s">
        <v>60</v>
      </c>
      <c r="O18">
        <v>0</v>
      </c>
      <c r="P18">
        <v>0.26800000000000002</v>
      </c>
      <c r="Q18">
        <v>0.41799999999999998</v>
      </c>
      <c r="R18">
        <v>0.57899999999999996</v>
      </c>
      <c r="S18">
        <v>0.66500000000000004</v>
      </c>
      <c r="T18">
        <v>0.72899999999999998</v>
      </c>
      <c r="U18">
        <v>0.77900000000000003</v>
      </c>
      <c r="V18">
        <v>0.82499999999999996</v>
      </c>
      <c r="W18">
        <v>0.87</v>
      </c>
      <c r="X18">
        <v>0.91500000000000004</v>
      </c>
      <c r="Y18">
        <v>0.95799999999999996</v>
      </c>
      <c r="Z18">
        <v>1</v>
      </c>
    </row>
    <row r="19" spans="1:26" x14ac:dyDescent="0.3">
      <c r="C19" t="s">
        <v>54</v>
      </c>
      <c r="D19" t="s">
        <v>55</v>
      </c>
    </row>
    <row r="20" spans="1:26" x14ac:dyDescent="0.3">
      <c r="A20" t="s">
        <v>51</v>
      </c>
      <c r="B20" t="s">
        <v>52</v>
      </c>
      <c r="C20">
        <f>(K16+K17)/(K16+1)</f>
        <v>2.6239316239316235</v>
      </c>
      <c r="D20">
        <f>((1-K17)*C7)/(K16+1)</f>
        <v>-3.2478632478632467E-2</v>
      </c>
    </row>
    <row r="21" spans="1:26" x14ac:dyDescent="0.3">
      <c r="A21" t="s">
        <v>53</v>
      </c>
      <c r="B21" t="s">
        <v>52</v>
      </c>
      <c r="C21">
        <f>K16/(K16+1)</f>
        <v>0.51282051282051289</v>
      </c>
      <c r="D21">
        <f>C5/(K16+1)</f>
        <v>9.7435897435897409E-2</v>
      </c>
    </row>
    <row r="23" spans="1:26" x14ac:dyDescent="0.3">
      <c r="A23" s="13" t="s">
        <v>61</v>
      </c>
      <c r="B23" s="17" t="s">
        <v>62</v>
      </c>
      <c r="C23" s="17"/>
      <c r="D23" s="16" t="s">
        <v>63</v>
      </c>
      <c r="E23" s="16"/>
    </row>
    <row r="24" spans="1:26" x14ac:dyDescent="0.3">
      <c r="A24" t="s">
        <v>64</v>
      </c>
      <c r="B24" t="s">
        <v>65</v>
      </c>
      <c r="C24">
        <f>(C6+C5)/2</f>
        <v>0.5</v>
      </c>
      <c r="F24" t="s">
        <v>66</v>
      </c>
      <c r="G24" s="15" t="s">
        <v>67</v>
      </c>
      <c r="H24" s="15"/>
      <c r="I24" t="s">
        <v>68</v>
      </c>
      <c r="J24">
        <v>73.2</v>
      </c>
      <c r="M24" s="15" t="s">
        <v>71</v>
      </c>
      <c r="N24" s="15"/>
      <c r="O24" t="s">
        <v>26</v>
      </c>
      <c r="P24">
        <v>975.88</v>
      </c>
    </row>
    <row r="25" spans="1:26" x14ac:dyDescent="0.3">
      <c r="A25" t="s">
        <v>69</v>
      </c>
      <c r="B25" t="s">
        <v>70</v>
      </c>
      <c r="C25">
        <f>(G6+G5)/2</f>
        <v>0.59220231822971547</v>
      </c>
      <c r="O25" s="1" t="s">
        <v>27</v>
      </c>
      <c r="P25">
        <v>741.46</v>
      </c>
    </row>
    <row r="26" spans="1:26" x14ac:dyDescent="0.3">
      <c r="A26" t="s">
        <v>72</v>
      </c>
      <c r="B26" t="s">
        <v>73</v>
      </c>
      <c r="C26">
        <f>1/((C25/P25)+(1-C25)/P24)</f>
        <v>821.98009888416368</v>
      </c>
    </row>
    <row r="27" spans="1:26" x14ac:dyDescent="0.3">
      <c r="D27" s="16" t="s">
        <v>96</v>
      </c>
      <c r="E27" s="16"/>
    </row>
    <row r="28" spans="1:26" x14ac:dyDescent="0.3">
      <c r="A28" t="s">
        <v>74</v>
      </c>
      <c r="B28" t="s">
        <v>75</v>
      </c>
      <c r="C28">
        <f>C21*C24+D21</f>
        <v>0.35384615384615387</v>
      </c>
      <c r="F28" t="s">
        <v>76</v>
      </c>
      <c r="G28" s="15" t="s">
        <v>77</v>
      </c>
      <c r="H28" s="15"/>
      <c r="I28" t="s">
        <v>78</v>
      </c>
      <c r="J28">
        <v>89.8</v>
      </c>
      <c r="M28" s="15" t="s">
        <v>86</v>
      </c>
      <c r="N28" s="15"/>
      <c r="O28" s="15"/>
      <c r="P28" t="s">
        <v>87</v>
      </c>
      <c r="Q28">
        <v>0.25</v>
      </c>
      <c r="R28" t="s">
        <v>50</v>
      </c>
      <c r="S28" t="s">
        <v>88</v>
      </c>
      <c r="T28">
        <v>2.8000000000000001E-2</v>
      </c>
    </row>
    <row r="29" spans="1:26" x14ac:dyDescent="0.3">
      <c r="A29" t="s">
        <v>79</v>
      </c>
      <c r="B29" t="s">
        <v>80</v>
      </c>
      <c r="C29">
        <f>C28*C2+(1-C28)*C3</f>
        <v>22.95384615384615</v>
      </c>
    </row>
    <row r="30" spans="1:26" x14ac:dyDescent="0.3">
      <c r="A30" t="s">
        <v>84</v>
      </c>
      <c r="B30" t="s">
        <v>85</v>
      </c>
      <c r="C30">
        <f>(C1*C29)/(E1*(J28+273))</f>
        <v>0.77108599779492826</v>
      </c>
    </row>
    <row r="32" spans="1:26" x14ac:dyDescent="0.3">
      <c r="A32" t="s">
        <v>89</v>
      </c>
      <c r="B32" s="1" t="s">
        <v>90</v>
      </c>
      <c r="C32">
        <f>T28*SQRT(C26/C30)</f>
        <v>0.91419170082217582</v>
      </c>
    </row>
    <row r="33" spans="1:20" x14ac:dyDescent="0.3">
      <c r="A33" t="s">
        <v>91</v>
      </c>
      <c r="B33" s="1" t="s">
        <v>92</v>
      </c>
      <c r="C33">
        <f>(T10*(1+K16)*22.4*(J28+273))/(T5*273*3600)</f>
        <v>0.52675136116152455</v>
      </c>
    </row>
    <row r="34" spans="1:20" x14ac:dyDescent="0.3">
      <c r="A34" t="s">
        <v>94</v>
      </c>
      <c r="B34" s="1" t="s">
        <v>95</v>
      </c>
      <c r="C34">
        <f>SQRT(4*C33/(3.14*C32))</f>
        <v>0.85674063861417238</v>
      </c>
    </row>
    <row r="35" spans="1:20" x14ac:dyDescent="0.3">
      <c r="D35" s="16" t="s">
        <v>97</v>
      </c>
      <c r="E35" s="16"/>
    </row>
    <row r="36" spans="1:20" x14ac:dyDescent="0.3">
      <c r="A36" t="s">
        <v>98</v>
      </c>
      <c r="B36" t="s">
        <v>99</v>
      </c>
      <c r="C36">
        <f>(C5+C7)/2</f>
        <v>0.11</v>
      </c>
      <c r="F36" t="s">
        <v>66</v>
      </c>
      <c r="G36" s="15" t="s">
        <v>100</v>
      </c>
      <c r="H36" s="15"/>
      <c r="I36" t="s">
        <v>101</v>
      </c>
      <c r="J36">
        <v>87</v>
      </c>
      <c r="M36" s="15" t="s">
        <v>71</v>
      </c>
      <c r="N36" s="15"/>
      <c r="O36" t="s">
        <v>26</v>
      </c>
      <c r="P36">
        <v>966.48</v>
      </c>
    </row>
    <row r="37" spans="1:20" x14ac:dyDescent="0.3">
      <c r="A37" t="s">
        <v>102</v>
      </c>
      <c r="B37" t="s">
        <v>103</v>
      </c>
      <c r="C37">
        <f>(G5+G7)/2</f>
        <v>0.17135162430567241</v>
      </c>
      <c r="O37" s="1" t="s">
        <v>27</v>
      </c>
      <c r="P37">
        <v>728.35</v>
      </c>
    </row>
    <row r="38" spans="1:20" x14ac:dyDescent="0.3">
      <c r="A38" t="s">
        <v>104</v>
      </c>
      <c r="B38" t="s">
        <v>105</v>
      </c>
      <c r="C38">
        <f>1/((C37/P37)+(1-C37)/P36)</f>
        <v>915.20780299794012</v>
      </c>
    </row>
    <row r="39" spans="1:20" x14ac:dyDescent="0.3">
      <c r="D39" s="16" t="s">
        <v>106</v>
      </c>
      <c r="E39" s="16"/>
    </row>
    <row r="40" spans="1:20" x14ac:dyDescent="0.3">
      <c r="A40" t="s">
        <v>107</v>
      </c>
      <c r="B40" t="s">
        <v>108</v>
      </c>
      <c r="C40">
        <f>C20*C36+D20</f>
        <v>0.25615384615384612</v>
      </c>
      <c r="F40" t="s">
        <v>66</v>
      </c>
      <c r="G40" s="15" t="s">
        <v>109</v>
      </c>
      <c r="H40" s="15"/>
      <c r="I40" t="s">
        <v>110</v>
      </c>
      <c r="J40">
        <v>79.400000000000006</v>
      </c>
      <c r="M40" s="15" t="s">
        <v>86</v>
      </c>
      <c r="N40" s="15"/>
      <c r="O40" s="15"/>
      <c r="P40" t="s">
        <v>87</v>
      </c>
      <c r="Q40">
        <v>0.25</v>
      </c>
      <c r="R40" t="s">
        <v>50</v>
      </c>
      <c r="S40" t="s">
        <v>88</v>
      </c>
      <c r="T40">
        <v>2.8000000000000001E-2</v>
      </c>
    </row>
    <row r="41" spans="1:20" x14ac:dyDescent="0.3">
      <c r="A41" t="s">
        <v>111</v>
      </c>
      <c r="B41" t="s">
        <v>112</v>
      </c>
      <c r="C41">
        <f>C40*C2+(1-C40)*C3</f>
        <v>21.586153846153845</v>
      </c>
    </row>
    <row r="42" spans="1:20" x14ac:dyDescent="0.3">
      <c r="A42" t="s">
        <v>114</v>
      </c>
      <c r="B42" t="s">
        <v>115</v>
      </c>
      <c r="C42">
        <f>(C1*C41)/(E1*(J40+273))</f>
        <v>0.74654157207718508</v>
      </c>
    </row>
    <row r="44" spans="1:20" x14ac:dyDescent="0.3">
      <c r="A44" t="s">
        <v>116</v>
      </c>
      <c r="B44" s="1" t="s">
        <v>117</v>
      </c>
      <c r="C44">
        <f>T40*SQRT(C38/C42)</f>
        <v>0.98037197952352884</v>
      </c>
      <c r="H44" s="15" t="s">
        <v>121</v>
      </c>
      <c r="I44" s="15"/>
      <c r="J44" s="1" t="s">
        <v>90</v>
      </c>
      <c r="K44">
        <f>(4*C33)/(3.14*C47^2)</f>
        <v>0.82842079289380277</v>
      </c>
    </row>
    <row r="45" spans="1:20" x14ac:dyDescent="0.3">
      <c r="A45" t="s">
        <v>118</v>
      </c>
      <c r="B45" s="1" t="s">
        <v>92</v>
      </c>
      <c r="C45">
        <f>(T10*(1+K16)*22.4*(J40+273))/(T5*273*3600)</f>
        <v>0.51165154264972779</v>
      </c>
      <c r="J45" s="1" t="s">
        <v>117</v>
      </c>
      <c r="K45">
        <f>4*C45/(3.14*C47^2)</f>
        <v>0.80467333907325278</v>
      </c>
    </row>
    <row r="46" spans="1:20" x14ac:dyDescent="0.3">
      <c r="A46" t="s">
        <v>119</v>
      </c>
      <c r="B46" s="1" t="s">
        <v>120</v>
      </c>
      <c r="C46">
        <f>SQRT(4*C45/(3.14*C44))</f>
        <v>0.81537402192580277</v>
      </c>
    </row>
    <row r="47" spans="1:20" x14ac:dyDescent="0.3">
      <c r="A47" t="s">
        <v>62</v>
      </c>
      <c r="B47" s="1" t="s">
        <v>122</v>
      </c>
      <c r="C47">
        <v>0.9</v>
      </c>
    </row>
    <row r="48" spans="1:20" x14ac:dyDescent="0.3">
      <c r="B48" s="17" t="s">
        <v>123</v>
      </c>
      <c r="C48" s="17"/>
    </row>
    <row r="49" spans="1:18" x14ac:dyDescent="0.3">
      <c r="A49" t="s">
        <v>124</v>
      </c>
      <c r="B49">
        <v>9</v>
      </c>
      <c r="E49" s="16" t="s">
        <v>127</v>
      </c>
      <c r="F49" s="16"/>
      <c r="J49" s="16" t="s">
        <v>144</v>
      </c>
      <c r="K49" s="16"/>
      <c r="O49" s="16" t="s">
        <v>145</v>
      </c>
      <c r="P49" s="16"/>
    </row>
    <row r="50" spans="1:18" x14ac:dyDescent="0.3">
      <c r="A50" t="s">
        <v>125</v>
      </c>
      <c r="B50">
        <v>5</v>
      </c>
      <c r="E50" s="15" t="s">
        <v>131</v>
      </c>
      <c r="F50" s="15"/>
      <c r="G50" t="s">
        <v>6</v>
      </c>
      <c r="H50">
        <f>C6</f>
        <v>0.8</v>
      </c>
      <c r="J50" s="15" t="s">
        <v>131</v>
      </c>
      <c r="K50" s="15"/>
      <c r="L50" t="s">
        <v>6</v>
      </c>
      <c r="M50">
        <f>C5</f>
        <v>0.2</v>
      </c>
      <c r="O50" s="15" t="s">
        <v>131</v>
      </c>
      <c r="P50" s="15"/>
      <c r="Q50" t="s">
        <v>7</v>
      </c>
      <c r="R50">
        <f>C7</f>
        <v>0.02</v>
      </c>
    </row>
    <row r="51" spans="1:18" x14ac:dyDescent="0.3">
      <c r="A51" t="s">
        <v>126</v>
      </c>
      <c r="B51">
        <v>4</v>
      </c>
      <c r="E51" s="15" t="s">
        <v>128</v>
      </c>
      <c r="F51" s="15"/>
      <c r="G51" t="s">
        <v>129</v>
      </c>
      <c r="H51">
        <v>67.8</v>
      </c>
      <c r="J51" s="15" t="s">
        <v>128</v>
      </c>
      <c r="K51" s="15"/>
      <c r="L51" t="s">
        <v>129</v>
      </c>
      <c r="M51">
        <v>81.8</v>
      </c>
      <c r="O51" s="15" t="s">
        <v>128</v>
      </c>
      <c r="P51" s="15"/>
      <c r="Q51" t="s">
        <v>129</v>
      </c>
      <c r="R51">
        <v>96.7</v>
      </c>
    </row>
    <row r="52" spans="1:18" x14ac:dyDescent="0.3">
      <c r="E52" s="15" t="s">
        <v>130</v>
      </c>
      <c r="F52" s="15"/>
      <c r="G52" t="s">
        <v>132</v>
      </c>
      <c r="H52">
        <v>0.91400000000000003</v>
      </c>
      <c r="J52" s="15" t="s">
        <v>130</v>
      </c>
      <c r="K52" s="15"/>
      <c r="L52" t="s">
        <v>132</v>
      </c>
      <c r="M52">
        <v>0.57999999999999996</v>
      </c>
      <c r="O52" s="15" t="s">
        <v>130</v>
      </c>
      <c r="P52" s="15"/>
      <c r="Q52" t="s">
        <v>132</v>
      </c>
      <c r="R52">
        <v>0.112</v>
      </c>
    </row>
    <row r="53" spans="1:18" x14ac:dyDescent="0.3">
      <c r="E53" s="15" t="s">
        <v>133</v>
      </c>
      <c r="F53" s="15"/>
      <c r="G53" t="s">
        <v>134</v>
      </c>
      <c r="H53">
        <f>(H52*(1-H50)/((1-H52)*H50))</f>
        <v>2.6569767441860472</v>
      </c>
      <c r="J53" s="15" t="s">
        <v>133</v>
      </c>
      <c r="K53" s="15"/>
      <c r="L53" t="s">
        <v>134</v>
      </c>
      <c r="M53">
        <f>(M52*(1-M50)/((1-M52)*M50))</f>
        <v>5.5238095238095219</v>
      </c>
      <c r="O53" s="15" t="s">
        <v>133</v>
      </c>
      <c r="P53" s="15"/>
      <c r="Q53" t="s">
        <v>134</v>
      </c>
      <c r="R53">
        <f>(R52*(1-R50)/((1-R52)*R50))</f>
        <v>6.1801801801801792</v>
      </c>
    </row>
    <row r="54" spans="1:18" x14ac:dyDescent="0.3">
      <c r="E54" s="15" t="s">
        <v>135</v>
      </c>
      <c r="F54" s="15"/>
      <c r="G54" s="1" t="s">
        <v>136</v>
      </c>
      <c r="H54">
        <v>0.41860000000000003</v>
      </c>
      <c r="J54" s="15" t="s">
        <v>135</v>
      </c>
      <c r="K54" s="15"/>
      <c r="L54" s="1" t="s">
        <v>136</v>
      </c>
      <c r="M54">
        <v>0.34870000000000001</v>
      </c>
      <c r="O54" s="15" t="s">
        <v>135</v>
      </c>
      <c r="P54" s="15"/>
      <c r="Q54" s="1" t="s">
        <v>136</v>
      </c>
      <c r="R54">
        <v>0.29399999999999998</v>
      </c>
    </row>
    <row r="55" spans="1:18" x14ac:dyDescent="0.3">
      <c r="E55" s="15" t="s">
        <v>137</v>
      </c>
      <c r="F55" s="15"/>
      <c r="G55" s="1" t="s">
        <v>138</v>
      </c>
      <c r="H55">
        <v>0.3196</v>
      </c>
      <c r="J55" s="15" t="s">
        <v>137</v>
      </c>
      <c r="K55" s="15"/>
      <c r="L55" s="1" t="s">
        <v>138</v>
      </c>
      <c r="M55">
        <v>0.27610000000000001</v>
      </c>
      <c r="O55" s="15" t="s">
        <v>137</v>
      </c>
      <c r="P55" s="15"/>
      <c r="Q55" s="1" t="s">
        <v>138</v>
      </c>
      <c r="R55">
        <v>0.23</v>
      </c>
    </row>
    <row r="56" spans="1:18" x14ac:dyDescent="0.3">
      <c r="E56" s="15" t="s">
        <v>139</v>
      </c>
      <c r="F56" s="15"/>
      <c r="G56" s="1" t="s">
        <v>140</v>
      </c>
      <c r="H56">
        <f>10^(H50*LOG(H55)+(1-H50)*LOG(H54))</f>
        <v>0.337322461908522</v>
      </c>
      <c r="J56" s="15" t="s">
        <v>139</v>
      </c>
      <c r="K56" s="15"/>
      <c r="L56" s="1" t="s">
        <v>140</v>
      </c>
      <c r="M56">
        <f>10^(M50*LOG(M55)+(1-M50)*LOG(M54))</f>
        <v>0.332793503070416</v>
      </c>
      <c r="O56" s="15" t="s">
        <v>139</v>
      </c>
      <c r="P56" s="15"/>
      <c r="Q56" s="1" t="s">
        <v>140</v>
      </c>
      <c r="R56">
        <f>10^(R50*LOG(R55)+(1-R50)*LOG(R54))</f>
        <v>0.29255999541536426</v>
      </c>
    </row>
    <row r="57" spans="1:18" x14ac:dyDescent="0.3">
      <c r="G57" t="s">
        <v>141</v>
      </c>
      <c r="H57">
        <f>H53*H56</f>
        <v>0.89625793658252673</v>
      </c>
      <c r="L57" t="s">
        <v>141</v>
      </c>
      <c r="M57">
        <f>M53*M56</f>
        <v>1.8382879217222972</v>
      </c>
      <c r="Q57" t="s">
        <v>141</v>
      </c>
      <c r="R57">
        <f>R53*R56</f>
        <v>1.8080734851796383</v>
      </c>
    </row>
    <row r="58" spans="1:18" x14ac:dyDescent="0.3">
      <c r="E58" s="15" t="s">
        <v>142</v>
      </c>
      <c r="F58" s="15"/>
      <c r="G58" t="s">
        <v>143</v>
      </c>
      <c r="H58" s="14">
        <v>0.5</v>
      </c>
      <c r="J58" s="15" t="s">
        <v>142</v>
      </c>
      <c r="K58" s="15"/>
      <c r="L58" t="s">
        <v>143</v>
      </c>
      <c r="M58" s="14">
        <v>0.41</v>
      </c>
      <c r="O58" s="15" t="s">
        <v>142</v>
      </c>
      <c r="P58" s="15"/>
      <c r="Q58" t="s">
        <v>143</v>
      </c>
      <c r="R58" s="14">
        <v>0.43</v>
      </c>
    </row>
    <row r="59" spans="1:18" x14ac:dyDescent="0.3">
      <c r="A59" t="s">
        <v>146</v>
      </c>
      <c r="B59" t="s">
        <v>147</v>
      </c>
      <c r="C59">
        <f>(H58+M58+R58)/3</f>
        <v>0.4466666666666666</v>
      </c>
    </row>
    <row r="60" spans="1:18" x14ac:dyDescent="0.3">
      <c r="A60" t="s">
        <v>148</v>
      </c>
      <c r="B60" t="s">
        <v>149</v>
      </c>
      <c r="C60">
        <f>B49/C59</f>
        <v>20.149253731343286</v>
      </c>
      <c r="D60">
        <v>21</v>
      </c>
    </row>
    <row r="61" spans="1:18" x14ac:dyDescent="0.3">
      <c r="A61" t="s">
        <v>150</v>
      </c>
      <c r="B61" t="s">
        <v>152</v>
      </c>
      <c r="C61">
        <f>B50/C59</f>
        <v>11.19402985074627</v>
      </c>
      <c r="D61">
        <v>12</v>
      </c>
    </row>
    <row r="62" spans="1:18" x14ac:dyDescent="0.3">
      <c r="A62" t="s">
        <v>151</v>
      </c>
      <c r="B62" t="s">
        <v>153</v>
      </c>
      <c r="C62">
        <f>B51/C59</f>
        <v>8.9552238805970159</v>
      </c>
      <c r="D62">
        <v>9</v>
      </c>
    </row>
    <row r="63" spans="1:18" x14ac:dyDescent="0.3">
      <c r="A63" t="s">
        <v>154</v>
      </c>
      <c r="B63" t="s">
        <v>155</v>
      </c>
      <c r="C63">
        <f>D60*(Q40+Q63)+0.8</f>
        <v>6.0919999999999996</v>
      </c>
      <c r="M63" s="15" t="s">
        <v>156</v>
      </c>
      <c r="N63" s="15"/>
      <c r="O63" s="15"/>
      <c r="P63" s="1" t="s">
        <v>157</v>
      </c>
      <c r="Q63">
        <v>2E-3</v>
      </c>
    </row>
    <row r="64" spans="1:18" x14ac:dyDescent="0.3">
      <c r="M64" s="15" t="s">
        <v>161</v>
      </c>
      <c r="N64" s="15"/>
      <c r="O64" s="15"/>
      <c r="P64" t="s">
        <v>158</v>
      </c>
      <c r="Q64">
        <f>0.25*Q65</f>
        <v>0.22500000000000001</v>
      </c>
    </row>
    <row r="65" spans="1:17" x14ac:dyDescent="0.3">
      <c r="M65" s="15" t="s">
        <v>62</v>
      </c>
      <c r="N65" s="15"/>
      <c r="O65" s="15"/>
      <c r="P65" t="s">
        <v>122</v>
      </c>
      <c r="Q65">
        <f>C47</f>
        <v>0.9</v>
      </c>
    </row>
    <row r="66" spans="1:17" x14ac:dyDescent="0.3">
      <c r="M66" s="15" t="s">
        <v>159</v>
      </c>
      <c r="N66" s="15"/>
      <c r="O66" s="15"/>
      <c r="P66" t="s">
        <v>160</v>
      </c>
      <c r="Q66">
        <v>2.5000000000000001E-2</v>
      </c>
    </row>
    <row r="67" spans="1:17" x14ac:dyDescent="0.3">
      <c r="B67" s="17" t="s">
        <v>164</v>
      </c>
      <c r="C67" s="17"/>
      <c r="D67" s="16" t="s">
        <v>184</v>
      </c>
      <c r="E67" s="16"/>
      <c r="M67" s="15" t="s">
        <v>162</v>
      </c>
      <c r="N67" s="15"/>
      <c r="O67" s="15"/>
      <c r="P67" t="s">
        <v>163</v>
      </c>
      <c r="Q67">
        <f>C63+(Q64+Q66)*2</f>
        <v>6.5919999999999996</v>
      </c>
    </row>
    <row r="68" spans="1:17" x14ac:dyDescent="0.3">
      <c r="A68" t="s">
        <v>165</v>
      </c>
      <c r="C68" s="14">
        <v>0.08</v>
      </c>
    </row>
    <row r="69" spans="1:17" x14ac:dyDescent="0.3">
      <c r="A69" t="s">
        <v>166</v>
      </c>
      <c r="B69" t="s">
        <v>167</v>
      </c>
      <c r="C69">
        <v>3.0000000000000001E-3</v>
      </c>
      <c r="D69" t="s">
        <v>170</v>
      </c>
      <c r="E69">
        <f>C69*1000</f>
        <v>3</v>
      </c>
      <c r="F69" t="s">
        <v>171</v>
      </c>
    </row>
    <row r="70" spans="1:17" x14ac:dyDescent="0.3">
      <c r="A70" t="s">
        <v>168</v>
      </c>
      <c r="B70" t="s">
        <v>169</v>
      </c>
      <c r="C70">
        <v>0.03</v>
      </c>
      <c r="D70" t="s">
        <v>170</v>
      </c>
      <c r="E70">
        <f>C70*1000</f>
        <v>30</v>
      </c>
      <c r="F70" t="s">
        <v>171</v>
      </c>
    </row>
    <row r="71" spans="1:17" x14ac:dyDescent="0.3">
      <c r="A71" t="s">
        <v>172</v>
      </c>
      <c r="C71" s="14">
        <v>0.2</v>
      </c>
    </row>
    <row r="72" spans="1:17" x14ac:dyDescent="0.3">
      <c r="A72" t="s">
        <v>173</v>
      </c>
    </row>
    <row r="73" spans="1:17" x14ac:dyDescent="0.3">
      <c r="A73" t="s">
        <v>174</v>
      </c>
      <c r="C73">
        <v>1.4999999999999999E-2</v>
      </c>
      <c r="D73" t="s">
        <v>170</v>
      </c>
      <c r="E73">
        <f>C73*1000</f>
        <v>15</v>
      </c>
      <c r="F73" t="s">
        <v>171</v>
      </c>
    </row>
    <row r="74" spans="1:17" x14ac:dyDescent="0.3">
      <c r="A74" t="s">
        <v>175</v>
      </c>
      <c r="C74">
        <v>2E-3</v>
      </c>
      <c r="D74" t="s">
        <v>170</v>
      </c>
      <c r="E74">
        <f>C74*1000</f>
        <v>2</v>
      </c>
      <c r="F74" t="s">
        <v>171</v>
      </c>
    </row>
    <row r="75" spans="1:17" x14ac:dyDescent="0.3">
      <c r="A75" t="s">
        <v>176</v>
      </c>
    </row>
    <row r="77" spans="1:17" x14ac:dyDescent="0.3">
      <c r="A77" t="s">
        <v>177</v>
      </c>
      <c r="B77" t="s">
        <v>178</v>
      </c>
      <c r="C77">
        <f>C68*(C47/C69)^2</f>
        <v>7200</v>
      </c>
      <c r="E77" s="15" t="s">
        <v>179</v>
      </c>
      <c r="F77" s="15"/>
      <c r="G77" t="s">
        <v>181</v>
      </c>
      <c r="H77" t="s">
        <v>180</v>
      </c>
      <c r="I77" s="15" t="s">
        <v>182</v>
      </c>
      <c r="J77" s="15"/>
      <c r="K77" t="s">
        <v>183</v>
      </c>
      <c r="L77" t="s">
        <v>178</v>
      </c>
      <c r="M77">
        <v>7351</v>
      </c>
    </row>
    <row r="78" spans="1:17" x14ac:dyDescent="0.3">
      <c r="D78" s="16" t="s">
        <v>185</v>
      </c>
      <c r="E78" s="16"/>
    </row>
    <row r="79" spans="1:17" x14ac:dyDescent="0.3">
      <c r="A79" t="s">
        <v>187</v>
      </c>
      <c r="B79" t="s">
        <v>186</v>
      </c>
      <c r="C79">
        <v>1.82</v>
      </c>
    </row>
    <row r="80" spans="1:17" x14ac:dyDescent="0.3">
      <c r="A80" t="s">
        <v>188</v>
      </c>
      <c r="B80" s="1" t="s">
        <v>189</v>
      </c>
      <c r="C80">
        <f>K44/C68</f>
        <v>10.355259911172535</v>
      </c>
    </row>
    <row r="81" spans="1:9" x14ac:dyDescent="0.3">
      <c r="A81" t="s">
        <v>190</v>
      </c>
      <c r="B81" s="1" t="s">
        <v>191</v>
      </c>
      <c r="C81">
        <f>C79*(C80^2*C30)/2</f>
        <v>75.243019760963335</v>
      </c>
    </row>
    <row r="83" spans="1:9" x14ac:dyDescent="0.3">
      <c r="A83" t="s">
        <v>192</v>
      </c>
      <c r="B83" s="1" t="s">
        <v>195</v>
      </c>
      <c r="C83">
        <f>K45/C68</f>
        <v>10.05841673841566</v>
      </c>
    </row>
    <row r="84" spans="1:9" x14ac:dyDescent="0.3">
      <c r="A84" t="s">
        <v>193</v>
      </c>
      <c r="B84" s="1" t="s">
        <v>194</v>
      </c>
      <c r="C84">
        <f>C79*(C83^2*C42)/2</f>
        <v>68.731312892901329</v>
      </c>
    </row>
    <row r="85" spans="1:9" x14ac:dyDescent="0.3">
      <c r="D85" s="16" t="s">
        <v>196</v>
      </c>
      <c r="E85" s="16"/>
    </row>
    <row r="86" spans="1:9" x14ac:dyDescent="0.3">
      <c r="A86" t="s">
        <v>197</v>
      </c>
      <c r="B86" t="s">
        <v>68</v>
      </c>
      <c r="C86">
        <f>J24</f>
        <v>73.2</v>
      </c>
      <c r="D86" t="s">
        <v>50</v>
      </c>
      <c r="E86" s="15" t="s">
        <v>200</v>
      </c>
      <c r="F86" s="15"/>
      <c r="G86" s="15"/>
      <c r="H86" s="1" t="s">
        <v>198</v>
      </c>
      <c r="I86">
        <f>0.6265</f>
        <v>0.62649999999999995</v>
      </c>
    </row>
    <row r="87" spans="1:9" x14ac:dyDescent="0.3">
      <c r="E87" s="15" t="s">
        <v>199</v>
      </c>
      <c r="F87" s="15"/>
      <c r="G87" s="15"/>
      <c r="H87" s="1" t="s">
        <v>201</v>
      </c>
      <c r="I87">
        <v>1.8200000000000001E-2</v>
      </c>
    </row>
    <row r="88" spans="1:9" x14ac:dyDescent="0.3">
      <c r="E88" s="15" t="s">
        <v>202</v>
      </c>
      <c r="F88" s="15"/>
      <c r="G88" s="15"/>
      <c r="H88" s="1" t="s">
        <v>203</v>
      </c>
      <c r="I88">
        <f>(I86*I87)/(I86+I87)</f>
        <v>1.7686210640608036E-2</v>
      </c>
    </row>
    <row r="89" spans="1:9" x14ac:dyDescent="0.3">
      <c r="A89" t="s">
        <v>204</v>
      </c>
      <c r="B89" t="s">
        <v>206</v>
      </c>
      <c r="C89">
        <f>4*I88/(1.3*C69+0.08*C69^2)</f>
        <v>18.136354970987956</v>
      </c>
    </row>
    <row r="91" spans="1:9" x14ac:dyDescent="0.3">
      <c r="A91" t="s">
        <v>197</v>
      </c>
      <c r="B91" t="s">
        <v>101</v>
      </c>
      <c r="C91">
        <f>J36</f>
        <v>87</v>
      </c>
      <c r="D91" t="s">
        <v>50</v>
      </c>
      <c r="E91" s="15" t="s">
        <v>200</v>
      </c>
      <c r="F91" s="15"/>
      <c r="G91" s="15"/>
      <c r="H91" s="1" t="s">
        <v>198</v>
      </c>
      <c r="I91">
        <f>0.6132</f>
        <v>0.61319999999999997</v>
      </c>
    </row>
    <row r="92" spans="1:9" x14ac:dyDescent="0.3">
      <c r="E92" s="15" t="s">
        <v>199</v>
      </c>
      <c r="F92" s="15"/>
      <c r="G92" s="15"/>
      <c r="H92" s="1" t="s">
        <v>201</v>
      </c>
      <c r="I92">
        <v>1.6899999999999998E-2</v>
      </c>
    </row>
    <row r="93" spans="1:9" x14ac:dyDescent="0.3">
      <c r="E93" s="15" t="s">
        <v>202</v>
      </c>
      <c r="F93" s="15"/>
      <c r="G93" s="15"/>
      <c r="H93" s="1" t="s">
        <v>203</v>
      </c>
      <c r="I93">
        <f>(I91*I92)/(I91+I92)</f>
        <v>1.6446722742421836E-2</v>
      </c>
    </row>
    <row r="94" spans="1:9" x14ac:dyDescent="0.3">
      <c r="A94" t="s">
        <v>204</v>
      </c>
      <c r="B94" t="s">
        <v>206</v>
      </c>
      <c r="C94">
        <f>4*I93/(1.3*C69+0.08*C69^2)</f>
        <v>16.865319984435526</v>
      </c>
    </row>
    <row r="95" spans="1:9" x14ac:dyDescent="0.3">
      <c r="D95" s="16" t="s">
        <v>207</v>
      </c>
      <c r="E95" s="16"/>
    </row>
    <row r="96" spans="1:9" x14ac:dyDescent="0.3">
      <c r="A96" t="s">
        <v>208</v>
      </c>
      <c r="B96" s="15" t="s">
        <v>210</v>
      </c>
      <c r="C96" s="15"/>
      <c r="D96" s="15"/>
      <c r="E96" t="s">
        <v>209</v>
      </c>
      <c r="F96">
        <v>1.626753345</v>
      </c>
      <c r="G96" t="s">
        <v>211</v>
      </c>
      <c r="H96">
        <f>F96*180/PI()</f>
        <v>93.20610097728914</v>
      </c>
    </row>
    <row r="97" spans="1:13" x14ac:dyDescent="0.3">
      <c r="A97" t="s">
        <v>212</v>
      </c>
      <c r="B97" t="s">
        <v>213</v>
      </c>
      <c r="C97">
        <f>C47*SIN(F96/2)</f>
        <v>0.65395012609429237</v>
      </c>
    </row>
    <row r="99" spans="1:13" x14ac:dyDescent="0.3">
      <c r="A99" t="s">
        <v>214</v>
      </c>
      <c r="B99" t="s">
        <v>215</v>
      </c>
      <c r="C99">
        <f>C24*C2+(1-C24)*C3</f>
        <v>25</v>
      </c>
    </row>
    <row r="100" spans="1:13" x14ac:dyDescent="0.3">
      <c r="A100" t="s">
        <v>216</v>
      </c>
      <c r="B100" t="s">
        <v>217</v>
      </c>
      <c r="C100">
        <f>T10*K16*C99/(T5*C26*3600)</f>
        <v>2.7599239250615304E-4</v>
      </c>
    </row>
    <row r="101" spans="1:13" x14ac:dyDescent="0.3">
      <c r="B101" s="1" t="s">
        <v>218</v>
      </c>
      <c r="C101">
        <f>(C100/(1.85*C97*0.5))^(2/3)</f>
        <v>5.9266211580758319E-3</v>
      </c>
    </row>
    <row r="102" spans="1:13" x14ac:dyDescent="0.3">
      <c r="A102" t="s">
        <v>219</v>
      </c>
      <c r="B102" s="1" t="s">
        <v>220</v>
      </c>
      <c r="C102">
        <f>1.3*(C70+C101)*0.5*C26*9.81</f>
        <v>188.3042149784859</v>
      </c>
    </row>
    <row r="104" spans="1:13" x14ac:dyDescent="0.3">
      <c r="A104" t="s">
        <v>229</v>
      </c>
      <c r="B104" t="s">
        <v>224</v>
      </c>
      <c r="C104">
        <f>C36*C2+(1-C36)*C3</f>
        <v>19.54</v>
      </c>
    </row>
    <row r="105" spans="1:13" x14ac:dyDescent="0.3">
      <c r="A105" t="s">
        <v>230</v>
      </c>
      <c r="B105" t="s">
        <v>225</v>
      </c>
      <c r="C105">
        <f>T10*K16*C104/(T5*C38*3600)</f>
        <v>1.9374176445046182E-4</v>
      </c>
    </row>
    <row r="106" spans="1:13" x14ac:dyDescent="0.3">
      <c r="B106" s="1" t="s">
        <v>226</v>
      </c>
      <c r="C106">
        <f>(C105/(1.85*C97*0.5))^(2/3)</f>
        <v>4.6812078722132961E-3</v>
      </c>
    </row>
    <row r="107" spans="1:13" x14ac:dyDescent="0.3">
      <c r="A107" t="s">
        <v>228</v>
      </c>
      <c r="B107" s="1" t="s">
        <v>227</v>
      </c>
      <c r="C107">
        <f>1.3*(C70+C106)*0.5*C38*9.81</f>
        <v>202.39337516361846</v>
      </c>
    </row>
    <row r="108" spans="1:13" x14ac:dyDescent="0.3">
      <c r="D108" s="16" t="s">
        <v>221</v>
      </c>
      <c r="E108" s="16"/>
      <c r="L108" t="s">
        <v>233</v>
      </c>
    </row>
    <row r="109" spans="1:13" x14ac:dyDescent="0.3">
      <c r="A109" t="s">
        <v>222</v>
      </c>
      <c r="B109" t="s">
        <v>223</v>
      </c>
      <c r="C109">
        <f>C81+C89+C102</f>
        <v>281.68358971043722</v>
      </c>
      <c r="I109" s="15" t="s">
        <v>235</v>
      </c>
      <c r="J109" s="15"/>
      <c r="K109" t="s">
        <v>234</v>
      </c>
      <c r="L109">
        <f>1.8*C109/(C26*9.81)</f>
        <v>6.2878727115598887E-2</v>
      </c>
    </row>
    <row r="110" spans="1:13" x14ac:dyDescent="0.3">
      <c r="A110" t="s">
        <v>231</v>
      </c>
      <c r="B110" t="s">
        <v>232</v>
      </c>
      <c r="C110">
        <f>C84+C94+C107</f>
        <v>287.99000804095533</v>
      </c>
      <c r="I110" s="15" t="s">
        <v>236</v>
      </c>
      <c r="J110" s="15"/>
      <c r="K110" t="s">
        <v>237</v>
      </c>
      <c r="L110">
        <f>0.67*SQRT(9.81*C26*(C70+C101)/(C79*C30))</f>
        <v>9.6263365832471823</v>
      </c>
      <c r="M110" t="s">
        <v>238</v>
      </c>
    </row>
    <row r="111" spans="1:13" x14ac:dyDescent="0.3">
      <c r="A111" t="s">
        <v>221</v>
      </c>
      <c r="B111" t="s">
        <v>205</v>
      </c>
      <c r="C111">
        <f>D61*C110+D62*C109</f>
        <v>5991.0324038853996</v>
      </c>
    </row>
    <row r="112" spans="1:13" x14ac:dyDescent="0.3">
      <c r="D112" s="16" t="s">
        <v>239</v>
      </c>
      <c r="E112" s="16"/>
    </row>
    <row r="113" spans="1:3" x14ac:dyDescent="0.3">
      <c r="A113" t="s">
        <v>240</v>
      </c>
      <c r="B113" t="s">
        <v>241</v>
      </c>
      <c r="C113">
        <f>0.8*PI()*C47^2/4</f>
        <v>0.50893800988154647</v>
      </c>
    </row>
    <row r="114" spans="1:3" x14ac:dyDescent="0.3">
      <c r="A114" t="s">
        <v>242</v>
      </c>
      <c r="B114" t="s">
        <v>243</v>
      </c>
      <c r="C114" t="s">
        <v>244</v>
      </c>
    </row>
    <row r="116" spans="1:3" x14ac:dyDescent="0.3">
      <c r="B116" s="1" t="s">
        <v>218</v>
      </c>
    </row>
  </sheetData>
  <mergeCells count="70">
    <mergeCell ref="D112:E112"/>
    <mergeCell ref="E92:G92"/>
    <mergeCell ref="E93:G93"/>
    <mergeCell ref="D95:E95"/>
    <mergeCell ref="B96:D96"/>
    <mergeCell ref="D108:E108"/>
    <mergeCell ref="I109:J109"/>
    <mergeCell ref="I110:J110"/>
    <mergeCell ref="D85:E85"/>
    <mergeCell ref="E86:G86"/>
    <mergeCell ref="E87:G87"/>
    <mergeCell ref="E88:G88"/>
    <mergeCell ref="E91:G91"/>
    <mergeCell ref="B23:C23"/>
    <mergeCell ref="D23:E23"/>
    <mergeCell ref="F4:G4"/>
    <mergeCell ref="E9:H9"/>
    <mergeCell ref="G15:J15"/>
    <mergeCell ref="G16:J16"/>
    <mergeCell ref="G17:J17"/>
    <mergeCell ref="G24:H24"/>
    <mergeCell ref="M24:N24"/>
    <mergeCell ref="G28:H28"/>
    <mergeCell ref="M28:O28"/>
    <mergeCell ref="D27:E27"/>
    <mergeCell ref="D35:E35"/>
    <mergeCell ref="G36:H36"/>
    <mergeCell ref="M36:N36"/>
    <mergeCell ref="D39:E39"/>
    <mergeCell ref="G40:H40"/>
    <mergeCell ref="M40:O40"/>
    <mergeCell ref="H44:I44"/>
    <mergeCell ref="B48:C48"/>
    <mergeCell ref="E49:F49"/>
    <mergeCell ref="E50:F50"/>
    <mergeCell ref="E51:F51"/>
    <mergeCell ref="E52:F52"/>
    <mergeCell ref="E53:F53"/>
    <mergeCell ref="E54:F54"/>
    <mergeCell ref="E55:F55"/>
    <mergeCell ref="E56:F56"/>
    <mergeCell ref="J49:K49"/>
    <mergeCell ref="J50:K50"/>
    <mergeCell ref="J51:K51"/>
    <mergeCell ref="J52:K52"/>
    <mergeCell ref="J53:K53"/>
    <mergeCell ref="O49:P49"/>
    <mergeCell ref="O50:P50"/>
    <mergeCell ref="O51:P51"/>
    <mergeCell ref="O52:P52"/>
    <mergeCell ref="O53:P53"/>
    <mergeCell ref="B67:C67"/>
    <mergeCell ref="O54:P54"/>
    <mergeCell ref="O55:P55"/>
    <mergeCell ref="O56:P56"/>
    <mergeCell ref="O58:P58"/>
    <mergeCell ref="M63:O63"/>
    <mergeCell ref="E58:F58"/>
    <mergeCell ref="J54:K54"/>
    <mergeCell ref="J55:K55"/>
    <mergeCell ref="J56:K56"/>
    <mergeCell ref="J58:K58"/>
    <mergeCell ref="E77:F77"/>
    <mergeCell ref="I77:J77"/>
    <mergeCell ref="D67:E67"/>
    <mergeCell ref="D78:E78"/>
    <mergeCell ref="M64:O64"/>
    <mergeCell ref="M65:O65"/>
    <mergeCell ref="M66:O66"/>
    <mergeCell ref="M67:O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2022-09-14T03:22:59Z</dcterms:created>
  <dcterms:modified xsi:type="dcterms:W3CDTF">2022-09-28T02:15:31Z</dcterms:modified>
</cp:coreProperties>
</file>