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530" xr2:uid="{00000000-000D-0000-FFFF-FFFF00000000}"/>
  </bookViews>
  <sheets>
    <sheet name="Tinh toan" sheetId="1" r:id="rId1"/>
    <sheet name="Noi suy" sheetId="2" r:id="rId2"/>
    <sheet name="Bang" sheetId="3" r:id="rId3"/>
  </sheets>
  <definedNames>
    <definedName name="_GoBack" localSheetId="0">'Tinh toan'!$D$10</definedName>
  </definedNames>
  <calcPr calcId="171027"/>
</workbook>
</file>

<file path=xl/calcChain.xml><?xml version="1.0" encoding="utf-8"?>
<calcChain xmlns="http://schemas.openxmlformats.org/spreadsheetml/2006/main">
  <c r="E70" i="2" l="1"/>
  <c r="G70" i="2" s="1"/>
  <c r="E65" i="2"/>
  <c r="E66" i="2" s="1"/>
  <c r="G66" i="2" s="1"/>
  <c r="E60" i="2"/>
  <c r="G65" i="2" l="1"/>
  <c r="G67" i="2" s="1"/>
  <c r="E71" i="2"/>
  <c r="G71" i="2" s="1"/>
  <c r="E61" i="2"/>
  <c r="G61" i="2" s="1"/>
  <c r="G60" i="2"/>
  <c r="E55" i="2"/>
  <c r="E56" i="2" s="1"/>
  <c r="G56" i="2" s="1"/>
  <c r="G72" i="2" l="1"/>
  <c r="G55" i="2"/>
  <c r="G57" i="2" s="1"/>
  <c r="G62" i="2"/>
  <c r="D52" i="2"/>
  <c r="D50" i="2"/>
  <c r="D51" i="2" s="1"/>
  <c r="J51" i="2" s="1"/>
  <c r="L53" i="2"/>
  <c r="L51" i="2" s="1"/>
  <c r="L52" i="2" s="1"/>
  <c r="L49" i="2"/>
  <c r="L47" i="2" s="1"/>
  <c r="L48" i="2" s="1"/>
  <c r="L45" i="2"/>
  <c r="L43" i="2" s="1"/>
  <c r="L44" i="2" s="1"/>
  <c r="L41" i="2"/>
  <c r="L39" i="2" s="1"/>
  <c r="L40" i="2" s="1"/>
  <c r="D44" i="2"/>
  <c r="D42" i="2"/>
  <c r="J39" i="2" s="1"/>
  <c r="D35" i="2"/>
  <c r="D33" i="2"/>
  <c r="J30" i="2" s="1"/>
  <c r="D34" i="2" s="1"/>
  <c r="J34" i="2" s="1"/>
  <c r="L36" i="2"/>
  <c r="L34" i="2" s="1"/>
  <c r="L35" i="2" s="1"/>
  <c r="L32" i="2"/>
  <c r="L30" i="2" s="1"/>
  <c r="L31" i="2" s="1"/>
  <c r="N52" i="2" l="1"/>
  <c r="N51" i="2"/>
  <c r="J47" i="2"/>
  <c r="N40" i="2"/>
  <c r="D43" i="2"/>
  <c r="J43" i="2" s="1"/>
  <c r="N39" i="2"/>
  <c r="N31" i="2"/>
  <c r="N35" i="2"/>
  <c r="N34" i="2"/>
  <c r="N30" i="2"/>
  <c r="E25" i="2"/>
  <c r="G25" i="2" s="1"/>
  <c r="M20" i="2"/>
  <c r="M21" i="2" s="1"/>
  <c r="O21" i="2" s="1"/>
  <c r="E12" i="2"/>
  <c r="E20" i="2"/>
  <c r="G20" i="2" s="1"/>
  <c r="M16" i="2"/>
  <c r="M17" i="2" s="1"/>
  <c r="O17" i="2" s="1"/>
  <c r="E16" i="2"/>
  <c r="G16" i="2" s="1"/>
  <c r="M12" i="2"/>
  <c r="N48" i="2" l="1"/>
  <c r="N47" i="2"/>
  <c r="N53" i="2"/>
  <c r="F51" i="2" s="1"/>
  <c r="N41" i="2"/>
  <c r="F42" i="2" s="1"/>
  <c r="N44" i="2"/>
  <c r="N43" i="2"/>
  <c r="N36" i="2"/>
  <c r="F34" i="2" s="1"/>
  <c r="N32" i="2"/>
  <c r="F33" i="2" s="1"/>
  <c r="E26" i="2"/>
  <c r="G26" i="2" s="1"/>
  <c r="O20" i="2"/>
  <c r="O22" i="2" s="1"/>
  <c r="O12" i="2"/>
  <c r="M13" i="2"/>
  <c r="O13" i="2" s="1"/>
  <c r="O16" i="2"/>
  <c r="O18" i="2" s="1"/>
  <c r="E21" i="2"/>
  <c r="G21" i="2" s="1"/>
  <c r="G22" i="2" s="1"/>
  <c r="E17" i="2"/>
  <c r="G17" i="2" s="1"/>
  <c r="G12" i="2"/>
  <c r="E13" i="2"/>
  <c r="G13" i="2" s="1"/>
  <c r="E7" i="2"/>
  <c r="E8" i="2" s="1"/>
  <c r="E2" i="2"/>
  <c r="N49" i="2" l="1"/>
  <c r="F50" i="2" s="1"/>
  <c r="F52" i="2" s="1"/>
  <c r="N45" i="2"/>
  <c r="F43" i="2" s="1"/>
  <c r="F44" i="2" s="1"/>
  <c r="F35" i="2"/>
  <c r="G27" i="2"/>
  <c r="O14" i="2"/>
  <c r="G18" i="2"/>
  <c r="G14" i="2"/>
  <c r="E3" i="2"/>
  <c r="G3" i="2" s="1"/>
  <c r="G2" i="2"/>
  <c r="G8" i="2"/>
  <c r="G7" i="2"/>
  <c r="G4" i="2" l="1"/>
  <c r="G9" i="2"/>
  <c r="J225" i="1" l="1"/>
  <c r="J224" i="1" s="1"/>
  <c r="J223" i="1" s="1"/>
  <c r="J222" i="1"/>
  <c r="J233" i="1" l="1"/>
  <c r="C262" i="1" s="1"/>
  <c r="J200" i="1"/>
  <c r="J179" i="1"/>
  <c r="J178" i="1"/>
  <c r="J182" i="1" s="1"/>
  <c r="D170" i="1"/>
  <c r="D169" i="1"/>
  <c r="B170" i="1"/>
  <c r="B169" i="1"/>
  <c r="C149" i="1" l="1"/>
  <c r="C148" i="1"/>
  <c r="I128" i="1"/>
  <c r="I130" i="1" s="1"/>
  <c r="B149" i="1" s="1"/>
  <c r="I124" i="1"/>
  <c r="I125" i="1" s="1"/>
  <c r="D114" i="1"/>
  <c r="D113" i="1"/>
  <c r="I81" i="1" l="1"/>
  <c r="I75" i="1" s="1"/>
  <c r="I80" i="1"/>
  <c r="I79" i="1"/>
  <c r="J67" i="1"/>
  <c r="I67" i="1"/>
  <c r="I93" i="1" s="1"/>
  <c r="I95" i="1" s="1"/>
  <c r="M95" i="1" s="1"/>
  <c r="B114" i="1" s="1"/>
  <c r="I66" i="1"/>
  <c r="I92" i="1" s="1"/>
  <c r="I94" i="1" s="1"/>
  <c r="M94" i="1" s="1"/>
  <c r="B113" i="1" s="1"/>
  <c r="H67" i="1"/>
  <c r="H66" i="1"/>
  <c r="F67" i="1"/>
  <c r="F66" i="1"/>
  <c r="E67" i="1"/>
  <c r="J164" i="1" s="1"/>
  <c r="E66" i="1"/>
  <c r="J163" i="1" s="1"/>
  <c r="D67" i="1"/>
  <c r="D66" i="1"/>
  <c r="C67" i="1"/>
  <c r="C66" i="1"/>
  <c r="I74" i="1" l="1"/>
  <c r="J160" i="1"/>
  <c r="C169" i="1" s="1"/>
  <c r="I134" i="1"/>
  <c r="D148" i="1" s="1"/>
  <c r="E169" i="1"/>
  <c r="J166" i="1"/>
  <c r="J161" i="1"/>
  <c r="C170" i="1" s="1"/>
  <c r="I135" i="1"/>
  <c r="D149" i="1" s="1"/>
  <c r="E170" i="1"/>
  <c r="J167" i="1"/>
  <c r="M57" i="1"/>
  <c r="G67" i="1" s="1"/>
  <c r="I57" i="1"/>
  <c r="G66" i="1" s="1"/>
  <c r="I42" i="1"/>
  <c r="B66" i="1" s="1"/>
  <c r="I32" i="1"/>
  <c r="I38" i="1" s="1"/>
  <c r="I18" i="1"/>
  <c r="I85" i="1" l="1"/>
  <c r="C113" i="1" s="1"/>
  <c r="I37" i="1"/>
  <c r="I43" i="1" s="1"/>
  <c r="B67" i="1" s="1"/>
  <c r="I22" i="1"/>
  <c r="E148" i="1" s="1"/>
  <c r="F170" i="1"/>
  <c r="J187" i="1"/>
  <c r="J186" i="1"/>
  <c r="F169" i="1"/>
  <c r="I86" i="1"/>
  <c r="M99" i="1" s="1"/>
  <c r="M98" i="1" l="1"/>
  <c r="I121" i="1" s="1"/>
  <c r="F114" i="1"/>
  <c r="I122" i="1"/>
  <c r="I107" i="1"/>
  <c r="J192" i="1" s="1"/>
  <c r="I23" i="1"/>
  <c r="E149" i="1" s="1"/>
  <c r="I27" i="1"/>
  <c r="J66" i="1" s="1"/>
  <c r="I99" i="1"/>
  <c r="I104" i="1" s="1"/>
  <c r="C114" i="1"/>
  <c r="F113" i="1" l="1"/>
  <c r="E207" i="1" s="1"/>
  <c r="I106" i="1"/>
  <c r="E113" i="1" s="1"/>
  <c r="D294" i="1" s="1"/>
  <c r="E114" i="1"/>
  <c r="D295" i="1" s="1"/>
  <c r="E228" i="1"/>
  <c r="E218" i="1"/>
  <c r="I126" i="1"/>
  <c r="I127" i="1" s="1"/>
  <c r="E197" i="1"/>
  <c r="J203" i="1"/>
  <c r="J202" i="1" s="1"/>
  <c r="J201" i="1" s="1"/>
  <c r="J213" i="1" s="1"/>
  <c r="C261" i="1" s="1"/>
  <c r="I238" i="1"/>
  <c r="B262" i="1"/>
  <c r="E196" i="1" l="1"/>
  <c r="J191" i="1"/>
  <c r="B261" i="1" s="1"/>
  <c r="I140" i="1"/>
  <c r="B148" i="1"/>
  <c r="I243" i="1"/>
  <c r="D262" i="1"/>
  <c r="I237" i="1" l="1"/>
  <c r="D261" i="1" s="1"/>
  <c r="I272" i="1"/>
  <c r="C295" i="1" s="1"/>
  <c r="F148" i="1"/>
  <c r="G148" i="1" s="1"/>
  <c r="I142" i="1"/>
  <c r="I270" i="1" s="1"/>
  <c r="C294" i="1" s="1"/>
  <c r="I141" i="1"/>
  <c r="E262" i="1"/>
  <c r="I256" i="1"/>
  <c r="I267" i="1" s="1"/>
  <c r="I253" i="1"/>
  <c r="I242" i="1" l="1"/>
  <c r="I247" i="1" s="1"/>
  <c r="F149" i="1"/>
  <c r="G149" i="1" s="1"/>
  <c r="D154" i="1"/>
  <c r="I278" i="1"/>
  <c r="B295" i="1"/>
  <c r="I250" i="1" l="1"/>
  <c r="I266" i="1" s="1"/>
  <c r="I277" i="1" s="1"/>
  <c r="I281" i="1" s="1"/>
  <c r="E261" i="1"/>
  <c r="I282" i="1" l="1"/>
  <c r="E295" i="1" s="1"/>
  <c r="I299" i="1" s="1"/>
  <c r="B294" i="1"/>
  <c r="I287" i="1"/>
  <c r="F294" i="1" s="1"/>
  <c r="E294" i="1"/>
  <c r="I298" i="1" l="1"/>
  <c r="I289" i="1"/>
  <c r="F295" i="1" s="1"/>
</calcChain>
</file>

<file path=xl/sharedStrings.xml><?xml version="1.0" encoding="utf-8"?>
<sst xmlns="http://schemas.openxmlformats.org/spreadsheetml/2006/main" count="683" uniqueCount="384">
  <si>
    <t>Năng suất (Tính theo dd đầu)</t>
  </si>
  <si>
    <t>kg/h</t>
  </si>
  <si>
    <t>Nông độ đầu của dung dịch</t>
  </si>
  <si>
    <t>Nồng độ cuối của dung dịch</t>
  </si>
  <si>
    <t>% khối lượng</t>
  </si>
  <si>
    <t>Áp suất hơi đốt</t>
  </si>
  <si>
    <t>at</t>
  </si>
  <si>
    <t>Áp suất hơi ngưng tụ</t>
  </si>
  <si>
    <t>BƯỚC 1</t>
  </si>
  <si>
    <t>Xác định tổng lượng hơi thứ bốc ra khỏi hệ thống W</t>
  </si>
  <si>
    <t xml:space="preserve">W = </t>
  </si>
  <si>
    <t>BƯỚC 2</t>
  </si>
  <si>
    <t>Tính sơ bộ lượng hơi thứ bốc ra ở mỗi nồi bằng cách giả thiết mức phân phối hơi thứ bốc ra ở các nồi</t>
  </si>
  <si>
    <t xml:space="preserve">Giả thiết mức phân bố: </t>
  </si>
  <si>
    <t>W2:W1</t>
  </si>
  <si>
    <t>BƯỚC 3</t>
  </si>
  <si>
    <t>Tính nồng độ cuối của dung dịch trong mỗi nồi theo công thức</t>
  </si>
  <si>
    <t>BƯỚC 4</t>
  </si>
  <si>
    <t>Tính chênh lệch áp suất chung của hệ thống (là hiệu số giữa áp suất hơi đốt sơ cấp p1 và áp suất hơi thứ trong thiết bị ngưng tụ)</t>
  </si>
  <si>
    <t xml:space="preserve">delta P = </t>
  </si>
  <si>
    <t>BƯỚC 5</t>
  </si>
  <si>
    <t>Xác định áp suất, nhiệt độ hơi đốt của mỗi nồi</t>
  </si>
  <si>
    <t>delta p1 : delta p2</t>
  </si>
  <si>
    <t>với</t>
  </si>
  <si>
    <t>Nội suy</t>
  </si>
  <si>
    <t>J/kg</t>
  </si>
  <si>
    <t>BƯỚC 6</t>
  </si>
  <si>
    <t xml:space="preserve">delta''' [i] = </t>
  </si>
  <si>
    <t xml:space="preserve">W[1] = </t>
  </si>
  <si>
    <t xml:space="preserve">W[2] = </t>
  </si>
  <si>
    <t xml:space="preserve">x[1] = </t>
  </si>
  <si>
    <t xml:space="preserve">x[2] = x[c] = </t>
  </si>
  <si>
    <t xml:space="preserve">delta p[1] = </t>
  </si>
  <si>
    <t xml:space="preserve">delta p[2] = </t>
  </si>
  <si>
    <t xml:space="preserve">p[1] = </t>
  </si>
  <si>
    <t xml:space="preserve">p[2] = </t>
  </si>
  <si>
    <t xml:space="preserve">T[1] = </t>
  </si>
  <si>
    <t xml:space="preserve">T[2] = </t>
  </si>
  <si>
    <t xml:space="preserve">i[1] = </t>
  </si>
  <si>
    <t xml:space="preserve">r[1] = </t>
  </si>
  <si>
    <t xml:space="preserve">i[2] = </t>
  </si>
  <si>
    <t xml:space="preserve">r[2] = </t>
  </si>
  <si>
    <t xml:space="preserve">t'[1] = </t>
  </si>
  <si>
    <t xml:space="preserve">t'[2] = </t>
  </si>
  <si>
    <t>G[đ]</t>
  </si>
  <si>
    <t>x[đ]</t>
  </si>
  <si>
    <t>x[c]</t>
  </si>
  <si>
    <t>p[1]</t>
  </si>
  <si>
    <t>p[ng]</t>
  </si>
  <si>
    <t>oC</t>
  </si>
  <si>
    <t xml:space="preserve">p'[1] = </t>
  </si>
  <si>
    <t xml:space="preserve">p'[2] = </t>
  </si>
  <si>
    <t xml:space="preserve">i'[2] = </t>
  </si>
  <si>
    <t xml:space="preserve">r'[2] = </t>
  </si>
  <si>
    <t xml:space="preserve">i'[1] = </t>
  </si>
  <si>
    <t xml:space="preserve">r'[1] = </t>
  </si>
  <si>
    <t>BƯỚC 7</t>
  </si>
  <si>
    <t>Tính tổn thất nhiệt độ cho từng nồi</t>
  </si>
  <si>
    <t>BẢNG TỔNG HỢP SỐ LIỆU 1</t>
  </si>
  <si>
    <t>Nồi</t>
  </si>
  <si>
    <t>Hơi đốt</t>
  </si>
  <si>
    <t>P, at</t>
  </si>
  <si>
    <t>T, oC</t>
  </si>
  <si>
    <t>i, J/kg</t>
  </si>
  <si>
    <t>r, J/kg</t>
  </si>
  <si>
    <t>Hơi thứ</t>
  </si>
  <si>
    <t>P', at</t>
  </si>
  <si>
    <t>T', oC</t>
  </si>
  <si>
    <t>i', J/kg</t>
  </si>
  <si>
    <t>r', J/kg</t>
  </si>
  <si>
    <t>x, %</t>
  </si>
  <si>
    <t>2.1. Giả thiết phân bố hiệu số áp suất hơi đốt giữa các nồi</t>
  </si>
  <si>
    <t>2.2. Tính áp suất hơi đốt từng nồi</t>
  </si>
  <si>
    <t>* Áp suất thủy tĩnh ở lớp giữa của khối chất lỏng cần cô đặc P[tb]</t>
  </si>
  <si>
    <t>Chiều cao ống truyền nhiệt</t>
  </si>
  <si>
    <t>H</t>
  </si>
  <si>
    <t>m</t>
  </si>
  <si>
    <t xml:space="preserve">h[1] = </t>
  </si>
  <si>
    <t xml:space="preserve">H = </t>
  </si>
  <si>
    <t>kg/m3</t>
  </si>
  <si>
    <t xml:space="preserve">Rô[1] = </t>
  </si>
  <si>
    <t>Rô[2] =</t>
  </si>
  <si>
    <t xml:space="preserve">Rô[s1] = </t>
  </si>
  <si>
    <t xml:space="preserve">Rô[s2] = </t>
  </si>
  <si>
    <t xml:space="preserve">g = </t>
  </si>
  <si>
    <t>m/s2</t>
  </si>
  <si>
    <t xml:space="preserve">p[tb1] = </t>
  </si>
  <si>
    <t xml:space="preserve">p[tb2] = </t>
  </si>
  <si>
    <t>* Tổn thất nhiệt độ do áp suất thủy tĩnh tăng cao delta''[i]</t>
  </si>
  <si>
    <t>7.1. Tổn thất nhiệt độ do áp suất thủy tĩnh tăng cao delta''[i]</t>
  </si>
  <si>
    <t>Trang bảng I-22</t>
  </si>
  <si>
    <t>2.4. Xác định nhiệt lượng riêng i[i] và nhiệt hóa hơi r[i]</t>
  </si>
  <si>
    <t>2.3. Tra nhiệt độ hơi đốt Ti của từng nồi dựa vào pi đã tính được ở trên</t>
  </si>
  <si>
    <t xml:space="preserve">Tính nhiệt độ và áp suất hơi thứ ra khỏi từng nồi </t>
  </si>
  <si>
    <t xml:space="preserve">t[s1] = </t>
  </si>
  <si>
    <t xml:space="preserve">t[s2] = </t>
  </si>
  <si>
    <t xml:space="preserve">delta''[1] = </t>
  </si>
  <si>
    <t xml:space="preserve">delta''[2] = </t>
  </si>
  <si>
    <t>7.2 Tổn thất nhiệt độ do nồng độ delta'[i]</t>
  </si>
  <si>
    <t xml:space="preserve">delta'[01] = </t>
  </si>
  <si>
    <t xml:space="preserve">delta'[02] = </t>
  </si>
  <si>
    <t xml:space="preserve">f[1] = </t>
  </si>
  <si>
    <t xml:space="preserve">f[2] = </t>
  </si>
  <si>
    <t xml:space="preserve">delta'[1] = </t>
  </si>
  <si>
    <t xml:space="preserve">delta'[2] = </t>
  </si>
  <si>
    <t>Nội suy từ x[1] và x[2]</t>
  </si>
  <si>
    <t>7.3 Tính nhiệt độ tổn thất của hệ thống</t>
  </si>
  <si>
    <t>BƯỚC 8</t>
  </si>
  <si>
    <t>Tính hiệu số nhiệt độ hữu ích của hệ thống</t>
  </si>
  <si>
    <t xml:space="preserve">tổng delta = </t>
  </si>
  <si>
    <t xml:space="preserve">tổng delta T[i] = </t>
  </si>
  <si>
    <t xml:space="preserve">delta T[1] = </t>
  </si>
  <si>
    <t xml:space="preserve">delta T[2] = </t>
  </si>
  <si>
    <t>BẢNG TỔNG HỢP SỐ LIỆU 2</t>
  </si>
  <si>
    <t>delta', oC</t>
  </si>
  <si>
    <t>delta'', oC</t>
  </si>
  <si>
    <t>delta''', oC</t>
  </si>
  <si>
    <t>deltaT, oC</t>
  </si>
  <si>
    <t>t[s], oC</t>
  </si>
  <si>
    <t>BƯỚC 9</t>
  </si>
  <si>
    <t>Thiết lập phương trình cân bằng nhiệt lượng để tính lượng hơi đốt D[i], lượng hơi thứ W[i] ở từng nồi</t>
  </si>
  <si>
    <t>9.2 Lập hệ phương trình cân bằng nhiệt lượng</t>
  </si>
  <si>
    <t>9.2.1. Các thông số của dung dịch</t>
  </si>
  <si>
    <t>9.2.1.1. Nhiệt độ sôi của dung dịch ở các nồi</t>
  </si>
  <si>
    <t xml:space="preserve">t[s0]=t[s1] = </t>
  </si>
  <si>
    <t>9.2.1.2. Xác định nhiệt dung riêng của dung dịch ở các nồi</t>
  </si>
  <si>
    <t>* Dung dịch đi vào nồi 1</t>
  </si>
  <si>
    <t xml:space="preserve">x = x[0] = </t>
  </si>
  <si>
    <t xml:space="preserve">C[0] = </t>
  </si>
  <si>
    <t>J/kg.độ</t>
  </si>
  <si>
    <t>* Dung dịch đi vào nồi 2</t>
  </si>
  <si>
    <t xml:space="preserve">x = x[1] = </t>
  </si>
  <si>
    <t xml:space="preserve">C[1] = </t>
  </si>
  <si>
    <t>* Dung dịch đi ra nồi 2</t>
  </si>
  <si>
    <t xml:space="preserve">x = x[2] = </t>
  </si>
  <si>
    <t xml:space="preserve">C[ht] = </t>
  </si>
  <si>
    <t xml:space="preserve">C[2] = </t>
  </si>
  <si>
    <t>9.2.2. Các thông số của nước ngưng</t>
  </si>
  <si>
    <t>9.2.2.1. Nhiệt độ nước ngưng</t>
  </si>
  <si>
    <t xml:space="preserve">xichma[1] = T[1] = </t>
  </si>
  <si>
    <t xml:space="preserve">xichma[2] = T[2] = </t>
  </si>
  <si>
    <t>9.2.2.2. Nhiệt dung riêng của nước ngưng tụ</t>
  </si>
  <si>
    <t xml:space="preserve">C[nc1] = </t>
  </si>
  <si>
    <t xml:space="preserve">C[nc2] = </t>
  </si>
  <si>
    <t>9.2.3. Giải hệ phương trình</t>
  </si>
  <si>
    <t xml:space="preserve">D = </t>
  </si>
  <si>
    <t>BẢNG TỔNG HỢP SỐ LIỆU 3</t>
  </si>
  <si>
    <t>C, J/kg.độ</t>
  </si>
  <si>
    <t>C[nc], J/kg.độ</t>
  </si>
  <si>
    <t>xichma, oC</t>
  </si>
  <si>
    <t>W, kg/h</t>
  </si>
  <si>
    <t>Giả thiết</t>
  </si>
  <si>
    <t>Tính</t>
  </si>
  <si>
    <t>Sai số eps</t>
  </si>
  <si>
    <t>9.3. Xác định lại tỷ lệ phân phối hơi thứ giữa các nồi trong hệ</t>
  </si>
  <si>
    <t xml:space="preserve">W[2]:W[1] = </t>
  </si>
  <si>
    <t>BƯỚC 10</t>
  </si>
  <si>
    <t>Tính hệ số cấp nhiệt, nhiệt lượng trung bình từng nồi</t>
  </si>
  <si>
    <t>10.1. Tính hệ số cấp nhiệt alpha[1]khi ngưng tụ hơi</t>
  </si>
  <si>
    <t xml:space="preserve">delta t[11] = </t>
  </si>
  <si>
    <t xml:space="preserve">delta t[12] = </t>
  </si>
  <si>
    <t xml:space="preserve">t[m1] = </t>
  </si>
  <si>
    <t xml:space="preserve">t[m2] = </t>
  </si>
  <si>
    <t xml:space="preserve">A[1] = </t>
  </si>
  <si>
    <t xml:space="preserve">A[2] = </t>
  </si>
  <si>
    <t xml:space="preserve">alpha[11] = </t>
  </si>
  <si>
    <t xml:space="preserve">alpha[12] = </t>
  </si>
  <si>
    <t>W/m2.độ</t>
  </si>
  <si>
    <t xml:space="preserve">q[11] = </t>
  </si>
  <si>
    <t xml:space="preserve">q[12] = </t>
  </si>
  <si>
    <t>W/m2</t>
  </si>
  <si>
    <t>Bảng số liệu số 4</t>
  </si>
  <si>
    <t>t[m], oC</t>
  </si>
  <si>
    <t>A</t>
  </si>
  <si>
    <t>alpha [1]</t>
  </si>
  <si>
    <t>q[1]</t>
  </si>
  <si>
    <t>delta t[1i]</t>
  </si>
  <si>
    <t>10.2. Tính nhiệt tải riêng về phía hơi ngưng tụ</t>
  </si>
  <si>
    <t>10.3. Tính hệ số cấp nhiệt alpha[2] từ bề mặt đốt đến chất lỏng sôi</t>
  </si>
  <si>
    <t>10.3.1. Tính hiệu số nhiệt độ giữa thành ống truyền nhiệt và dung dịch</t>
  </si>
  <si>
    <t>10.3.1.1. Hiệu số nhiệt độ ở 2 bề mặt thành ống truyền nhiệt delta t[Ti]</t>
  </si>
  <si>
    <t>m2.độ/W</t>
  </si>
  <si>
    <t>lamda</t>
  </si>
  <si>
    <t>W/m.độ</t>
  </si>
  <si>
    <t>xichma r</t>
  </si>
  <si>
    <t xml:space="preserve">delta t[T1] = </t>
  </si>
  <si>
    <t xml:space="preserve">delta t[T2] = </t>
  </si>
  <si>
    <t>*Tính delta t[Ti]</t>
  </si>
  <si>
    <t>*Nhiệt trở cặn bẩn phía dung dịch</t>
  </si>
  <si>
    <t>*Nhiệt trở cặn bẩn phía hơi bão hòa</t>
  </si>
  <si>
    <t>*Hệ số dẫn nhiệt của vật liệu làm ống</t>
  </si>
  <si>
    <t>*Tổng nhiệt trở của thành ống truyền nhiệt</t>
  </si>
  <si>
    <t>10.3.1.2. Hiệu số nhiệt độ giữa thành ống truyền nhiệt và dung dịch delta t[2i]</t>
  </si>
  <si>
    <t xml:space="preserve">delta t[21] = </t>
  </si>
  <si>
    <t xml:space="preserve">delta t[22] = </t>
  </si>
  <si>
    <t>10.3.2.1. Hệ số hiệu chỉnh nồi thứ 1</t>
  </si>
  <si>
    <t>a. Các thông số của dung dịch</t>
  </si>
  <si>
    <t>%</t>
  </si>
  <si>
    <t>Ns/m2</t>
  </si>
  <si>
    <t xml:space="preserve">A = </t>
  </si>
  <si>
    <t xml:space="preserve">T[ng] = </t>
  </si>
  <si>
    <t>Đổi ra phần mol</t>
  </si>
  <si>
    <t>10.3.2 Tính hệ số hiệu chỉnh nồi thứ i csi[i] (cờ si i)</t>
  </si>
  <si>
    <t>b. Các thông số của nước</t>
  </si>
  <si>
    <t xml:space="preserve">lamda[dd1] = </t>
  </si>
  <si>
    <t xml:space="preserve">M[1] = </t>
  </si>
  <si>
    <t xml:space="preserve">X[1] = </t>
  </si>
  <si>
    <t xml:space="preserve">C [dd1] = </t>
  </si>
  <si>
    <t xml:space="preserve">Muy [dd1] = </t>
  </si>
  <si>
    <t xml:space="preserve">Rô[dd1] = </t>
  </si>
  <si>
    <t xml:space="preserve">Rô[nc1] = </t>
  </si>
  <si>
    <t xml:space="preserve">Muy[nc1] = </t>
  </si>
  <si>
    <t xml:space="preserve">lamda[nc1] = </t>
  </si>
  <si>
    <t xml:space="preserve">csi[1] = </t>
  </si>
  <si>
    <t>10.3.2.2. Hệ số hiệu chỉnh nồi thứ 2</t>
  </si>
  <si>
    <t xml:space="preserve">x[2] = </t>
  </si>
  <si>
    <t xml:space="preserve">Rô[dd2] = </t>
  </si>
  <si>
    <t xml:space="preserve">Muy [dd2] = </t>
  </si>
  <si>
    <t xml:space="preserve">C [dd2] = </t>
  </si>
  <si>
    <t xml:space="preserve">lamda[dd2] = </t>
  </si>
  <si>
    <t xml:space="preserve">M[2] = </t>
  </si>
  <si>
    <t xml:space="preserve">X[2] = </t>
  </si>
  <si>
    <t>kg/kmol</t>
  </si>
  <si>
    <t xml:space="preserve">Rô[nc2] = </t>
  </si>
  <si>
    <t xml:space="preserve">Muy[nc2] = </t>
  </si>
  <si>
    <t xml:space="preserve">lamda[nc2] = </t>
  </si>
  <si>
    <t xml:space="preserve">csi[2] = </t>
  </si>
  <si>
    <t>10.3.3. Tính alpha[2i]</t>
  </si>
  <si>
    <t xml:space="preserve">alpha[21] = </t>
  </si>
  <si>
    <t xml:space="preserve">alpha[22] = </t>
  </si>
  <si>
    <t>10.4. Nhiệt tải riêng về phía dung dịch</t>
  </si>
  <si>
    <t xml:space="preserve">q[22] = </t>
  </si>
  <si>
    <t xml:space="preserve">q[21] = </t>
  </si>
  <si>
    <t>10.5. Si sánh q[1i] và q[2i]</t>
  </si>
  <si>
    <t>*Nồi 1</t>
  </si>
  <si>
    <t xml:space="preserve">epxilon[1] = </t>
  </si>
  <si>
    <t>*Nồi 2</t>
  </si>
  <si>
    <t xml:space="preserve">q[tb1] = </t>
  </si>
  <si>
    <t xml:space="preserve">epxilon[2] = </t>
  </si>
  <si>
    <t xml:space="preserve">q[tb2] = </t>
  </si>
  <si>
    <t>Bảng số liệu số 5</t>
  </si>
  <si>
    <t xml:space="preserve">Nồi </t>
  </si>
  <si>
    <t>delta t[2]</t>
  </si>
  <si>
    <t>csi</t>
  </si>
  <si>
    <t>alpha[2i]</t>
  </si>
  <si>
    <t>q[2i]</t>
  </si>
  <si>
    <t>BƯỚC 11</t>
  </si>
  <si>
    <t>Xác định hệ số truyền nhiệt và lượng nhiệt tiêu tốn</t>
  </si>
  <si>
    <t>*Xác định hệ số truyền nhiệt từng nồi</t>
  </si>
  <si>
    <t xml:space="preserve">K[1] = </t>
  </si>
  <si>
    <t xml:space="preserve">K[2] = </t>
  </si>
  <si>
    <t>*Lượng nhiệt tiêu tốn</t>
  </si>
  <si>
    <t xml:space="preserve">Q[1] = </t>
  </si>
  <si>
    <t xml:space="preserve">Q[2] = </t>
  </si>
  <si>
    <t>W</t>
  </si>
  <si>
    <t>BƯỚC 12</t>
  </si>
  <si>
    <t>Tính hiệu số nhiệt độ hữu ích cho từng nồi</t>
  </si>
  <si>
    <t>*Lập tỷ số cho từng nồi</t>
  </si>
  <si>
    <t xml:space="preserve">Q[1]/K[1] = </t>
  </si>
  <si>
    <t xml:space="preserve">Q[2]/K[2] = </t>
  </si>
  <si>
    <t>m2.độ</t>
  </si>
  <si>
    <t>*Tính hiệu số nhiệt độ hữu ích cho từng nồi</t>
  </si>
  <si>
    <t xml:space="preserve">deltaT*[1] = </t>
  </si>
  <si>
    <t xml:space="preserve">deltaT*[2] = </t>
  </si>
  <si>
    <t>BƯỚC 13</t>
  </si>
  <si>
    <t>So sánh deltaT*[i] và deltaT[i]</t>
  </si>
  <si>
    <t>Bảng số liệu số 6</t>
  </si>
  <si>
    <t>K[i]</t>
  </si>
  <si>
    <t>Q[i]</t>
  </si>
  <si>
    <t>deltaT[i]</t>
  </si>
  <si>
    <t>deltaT*[i]</t>
  </si>
  <si>
    <t>epxilon[i]</t>
  </si>
  <si>
    <t>BƯỚC 14</t>
  </si>
  <si>
    <t>Tính bề mặt truyền nhiệt F</t>
  </si>
  <si>
    <t xml:space="preserve">F[1] = </t>
  </si>
  <si>
    <t xml:space="preserve">F[2] = </t>
  </si>
  <si>
    <t>m2</t>
  </si>
  <si>
    <t xml:space="preserve">t[tb1] = </t>
  </si>
  <si>
    <t xml:space="preserve">t[tb2] = </t>
  </si>
  <si>
    <t>Tra bảng (1,314-315)</t>
  </si>
  <si>
    <t>Tra bảng [2,67]</t>
  </si>
  <si>
    <t>Tra bảng [1,314-315]</t>
  </si>
  <si>
    <t>Tra từ [1,166]</t>
  </si>
  <si>
    <t>Tra từ [2,29]</t>
  </si>
  <si>
    <t>Tra từ [1,9]</t>
  </si>
  <si>
    <t>Tra từ [1,91]</t>
  </si>
  <si>
    <t>Tra từ [1,172]</t>
  </si>
  <si>
    <t>Tra từ [1,12]</t>
  </si>
  <si>
    <t>Tra từ [1,96]</t>
  </si>
  <si>
    <t>Tra từ [1,165]</t>
  </si>
  <si>
    <t>Tra từ [1,95]</t>
  </si>
  <si>
    <t>Tra từ [2,313]</t>
  </si>
  <si>
    <t>[2,29]</t>
  </si>
  <si>
    <t xml:space="preserve">t[1] = </t>
  </si>
  <si>
    <t xml:space="preserve">t[2] = </t>
  </si>
  <si>
    <t xml:space="preserve">t[s] = </t>
  </si>
  <si>
    <t xml:space="preserve">A[s] = </t>
  </si>
  <si>
    <t>[2,67]</t>
  </si>
  <si>
    <t xml:space="preserve">delta[1] = </t>
  </si>
  <si>
    <t xml:space="preserve">delta[2] = </t>
  </si>
  <si>
    <t xml:space="preserve">x[s] = </t>
  </si>
  <si>
    <t xml:space="preserve">delta[s] = </t>
  </si>
  <si>
    <t>NaOH</t>
  </si>
  <si>
    <t>Áp suất (tuyệt đối), at</t>
  </si>
  <si>
    <t>t, oC</t>
  </si>
  <si>
    <t>Thể tích riêng v''', m3/kg</t>
  </si>
  <si>
    <t>Khối lượng riêng Rô, kg/m3</t>
  </si>
  <si>
    <t>Nhiệt lượng riêng của nước (lỏng)</t>
  </si>
  <si>
    <t>Nhiệt lượng riêng của hơi nước</t>
  </si>
  <si>
    <t>Nhiệt lượng hóa hơi r[hh], J/kg</t>
  </si>
  <si>
    <t>i'.10^(-3) J/kg</t>
  </si>
  <si>
    <t>i' kcal/kg</t>
  </si>
  <si>
    <t>i'''.10^(-3) J/kg</t>
  </si>
  <si>
    <t>i''' kcal/kg</t>
  </si>
  <si>
    <t>r[hh].10^(-3) J/kg</t>
  </si>
  <si>
    <t>r[hh] kcal/kg</t>
  </si>
  <si>
    <t>[1,314-315]</t>
  </si>
  <si>
    <t>Nội suy t =&gt; p</t>
  </si>
  <si>
    <t xml:space="preserve">p[s] = </t>
  </si>
  <si>
    <t>Nội suy p =&gt; t</t>
  </si>
  <si>
    <t>Bảng [2,67]</t>
  </si>
  <si>
    <t>Bảng [2,29]</t>
  </si>
  <si>
    <t>Bảng [1,314-315]</t>
  </si>
  <si>
    <t>Nội suy p =&gt; r</t>
  </si>
  <si>
    <t xml:space="preserve">r[s] = </t>
  </si>
  <si>
    <t>Nội suy p =&gt; i'''</t>
  </si>
  <si>
    <t xml:space="preserve">i'''[1] = </t>
  </si>
  <si>
    <t xml:space="preserve">i'''[2] = </t>
  </si>
  <si>
    <t xml:space="preserve">i'''[s] = </t>
  </si>
  <si>
    <t>Nội suy t =&gt; i'''</t>
  </si>
  <si>
    <t>Nội suy t =&gt; r</t>
  </si>
  <si>
    <t>[1,166]</t>
  </si>
  <si>
    <t>p, at</t>
  </si>
  <si>
    <t>Bảng [1,166]</t>
  </si>
  <si>
    <t>Cp nước</t>
  </si>
  <si>
    <t>Cp hơi nc</t>
  </si>
  <si>
    <t>kcal/kg.độ</t>
  </si>
  <si>
    <t>Nội suy t =&gt; Cp nước</t>
  </si>
  <si>
    <t xml:space="preserve">Cp[1] = </t>
  </si>
  <si>
    <t xml:space="preserve">Cp[2] = </t>
  </si>
  <si>
    <t xml:space="preserve">Cp[s] = </t>
  </si>
  <si>
    <t>Bảng [1,9]</t>
  </si>
  <si>
    <t>Rô, kg/m3</t>
  </si>
  <si>
    <t>[1,9]</t>
  </si>
  <si>
    <t xml:space="preserve">Rô[2] = </t>
  </si>
  <si>
    <t xml:space="preserve">Rô[s] = </t>
  </si>
  <si>
    <t xml:space="preserve">Nhập nồng độ x[s] = </t>
  </si>
  <si>
    <t xml:space="preserve">Nhập nhiệt độ t[s] = </t>
  </si>
  <si>
    <t>Bảng [1,91]</t>
  </si>
  <si>
    <t>[1,91]</t>
  </si>
  <si>
    <t xml:space="preserve">Muy[1] = </t>
  </si>
  <si>
    <t xml:space="preserve">Muy[2] = </t>
  </si>
  <si>
    <t xml:space="preserve">Muy[s] = </t>
  </si>
  <si>
    <t>Bảng [1,172]</t>
  </si>
  <si>
    <t>Cp J/kg.độ</t>
  </si>
  <si>
    <t>muy.10^3 Ns/m2</t>
  </si>
  <si>
    <t>[1,172]</t>
  </si>
  <si>
    <t>Bảng [1,96]</t>
  </si>
  <si>
    <t>Muy.10^3</t>
  </si>
  <si>
    <t>[1,96]</t>
  </si>
  <si>
    <t>Nội suy t =&gt; Muy</t>
  </si>
  <si>
    <t>Bảng [1,11-12]</t>
  </si>
  <si>
    <t>Nhiệt độ t, oC</t>
  </si>
  <si>
    <t>[1,11-12]</t>
  </si>
  <si>
    <t>Nội suy t =&gt; Rô</t>
  </si>
  <si>
    <t>Bảng [1,165]</t>
  </si>
  <si>
    <t>Cp, cal/kg.độ</t>
  </si>
  <si>
    <t>[1,165]</t>
  </si>
  <si>
    <t>Nội suy t =&gt; Cp</t>
  </si>
  <si>
    <t>Bảng [1,95]</t>
  </si>
  <si>
    <t>[1,95]</t>
  </si>
  <si>
    <t>Trung gian</t>
  </si>
  <si>
    <t>Tác giả: FireInSky</t>
  </si>
  <si>
    <t>M (NaOH)</t>
  </si>
  <si>
    <t xml:space="preserve">Lưu ý: </t>
  </si>
  <si>
    <t>Các bạn chỉ được phép nhập số vào các ô màu vàng, tuyệt đối không được thay đổi các ô màu đỏ. Khi đến phần cần nội suy, các bạn chuyển qua Sheet "Noi Suy"</t>
  </si>
  <si>
    <t>để tra rồi trở lại điền vào ô tương ứng bên Sheet "Tinh Toan". Sheet "Bang" là các bảng số liệu được sử dụng, các bạn không thể thay đổi gì ở sheet này.</t>
  </si>
  <si>
    <t>Chương trình viết trong thời gian ngắn nên có thể chưa được hoàn chỉnh 100%, rất mong nhận được sự góp ý của các bạn</t>
  </si>
  <si>
    <t>Công thức tính C có thể tham khảo tài liệu [1,152]</t>
  </si>
  <si>
    <t>Tài liệu tham khảo</t>
  </si>
  <si>
    <t>1. Tập thể tác giả - Sổ tay quá trình và thiết bị công nghệ hóa chất - Tập 1 - Nhà xuất bản khoa học và kỹ thuật Hà Nội -2005</t>
  </si>
  <si>
    <t>2. Tập thể tác giả - Sổ tay quá trình và thiết bị công nghệ hóa chất - Tập 2 - Nhà xuất bản khoa học và kỹ thuật Hà Nội -2006</t>
  </si>
  <si>
    <r>
      <rPr>
        <b/>
        <sz val="11"/>
        <color theme="1"/>
        <rFont val="Calibri"/>
        <family val="1"/>
        <scheme val="minor"/>
      </rPr>
      <t>Hướng dẫn</t>
    </r>
    <r>
      <rPr>
        <sz val="11"/>
        <color theme="1"/>
        <rFont val="Calibri"/>
        <family val="1"/>
        <scheme val="minor"/>
      </rPr>
      <t xml:space="preserve">: </t>
    </r>
  </si>
  <si>
    <r>
      <t xml:space="preserve">Mọi thắc mắc cũng như góp ý xin gửi về địa chỉ email </t>
    </r>
    <r>
      <rPr>
        <b/>
        <sz val="11"/>
        <color theme="1"/>
        <rFont val="Calibri"/>
        <family val="1"/>
        <scheme val="minor"/>
      </rPr>
      <t>nchoang@gmail.com</t>
    </r>
    <r>
      <rPr>
        <sz val="11"/>
        <color theme="1"/>
        <rFont val="Calibri"/>
        <family val="1"/>
        <scheme val="minor"/>
      </rPr>
      <t>. Xin chân thành cảm ơn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</si>
</sst>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sz val="14"/>
      <color theme="0"/>
      <name val="Times New Roman"/>
      <family val="1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3"/>
      <color theme="1"/>
      <name val="Times New Roman"/>
      <family val="1"/>
    </font>
    <font>
      <u/>
      <sz val="13"/>
      <color theme="1"/>
      <name val="Times New Roman"/>
      <family val="1"/>
    </font>
    <font>
      <sz val="13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</borders>
  <cellStyleXfs count="2">
    <xf numFmtId="0" fontId="0" fillId="0" borderId="0"/>
    <xf numFmtId="0" fontId="2" fillId="4" borderId="1" applyNumberFormat="0" applyAlignment="0" applyProtection="0"/>
  </cellStyleXfs>
  <cellXfs count="7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/>
    <xf numFmtId="0" fontId="2" fillId="4" borderId="1" xfId="1" applyAlignment="1">
      <alignment horizontal="center"/>
    </xf>
    <xf numFmtId="0" fontId="2" fillId="4" borderId="1" xfId="1"/>
    <xf numFmtId="0" fontId="0" fillId="0" borderId="0" xfId="0" applyAlignment="1">
      <alignment horizontal="center" vertical="center"/>
    </xf>
    <xf numFmtId="0" fontId="2" fillId="4" borderId="1" xfId="1" applyAlignment="1">
      <alignment horizontal="center" vertical="center"/>
    </xf>
    <xf numFmtId="0" fontId="2" fillId="4" borderId="1" xfId="1" applyAlignment="1">
      <alignment horizontal="center"/>
    </xf>
    <xf numFmtId="0" fontId="2" fillId="4" borderId="1" xfId="1" applyAlignment="1"/>
    <xf numFmtId="0" fontId="2" fillId="4" borderId="1" xfId="1" applyAlignment="1">
      <alignment horizontal="right"/>
    </xf>
    <xf numFmtId="0" fontId="2" fillId="4" borderId="4" xfId="1" applyBorder="1" applyAlignment="1">
      <alignment horizontal="center"/>
    </xf>
    <xf numFmtId="0" fontId="2" fillId="4" borderId="0" xfId="1" applyBorder="1" applyAlignment="1">
      <alignment horizontal="center"/>
    </xf>
    <xf numFmtId="0" fontId="2" fillId="4" borderId="2" xfId="1" applyBorder="1" applyAlignment="1">
      <alignment horizontal="center"/>
    </xf>
    <xf numFmtId="0" fontId="2" fillId="4" borderId="3" xfId="1" applyBorder="1" applyAlignment="1">
      <alignment horizontal="center"/>
    </xf>
    <xf numFmtId="0" fontId="2" fillId="4" borderId="4" xfId="1" applyBorder="1" applyAlignment="1">
      <alignment horizontal="center" vertical="center"/>
    </xf>
    <xf numFmtId="0" fontId="2" fillId="4" borderId="0" xfId="1" applyBorder="1" applyAlignment="1">
      <alignment horizontal="center" vertical="center"/>
    </xf>
    <xf numFmtId="0" fontId="4" fillId="0" borderId="0" xfId="0" applyFont="1"/>
    <xf numFmtId="0" fontId="0" fillId="0" borderId="0" xfId="0" applyFont="1"/>
    <xf numFmtId="0" fontId="0" fillId="3" borderId="0" xfId="0" applyFont="1" applyFill="1"/>
    <xf numFmtId="0" fontId="0" fillId="0" borderId="0" xfId="0" applyFont="1" applyAlignment="1">
      <alignment horizontal="right"/>
    </xf>
    <xf numFmtId="0" fontId="0" fillId="2" borderId="0" xfId="0" applyFont="1" applyFill="1"/>
    <xf numFmtId="0" fontId="3" fillId="0" borderId="0" xfId="0" applyFont="1" applyAlignment="1">
      <alignment horizontal="right"/>
    </xf>
    <xf numFmtId="0" fontId="0" fillId="2" borderId="0" xfId="0" applyFont="1" applyFill="1" applyAlignment="1">
      <alignment horizontal="right"/>
    </xf>
    <xf numFmtId="0" fontId="2" fillId="4" borderId="1" xfId="1" applyNumberFormat="1" applyAlignment="1">
      <alignment horizontal="center" vertical="center"/>
    </xf>
    <xf numFmtId="0" fontId="5" fillId="0" borderId="0" xfId="0" applyFont="1"/>
    <xf numFmtId="0" fontId="5" fillId="7" borderId="0" xfId="0" applyFont="1" applyFill="1"/>
    <xf numFmtId="0" fontId="5" fillId="6" borderId="0" xfId="0" applyFont="1" applyFill="1" applyAlignment="1">
      <alignment horizontal="right"/>
    </xf>
    <xf numFmtId="0" fontId="5" fillId="6" borderId="0" xfId="0" applyFont="1" applyFill="1"/>
    <xf numFmtId="0" fontId="3" fillId="7" borderId="0" xfId="0" applyFont="1" applyFill="1"/>
    <xf numFmtId="0" fontId="0" fillId="7" borderId="0" xfId="0" applyFont="1" applyFill="1"/>
    <xf numFmtId="0" fontId="0" fillId="7" borderId="0" xfId="0" applyFont="1" applyFill="1" applyAlignment="1">
      <alignment horizontal="right"/>
    </xf>
    <xf numFmtId="0" fontId="3" fillId="0" borderId="0" xfId="0" applyFont="1" applyAlignment="1">
      <alignment horizontal="center" vertical="center"/>
    </xf>
    <xf numFmtId="0" fontId="2" fillId="4" borderId="1" xfId="1" applyAlignment="1">
      <alignment horizontal="center"/>
    </xf>
    <xf numFmtId="0" fontId="0" fillId="0" borderId="0" xfId="0" applyAlignment="1">
      <alignment horizontal="center"/>
    </xf>
    <xf numFmtId="0" fontId="2" fillId="4" borderId="1" xfId="1" applyAlignment="1">
      <alignment horizontal="center" vertical="center"/>
    </xf>
    <xf numFmtId="0" fontId="8" fillId="3" borderId="0" xfId="0" applyFont="1" applyFill="1"/>
    <xf numFmtId="0" fontId="8" fillId="3" borderId="0" xfId="0" applyFont="1" applyFill="1" applyAlignment="1">
      <alignment horizontal="right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right"/>
    </xf>
    <xf numFmtId="0" fontId="11" fillId="2" borderId="0" xfId="0" applyFont="1" applyFill="1"/>
    <xf numFmtId="0" fontId="9" fillId="2" borderId="0" xfId="0" applyFont="1" applyFill="1"/>
    <xf numFmtId="0" fontId="9" fillId="2" borderId="0" xfId="0" applyFont="1" applyFill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1" fillId="0" borderId="0" xfId="0" applyFont="1"/>
    <xf numFmtId="0" fontId="12" fillId="0" borderId="0" xfId="0" applyFont="1"/>
    <xf numFmtId="0" fontId="11" fillId="5" borderId="0" xfId="0" applyFont="1" applyFill="1"/>
    <xf numFmtId="0" fontId="9" fillId="5" borderId="0" xfId="0" applyFont="1" applyFill="1"/>
    <xf numFmtId="0" fontId="9" fillId="3" borderId="0" xfId="0" applyFont="1" applyFill="1" applyAlignment="1">
      <alignment horizontal="right"/>
    </xf>
    <xf numFmtId="2" fontId="9" fillId="3" borderId="0" xfId="0" applyNumberFormat="1" applyFont="1" applyFill="1" applyAlignment="1">
      <alignment horizontal="right"/>
    </xf>
    <xf numFmtId="0" fontId="9" fillId="3" borderId="0" xfId="0" applyFont="1" applyFill="1"/>
    <xf numFmtId="0" fontId="13" fillId="3" borderId="1" xfId="1" applyFont="1" applyFill="1" applyAlignment="1">
      <alignment horizontal="center" vertical="center"/>
    </xf>
    <xf numFmtId="0" fontId="13" fillId="3" borderId="1" xfId="1" applyFont="1" applyFill="1" applyAlignment="1">
      <alignment horizontal="center"/>
    </xf>
    <xf numFmtId="0" fontId="13" fillId="3" borderId="1" xfId="1" applyFont="1" applyFill="1" applyAlignment="1">
      <alignment horizontal="center" vertical="center"/>
    </xf>
    <xf numFmtId="0" fontId="13" fillId="3" borderId="1" xfId="1" applyFont="1" applyFill="1" applyAlignment="1">
      <alignment horizontal="right" vertical="center"/>
    </xf>
    <xf numFmtId="0" fontId="13" fillId="3" borderId="1" xfId="1" applyFont="1" applyFill="1"/>
    <xf numFmtId="0" fontId="13" fillId="3" borderId="1" xfId="1" applyFont="1" applyFill="1" applyAlignment="1">
      <alignment horizontal="right"/>
    </xf>
    <xf numFmtId="2" fontId="13" fillId="3" borderId="1" xfId="1" applyNumberFormat="1" applyFont="1" applyFill="1"/>
    <xf numFmtId="0" fontId="14" fillId="0" borderId="0" xfId="0" applyFont="1"/>
    <xf numFmtId="0" fontId="12" fillId="0" borderId="0" xfId="0" applyFont="1" applyAlignment="1">
      <alignment horizontal="right"/>
    </xf>
    <xf numFmtId="0" fontId="9" fillId="0" borderId="0" xfId="0" applyFont="1" applyAlignment="1">
      <alignment horizontal="center" vertical="center"/>
    </xf>
    <xf numFmtId="2" fontId="9" fillId="3" borderId="0" xfId="0" applyNumberFormat="1" applyFont="1" applyFill="1"/>
    <xf numFmtId="0" fontId="15" fillId="0" borderId="0" xfId="0" applyFont="1"/>
    <xf numFmtId="0" fontId="11" fillId="5" borderId="0" xfId="0" applyFont="1" applyFill="1" applyAlignment="1">
      <alignment horizontal="center" vertical="center"/>
    </xf>
    <xf numFmtId="0" fontId="16" fillId="0" borderId="0" xfId="0" applyFont="1" applyAlignment="1">
      <alignment horizontal="right"/>
    </xf>
    <xf numFmtId="0" fontId="13" fillId="3" borderId="1" xfId="1" applyFont="1" applyFill="1" applyAlignment="1">
      <alignment horizontal="center"/>
    </xf>
    <xf numFmtId="2" fontId="9" fillId="0" borderId="0" xfId="0" applyNumberFormat="1" applyFont="1"/>
    <xf numFmtId="2" fontId="9" fillId="0" borderId="0" xfId="0" applyNumberFormat="1" applyFont="1" applyAlignment="1">
      <alignment horizontal="right"/>
    </xf>
    <xf numFmtId="0" fontId="12" fillId="2" borderId="0" xfId="0" applyFont="1" applyFill="1"/>
    <xf numFmtId="0" fontId="9" fillId="5" borderId="0" xfId="0" applyFont="1" applyFill="1" applyAlignment="1">
      <alignment horizontal="right"/>
    </xf>
    <xf numFmtId="2" fontId="9" fillId="2" borderId="0" xfId="0" applyNumberFormat="1" applyFont="1" applyFill="1"/>
    <xf numFmtId="164" fontId="9" fillId="3" borderId="0" xfId="0" applyNumberFormat="1" applyFont="1" applyFill="1"/>
    <xf numFmtId="164" fontId="13" fillId="3" borderId="1" xfId="1" applyNumberFormat="1" applyFont="1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565117</xdr:colOff>
      <xdr:row>16</xdr:row>
      <xdr:rowOff>156051</xdr:rowOff>
    </xdr:from>
    <xdr:ext cx="1749458" cy="3397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1174717" y="1489551"/>
              <a:ext cx="1749458" cy="3397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sty m:val="p"/>
                    </m:rPr>
                    <a:rPr lang="en-US" sz="1100" b="0" i="1">
                      <a:latin typeface="Cambria Math"/>
                    </a:rPr>
                    <m:t>W</m:t>
                  </m:r>
                  <m:r>
                    <a:rPr lang="en-US" sz="1100" i="1">
                      <a:latin typeface="Cambria Math"/>
                    </a:rPr>
                    <m:t>=</m:t>
                  </m:r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/>
                        </a:rPr>
                        <m:t>𝐺</m:t>
                      </m:r>
                    </m:e>
                    <m:sub>
                      <m:r>
                        <a:rPr lang="en-US" sz="1100" b="0" i="1">
                          <a:latin typeface="Cambria Math"/>
                        </a:rPr>
                        <m:t>đ</m:t>
                      </m:r>
                    </m:sub>
                  </m:sSub>
                  <m:r>
                    <a:rPr lang="en-US" sz="1100" b="0" i="1">
                      <a:latin typeface="Cambria Math"/>
                    </a:rPr>
                    <m:t> ( 1 − </m:t>
                  </m:r>
                  <m:f>
                    <m:fPr>
                      <m:ctrlPr>
                        <a:rPr lang="en-US" sz="1100" b="0" i="1">
                          <a:latin typeface="Cambria Math" panose="02040503050406030204" pitchFamily="18" charset="0"/>
                        </a:rPr>
                      </m:ctrlPr>
                    </m:fPr>
                    <m:num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/>
                            </a:rPr>
                            <m:t>𝑥</m:t>
                          </m:r>
                        </m:e>
                        <m:sub>
                          <m:r>
                            <a:rPr lang="en-US" sz="1100" b="0" i="1">
                              <a:latin typeface="Cambria Math"/>
                            </a:rPr>
                            <m:t>đ</m:t>
                          </m:r>
                        </m:sub>
                      </m:sSub>
                    </m:num>
                    <m:den>
                      <m:sSub>
                        <m:sSub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/>
                            </a:rPr>
                            <m:t>𝑥</m:t>
                          </m:r>
                        </m:e>
                        <m:sub>
                          <m:r>
                            <a:rPr lang="en-US" sz="1100" b="0" i="1">
                              <a:latin typeface="Cambria Math"/>
                            </a:rPr>
                            <m:t>𝑐</m:t>
                          </m:r>
                        </m:sub>
                      </m:sSub>
                    </m:den>
                  </m:f>
                  <m:r>
                    <a:rPr lang="en-US" sz="1100" b="0" i="1">
                      <a:latin typeface="Cambria Math"/>
                    </a:rPr>
                    <m:t>)</m:t>
                  </m:r>
                </m:oMath>
              </a14:m>
              <a:r>
                <a:rPr lang="en-US" sz="1100"/>
                <a:t> ,</a:t>
              </a:r>
              <a:r>
                <a:rPr lang="en-US" sz="1100" baseline="0"/>
                <a:t> kg/h </a:t>
              </a:r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1174717" y="1489551"/>
              <a:ext cx="1749458" cy="3397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W</a:t>
              </a:r>
              <a:r>
                <a:rPr lang="en-US" sz="1100" i="0">
                  <a:latin typeface="Cambria Math"/>
                </a:rPr>
                <a:t>=</a:t>
              </a:r>
              <a:r>
                <a:rPr lang="en-US" sz="1100" b="0" i="0">
                  <a:latin typeface="Cambria Math"/>
                </a:rPr>
                <a:t>𝐺_đ  ( 1 −  𝑥_đ/𝑥_𝑐 )</a:t>
              </a:r>
              <a:r>
                <a:rPr lang="en-US" sz="1100"/>
                <a:t> ,</a:t>
              </a:r>
              <a:r>
                <a:rPr lang="en-US" sz="1100" baseline="0"/>
                <a:t> kg/h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12668</xdr:colOff>
      <xdr:row>25</xdr:row>
      <xdr:rowOff>194151</xdr:rowOff>
    </xdr:from>
    <xdr:ext cx="1720882" cy="45332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1574768" y="3546951"/>
              <a:ext cx="1720882" cy="4533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𝐺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đ </m:t>
                        </m:r>
                      </m:sub>
                    </m:sSub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đ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𝐺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đ</m:t>
                            </m:r>
                          </m:sub>
                        </m:sSub>
                        <m:r>
                          <a:rPr lang="en-US" sz="1100" b="0" i="1">
                            <a:latin typeface="Cambria Math"/>
                          </a:rPr>
                          <m:t>− </m:t>
                        </m:r>
                        <m:nary>
                          <m:naryPr>
                            <m:chr m:val="∑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100" b="0" i="1">
                                <a:latin typeface="Cambria Math"/>
                              </a:rPr>
                              <m:t>𝑗</m:t>
                            </m:r>
                            <m:r>
                              <a:rPr lang="en-US" sz="1100" b="0" i="1">
                                <a:latin typeface="Cambria Math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100" b="0" i="1">
                                <a:latin typeface="Cambria Math"/>
                              </a:rPr>
                              <m:t>𝑖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/>
                                  </a:rPr>
                                  <m:t>𝑊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/>
                                  </a:rPr>
                                  <m:t>𝑗</m:t>
                                </m:r>
                              </m:sub>
                            </m:sSub>
                          </m:e>
                        </m:nary>
                      </m:den>
                    </m:f>
                    <m:r>
                      <a:rPr lang="en-US" sz="1100" b="0" i="1">
                        <a:latin typeface="Cambria Math"/>
                      </a:rPr>
                      <m:t> , %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574768" y="3546951"/>
              <a:ext cx="1720882" cy="45332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𝑥_𝑖</a:t>
              </a:r>
              <a:r>
                <a:rPr lang="en-US" sz="1100" i="0">
                  <a:latin typeface="Cambria Math"/>
                </a:rPr>
                <a:t>=</a:t>
              </a:r>
              <a:r>
                <a:rPr lang="en-US" sz="1100" b="0" i="0">
                  <a:latin typeface="Cambria Math"/>
                </a:rPr>
                <a:t>𝐺_(đ ) </a:t>
              </a:r>
              <a:r>
                <a:rPr lang="en-US" sz="1100" i="0">
                  <a:latin typeface="Cambria Math"/>
                </a:rPr>
                <a:t> </a:t>
              </a:r>
              <a:r>
                <a:rPr lang="en-US" sz="1100" b="0" i="0">
                  <a:latin typeface="Cambria Math"/>
                </a:rPr>
                <a:t>𝑥_đ/(𝐺_đ− ∑_(𝑗=1)^𝑖▒𝑊_𝑗 )  , %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546067</xdr:colOff>
      <xdr:row>30</xdr:row>
      <xdr:rowOff>175101</xdr:rowOff>
    </xdr:from>
    <xdr:ext cx="1387507" cy="2756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1260442" y="4766151"/>
              <a:ext cx="1387507" cy="2756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/>
                        <a:ea typeface="Cambria Math"/>
                      </a:rPr>
                      <m:t>∆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𝑃</m:t>
                    </m:r>
                    <m:r>
                      <a:rPr lang="en-US" sz="110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𝑝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 −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𝑝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𝑛𝑔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 , </m:t>
                    </m:r>
                    <m:r>
                      <a:rPr lang="en-US" sz="1100" b="0" i="1">
                        <a:latin typeface="Cambria Math"/>
                      </a:rPr>
                      <m:t>𝑎𝑡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260442" y="4766151"/>
              <a:ext cx="1387507" cy="2756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latin typeface="Cambria Math"/>
                  <a:ea typeface="Cambria Math"/>
                </a:rPr>
                <a:t>∆</a:t>
              </a:r>
              <a:r>
                <a:rPr lang="en-US" sz="1100" b="0" i="0">
                  <a:latin typeface="Cambria Math"/>
                  <a:ea typeface="Cambria Math"/>
                </a:rPr>
                <a:t>𝑃</a:t>
              </a:r>
              <a:r>
                <a:rPr lang="en-US" sz="1100" i="0">
                  <a:latin typeface="Cambria Math"/>
                </a:rPr>
                <a:t>=</a:t>
              </a:r>
              <a:r>
                <a:rPr lang="en-US" sz="1100" b="0" i="0">
                  <a:latin typeface="Cambria Math"/>
                </a:rPr>
                <a:t>𝑝_1  − 𝑝_𝑛𝑔  , 𝑎𝑡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479392</xdr:colOff>
      <xdr:row>42</xdr:row>
      <xdr:rowOff>127476</xdr:rowOff>
    </xdr:from>
    <xdr:ext cx="1501807" cy="46884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1193767" y="7042626"/>
              <a:ext cx="1501807" cy="4688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/>
                        <a:ea typeface="Cambria Math"/>
                      </a:rPr>
                      <m:t>∆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𝑝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𝑖</m:t>
                        </m:r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−1</m:t>
                        </m:r>
                      </m:sub>
                    </m:sSub>
                    <m:r>
                      <a:rPr lang="en-US" sz="11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i="1">
                            <a:latin typeface="Cambria Math"/>
                            <a:ea typeface="Cambria Math"/>
                          </a:rPr>
                          <m:t>∆</m:t>
                        </m:r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𝑝</m:t>
                        </m:r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 × 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  <a:ea typeface="Cambria Math"/>
                              </a:rPr>
                              <m:t>𝑎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  <a:ea typeface="Cambria Math"/>
                              </a:rPr>
                              <m:t>𝑖</m:t>
                            </m:r>
                            <m:r>
                              <a:rPr lang="en-US" sz="1100" b="0" i="1">
                                <a:latin typeface="Cambria Math"/>
                                <a:ea typeface="Cambria Math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nary>
                          <m:naryPr>
                            <m:chr m:val="∑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naryPr>
                          <m:sub>
                            <m:r>
                              <m:rPr>
                                <m:brk m:alnAt="23"/>
                              </m:rPr>
                              <a:rPr lang="en-US" sz="1100" b="0" i="1">
                                <a:latin typeface="Cambria Math"/>
                              </a:rPr>
                              <m:t>𝑗</m:t>
                            </m:r>
                            <m:r>
                              <a:rPr lang="en-US" sz="1100" b="0" i="1">
                                <a:latin typeface="Cambria Math"/>
                              </a:rPr>
                              <m:t>=1</m:t>
                            </m:r>
                          </m:sub>
                          <m:sup>
                            <m:r>
                              <a:rPr lang="en-US" sz="1100" b="0" i="1">
                                <a:latin typeface="Cambria Math"/>
                              </a:rPr>
                              <m:t>𝑛</m:t>
                            </m:r>
                          </m:sup>
                          <m:e>
                            <m:sSub>
                              <m:sSub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/>
                                  </a:rPr>
                                  <m:t>𝑗</m:t>
                                </m:r>
                              </m:sub>
                            </m:sSub>
                          </m:e>
                        </m:nary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193767" y="7042626"/>
              <a:ext cx="1501807" cy="46884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latin typeface="Cambria Math"/>
                  <a:ea typeface="Cambria Math"/>
                </a:rPr>
                <a:t>∆</a:t>
              </a:r>
              <a:r>
                <a:rPr lang="en-US" sz="1100" b="0" i="0">
                  <a:latin typeface="Cambria Math"/>
                  <a:ea typeface="Cambria Math"/>
                </a:rPr>
                <a:t>𝑝_(𝑖−1)</a:t>
              </a:r>
              <a:r>
                <a:rPr lang="en-US" sz="1100" i="0">
                  <a:latin typeface="Cambria Math"/>
                </a:rPr>
                <a:t>=(</a:t>
              </a:r>
              <a:r>
                <a:rPr lang="en-US" sz="1100" i="0">
                  <a:latin typeface="Cambria Math"/>
                  <a:ea typeface="Cambria Math"/>
                </a:rPr>
                <a:t>∆</a:t>
              </a:r>
              <a:r>
                <a:rPr lang="en-US" sz="1100" b="0" i="0">
                  <a:latin typeface="Cambria Math"/>
                  <a:ea typeface="Cambria Math"/>
                </a:rPr>
                <a:t>𝑝 × 𝑎_(𝑖−1))/(∑_(</a:t>
              </a:r>
              <a:r>
                <a:rPr lang="en-US" sz="1100" b="0" i="0">
                  <a:latin typeface="Cambria Math"/>
                </a:rPr>
                <a:t>𝑗=1)^𝑛▒𝑎_𝑗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536542</xdr:colOff>
      <xdr:row>40</xdr:row>
      <xdr:rowOff>175101</xdr:rowOff>
    </xdr:from>
    <xdr:ext cx="1578007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1250917" y="6671151"/>
              <a:ext cx="1578007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𝑝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𝑝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𝑖</m:t>
                        </m:r>
                        <m:r>
                          <a:rPr lang="en-US" sz="1100" b="0" i="1">
                            <a:latin typeface="Cambria Math"/>
                          </a:rPr>
                          <m:t>−1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 − 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∆</m:t>
                        </m:r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𝑝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𝑖</m:t>
                        </m:r>
                        <m:r>
                          <a:rPr lang="en-US" sz="1100" b="0" i="1">
                            <a:latin typeface="Cambria Math"/>
                          </a:rPr>
                          <m:t>−1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 , </m:t>
                    </m:r>
                    <m:r>
                      <a:rPr lang="en-US" sz="1100" b="0" i="1">
                        <a:latin typeface="Cambria Math"/>
                      </a:rPr>
                      <m:t>𝑎𝑡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250917" y="6671151"/>
              <a:ext cx="1578007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𝑝_𝑖</a:t>
              </a:r>
              <a:r>
                <a:rPr lang="en-US" sz="1100" i="0">
                  <a:latin typeface="Cambria Math"/>
                </a:rPr>
                <a:t>=</a:t>
              </a:r>
              <a:r>
                <a:rPr lang="en-US" sz="1100" b="0" i="0">
                  <a:latin typeface="Cambria Math"/>
                </a:rPr>
                <a:t>𝑝_(𝑖−1)  − 〖</a:t>
              </a:r>
              <a:r>
                <a:rPr lang="en-US" sz="1100" b="0" i="0">
                  <a:latin typeface="Cambria Math"/>
                  <a:ea typeface="Cambria Math"/>
                </a:rPr>
                <a:t>∆𝑝〗_(</a:t>
              </a:r>
              <a:r>
                <a:rPr lang="en-US" sz="1100" b="0" i="0">
                  <a:latin typeface="Cambria Math"/>
                </a:rPr>
                <a:t>𝑖−1)  , 𝑎𝑡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22193</xdr:colOff>
      <xdr:row>54</xdr:row>
      <xdr:rowOff>194151</xdr:rowOff>
    </xdr:from>
    <xdr:ext cx="1816132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1346168" y="9776301"/>
              <a:ext cx="1816132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𝑡</m:t>
                        </m:r>
                        <m:r>
                          <a:rPr lang="en-US" sz="1100" b="0" i="1">
                            <a:latin typeface="Cambria Math"/>
                          </a:rPr>
                          <m:t>′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𝑖</m:t>
                        </m:r>
                        <m:r>
                          <a:rPr lang="en-US" sz="1100" b="0" i="1">
                            <a:latin typeface="Cambria Math"/>
                          </a:rPr>
                          <m:t>+1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+ </m:t>
                    </m:r>
                    <m:sSubSup>
                      <m:sSub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∆′′′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𝑖</m:t>
                        </m:r>
                      </m:sub>
                      <m:sup/>
                    </m:sSubSup>
                    <m:r>
                      <a:rPr lang="en-US" sz="1100" b="0" i="1">
                        <a:latin typeface="Cambria Math"/>
                      </a:rPr>
                      <m:t> , 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℃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1346168" y="9776301"/>
              <a:ext cx="1816132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latin typeface="Cambria Math"/>
                </a:rPr>
                <a:t>〖</a:t>
              </a:r>
              <a:r>
                <a:rPr lang="en-US" sz="1100" b="0" i="0">
                  <a:latin typeface="Cambria Math"/>
                </a:rPr>
                <a:t>𝑡′〗_𝑖</a:t>
              </a:r>
              <a:r>
                <a:rPr lang="en-US" sz="1100" i="0">
                  <a:latin typeface="Cambria Math"/>
                </a:rPr>
                <a:t>=</a:t>
              </a:r>
              <a:r>
                <a:rPr lang="en-US" sz="1100" b="0" i="0">
                  <a:latin typeface="Cambria Math"/>
                </a:rPr>
                <a:t>𝑇_(𝑖+1)+ 〖</a:t>
              </a:r>
              <a:r>
                <a:rPr lang="en-US" sz="1100" b="0" i="0">
                  <a:latin typeface="Cambria Math"/>
                  <a:ea typeface="Cambria Math"/>
                </a:rPr>
                <a:t>∆′′′〗_</a:t>
              </a:r>
              <a:r>
                <a:rPr lang="en-US" sz="1100" b="0" i="0">
                  <a:latin typeface="Cambria Math"/>
                </a:rPr>
                <a:t>𝑖^   , </a:t>
              </a:r>
              <a:r>
                <a:rPr lang="en-US" sz="1100" b="0" i="0">
                  <a:latin typeface="Cambria Math"/>
                  <a:ea typeface="Cambria Math"/>
                </a:rPr>
                <a:t>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3142</xdr:colOff>
      <xdr:row>73</xdr:row>
      <xdr:rowOff>70326</xdr:rowOff>
    </xdr:from>
    <xdr:ext cx="2644807" cy="41280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717517" y="13481526"/>
              <a:ext cx="2644807" cy="4128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𝑃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𝑡𝑏𝑖</m:t>
                        </m:r>
                      </m:sub>
                    </m:sSub>
                    <m:r>
                      <a:rPr lang="en-US" sz="110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𝑃</m:t>
                        </m:r>
                        <m:r>
                          <a:rPr lang="en-US" sz="1100" b="0" i="1">
                            <a:latin typeface="Cambria Math"/>
                          </a:rPr>
                          <m:t>′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+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h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/>
                          </a:rPr>
                          <m:t>+</m:t>
                        </m:r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/>
                              </a:rPr>
                              <m:t>𝐻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/>
                              </a:rPr>
                              <m:t>2</m:t>
                            </m:r>
                          </m:den>
                        </m:f>
                      </m:e>
                    </m:d>
                    <m:r>
                      <a:rPr lang="en-US" sz="1100" b="0" i="1">
                        <a:latin typeface="Cambria Math"/>
                      </a:rPr>
                      <m:t>.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𝜌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𝑠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.</m:t>
                    </m:r>
                    <m:r>
                      <a:rPr lang="en-US" sz="1100" b="0" i="1">
                        <a:latin typeface="Cambria Math"/>
                      </a:rPr>
                      <m:t>𝑔</m:t>
                    </m:r>
                    <m:r>
                      <a:rPr lang="en-US" sz="1100" b="0" i="1">
                        <a:latin typeface="Cambria Math"/>
                      </a:rPr>
                      <m:t> , </m:t>
                    </m:r>
                    <m:r>
                      <a:rPr lang="en-US" sz="1100" b="0" i="1">
                        <a:latin typeface="Cambria Math"/>
                      </a:rPr>
                      <m:t>𝑁</m:t>
                    </m:r>
                    <m:r>
                      <a:rPr lang="en-US" sz="1100" b="0" i="1">
                        <a:latin typeface="Cambria Math"/>
                      </a:rPr>
                      <m:t>/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/>
                          </a:rPr>
                          <m:t>𝑚</m:t>
                        </m:r>
                      </m:e>
                      <m:sup>
                        <m:r>
                          <a:rPr lang="en-US" sz="1100" b="0" i="1">
                            <a:latin typeface="Cambria Math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717517" y="13481526"/>
              <a:ext cx="2644807" cy="41280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𝑃_𝑡𝑏𝑖</a:t>
              </a:r>
              <a:r>
                <a:rPr lang="en-US" sz="1100" i="0">
                  <a:latin typeface="Cambria Math"/>
                </a:rPr>
                <a:t>=〖</a:t>
              </a:r>
              <a:r>
                <a:rPr lang="en-US" sz="1100" b="0" i="0">
                  <a:latin typeface="Cambria Math"/>
                </a:rPr>
                <a:t>𝑃′〗_𝑖+(ℎ_1+𝐻/2).</a:t>
              </a:r>
              <a:r>
                <a:rPr lang="en-US" sz="1100" b="0" i="0">
                  <a:latin typeface="Cambria Math"/>
                  <a:ea typeface="Cambria Math"/>
                </a:rPr>
                <a:t>𝜌_</a:t>
              </a:r>
              <a:r>
                <a:rPr lang="en-US" sz="1100" b="0" i="0">
                  <a:latin typeface="Cambria Math"/>
                </a:rPr>
                <a:t>𝑠.𝑔 , 𝑁/𝑚^2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3143</xdr:colOff>
      <xdr:row>84</xdr:row>
      <xdr:rowOff>22701</xdr:rowOff>
    </xdr:from>
    <xdr:ext cx="1587532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717518" y="15738951"/>
              <a:ext cx="1587532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/>
                            <a:ea typeface="Cambria Math"/>
                          </a:rPr>
                          <m:t>∆</m:t>
                        </m:r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′′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𝑠𝑖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−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𝑡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/>
                              </a:rPr>
                              <m:t>′</m:t>
                            </m:r>
                          </m:sup>
                        </m:sSup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𝑖</m:t>
                        </m:r>
                      </m:sub>
                    </m:sSub>
                    <m:r>
                      <a:rPr lang="en-US" sz="1100" b="0" i="0">
                        <a:latin typeface="Cambria Math"/>
                      </a:rPr>
                      <m:t> 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℃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717518" y="15738951"/>
              <a:ext cx="1587532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i="0">
                  <a:latin typeface="Cambria Math"/>
                </a:rPr>
                <a:t>〖</a:t>
              </a:r>
              <a:r>
                <a:rPr lang="en-US" sz="1100" i="0">
                  <a:latin typeface="Cambria Math"/>
                  <a:ea typeface="Cambria Math"/>
                </a:rPr>
                <a:t>∆</a:t>
              </a:r>
              <a:r>
                <a:rPr lang="en-US" sz="1100" b="0" i="0">
                  <a:latin typeface="Cambria Math"/>
                  <a:ea typeface="Cambria Math"/>
                </a:rPr>
                <a:t>′′〗_</a:t>
              </a:r>
              <a:r>
                <a:rPr lang="en-US" sz="1100" b="0" i="0">
                  <a:latin typeface="Cambria Math"/>
                </a:rPr>
                <a:t>𝑖</a:t>
              </a:r>
              <a:r>
                <a:rPr lang="en-US" sz="1100" i="0">
                  <a:latin typeface="Cambria Math"/>
                </a:rPr>
                <a:t>=</a:t>
              </a:r>
              <a:r>
                <a:rPr lang="en-US" sz="1100" b="0" i="0">
                  <a:latin typeface="Cambria Math"/>
                </a:rPr>
                <a:t>𝑡_𝑠𝑖−〖𝑡^′〗_𝑖  </a:t>
              </a:r>
              <a:r>
                <a:rPr lang="en-US" sz="1100" b="0" i="0">
                  <a:latin typeface="Cambria Math"/>
                  <a:ea typeface="Cambria Math"/>
                </a:rPr>
                <a:t>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12668</xdr:colOff>
      <xdr:row>88</xdr:row>
      <xdr:rowOff>146526</xdr:rowOff>
    </xdr:from>
    <xdr:ext cx="1397032" cy="267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727043" y="16720026"/>
              <a:ext cx="1397032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/>
                            <a:ea typeface="Cambria Math"/>
                          </a:rPr>
                          <m:t>∆</m:t>
                        </m:r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′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/>
                            <a:ea typeface="Cambria Math"/>
                          </a:rPr>
                          <m:t>∆</m:t>
                        </m:r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′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.</m:t>
                    </m:r>
                    <m:r>
                      <a:rPr lang="en-US" sz="1100" b="0" i="1">
                        <a:latin typeface="Cambria Math"/>
                      </a:rPr>
                      <m:t>𝑓</m:t>
                    </m:r>
                    <m:r>
                      <a:rPr lang="en-US" sz="1100" b="0" i="1">
                        <a:latin typeface="Cambria Math"/>
                      </a:rPr>
                      <m:t> , ℃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727043" y="16720026"/>
              <a:ext cx="1397032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i="0">
                  <a:latin typeface="Cambria Math"/>
                </a:rPr>
                <a:t>〖</a:t>
              </a:r>
              <a:r>
                <a:rPr lang="en-US" sz="1100" i="0">
                  <a:latin typeface="Cambria Math"/>
                  <a:ea typeface="Cambria Math"/>
                </a:rPr>
                <a:t>∆</a:t>
              </a:r>
              <a:r>
                <a:rPr lang="en-US" sz="1100" b="0" i="0">
                  <a:latin typeface="Cambria Math"/>
                  <a:ea typeface="Cambria Math"/>
                </a:rPr>
                <a:t>′〗_</a:t>
              </a:r>
              <a:r>
                <a:rPr lang="en-US" sz="1100" b="0" i="0">
                  <a:latin typeface="Cambria Math"/>
                </a:rPr>
                <a:t>𝑖</a:t>
              </a:r>
              <a:r>
                <a:rPr lang="en-US" sz="1100" i="0">
                  <a:latin typeface="Cambria Math"/>
                </a:rPr>
                <a:t>=〖</a:t>
              </a:r>
              <a:r>
                <a:rPr lang="en-US" sz="1100" i="0">
                  <a:latin typeface="Cambria Math"/>
                  <a:ea typeface="Cambria Math"/>
                </a:rPr>
                <a:t>∆</a:t>
              </a:r>
              <a:r>
                <a:rPr lang="en-US" sz="1100" b="0" i="0">
                  <a:latin typeface="Cambria Math"/>
                  <a:ea typeface="Cambria Math"/>
                </a:rPr>
                <a:t>′〗_</a:t>
              </a:r>
              <a:r>
                <a:rPr lang="en-US" sz="1100" b="0" i="0">
                  <a:latin typeface="Cambria Math"/>
                </a:rPr>
                <a:t>0.𝑓 , </a:t>
              </a:r>
              <a:r>
                <a:rPr lang="en-US" sz="1100" b="0" i="0">
                  <a:latin typeface="Cambria Math"/>
                  <a:ea typeface="Cambria Math"/>
                </a:rPr>
                <a:t>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12667</xdr:colOff>
      <xdr:row>89</xdr:row>
      <xdr:rowOff>203676</xdr:rowOff>
    </xdr:from>
    <xdr:ext cx="2463833" cy="47557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727042" y="16986726"/>
              <a:ext cx="2463833" cy="4755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/>
                      </a:rPr>
                      <m:t>𝑓</m:t>
                    </m:r>
                    <m:r>
                      <a:rPr lang="en-US" sz="1100" i="1">
                        <a:latin typeface="Cambria Math"/>
                      </a:rPr>
                      <m:t>=</m:t>
                    </m:r>
                    <m:r>
                      <a:rPr lang="en-US" sz="1100" b="0" i="1">
                        <a:latin typeface="Cambria Math"/>
                      </a:rPr>
                      <m:t>16,2.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/>
                                  </a:rPr>
                                  <m:t>𝑠𝑖</m:t>
                                </m:r>
                              </m:sub>
                            </m:sSub>
                          </m:e>
                          <m:sup>
                            <m:r>
                              <a:rPr lang="en-US" sz="1100" b="0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𝑟</m:t>
                            </m:r>
                            <m:r>
                              <a:rPr lang="en-US" sz="1100" b="0" i="1">
                                <a:latin typeface="Cambria Math"/>
                              </a:rPr>
                              <m:t>′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𝑖</m:t>
                            </m:r>
                          </m:sub>
                        </m:sSub>
                      </m:den>
                    </m:f>
                    <m:r>
                      <a:rPr lang="en-US" sz="1100" b="0" i="1">
                        <a:latin typeface="Cambria Math"/>
                      </a:rPr>
                      <m:t>=16,2.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(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latin typeface="Cambria Math"/>
                                      </a:rPr>
                                      <m:t>𝑇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latin typeface="Cambria Math"/>
                                      </a:rPr>
                                      <m:t>′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lang="en-US" sz="1100" b="0" i="1">
                                    <a:latin typeface="Cambria Math"/>
                                  </a:rPr>
                                  <m:t>𝑖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/>
                              </a:rPr>
                              <m:t>+273)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𝑟</m:t>
                            </m:r>
                            <m:r>
                              <a:rPr lang="en-US" sz="1100" b="0" i="1">
                                <a:latin typeface="Cambria Math"/>
                              </a:rPr>
                              <m:t>′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𝑖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727042" y="16986726"/>
              <a:ext cx="2463833" cy="47557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𝑓</a:t>
              </a:r>
              <a:r>
                <a:rPr lang="en-US" sz="1100" i="0">
                  <a:latin typeface="Cambria Math"/>
                </a:rPr>
                <a:t>=</a:t>
              </a:r>
              <a:r>
                <a:rPr lang="en-US" sz="1100" b="0" i="0">
                  <a:latin typeface="Cambria Math"/>
                </a:rPr>
                <a:t>16,2.〖𝑡_𝑠𝑖〗^2/〖𝑟′〗_𝑖 =16,2.〖(〖𝑇^′〗_𝑖+273)〗^2/〖𝑟′〗_𝑖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688941</xdr:colOff>
      <xdr:row>97</xdr:row>
      <xdr:rowOff>108425</xdr:rowOff>
    </xdr:from>
    <xdr:ext cx="2330483" cy="5544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688941" y="18577400"/>
              <a:ext cx="2330483" cy="5544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/>
                          </a:rPr>
                          <m:t>𝑖</m:t>
                        </m:r>
                        <m:r>
                          <a:rPr lang="en-US" sz="1100" b="0" i="1">
                            <a:latin typeface="Cambria Math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latin typeface="Cambria Math"/>
                          </a:rPr>
                          <m:t>𝑛</m:t>
                        </m:r>
                      </m:sup>
                      <m:e>
                        <m:r>
                          <a:rPr lang="en-US" sz="1100" i="1"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</m:nary>
                    <m:r>
                      <a:rPr lang="en-US" sz="1100" i="1">
                        <a:latin typeface="Cambria Math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′</m:t>
                        </m:r>
                      </m:e>
                    </m:nary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+</m:t>
                    </m:r>
                    <m:nary>
                      <m:naryPr>
                        <m:chr m:val="∑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′′</m:t>
                        </m:r>
                      </m:e>
                    </m:nary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/>
                        <a:ea typeface="+mn-ea"/>
                        <a:cs typeface="+mn-cs"/>
                      </a:rPr>
                      <m:t>+</m:t>
                    </m:r>
                    <m:nary>
                      <m:naryPr>
                        <m:chr m:val="∑"/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𝑖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𝑛</m:t>
                        </m:r>
                      </m:sup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∆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′′′</m:t>
                        </m:r>
                      </m:e>
                    </m:nary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688941" y="18577400"/>
              <a:ext cx="2330483" cy="5544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i="0">
                  <a:latin typeface="Cambria Math"/>
                </a:rPr>
                <a:t>∑24_(</a:t>
              </a:r>
              <a:r>
                <a:rPr lang="en-US" sz="1100" b="0" i="0">
                  <a:latin typeface="Cambria Math"/>
                </a:rPr>
                <a:t>𝑖=1)^𝑛▒</a:t>
              </a:r>
              <a:r>
                <a:rPr lang="en-US" sz="1100" i="0">
                  <a:latin typeface="Cambria Math"/>
                  <a:ea typeface="Cambria Math"/>
                </a:rPr>
                <a:t>∆</a:t>
              </a:r>
              <a:r>
                <a:rPr lang="en-US" sz="1100" i="0">
                  <a:latin typeface="Cambria Math"/>
                </a:rPr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∑24_(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𝑖=1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▒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∆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′+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∑24_(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𝑖=1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▒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∆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′′+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∑24_(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𝑖=1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)^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▒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∆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′′′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12668</xdr:colOff>
      <xdr:row>102</xdr:row>
      <xdr:rowOff>175101</xdr:rowOff>
    </xdr:from>
    <xdr:ext cx="2159032" cy="5573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 txBox="1"/>
          </xdr:nvSpPr>
          <xdr:spPr>
            <a:xfrm>
              <a:off x="727043" y="19691826"/>
              <a:ext cx="2159032" cy="557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/>
                          </a:rPr>
                          <m:t>𝑖</m:t>
                        </m:r>
                        <m:r>
                          <a:rPr lang="en-US" sz="1100" b="0" i="1">
                            <a:latin typeface="Cambria Math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latin typeface="Cambria Math"/>
                          </a:rPr>
                          <m:t>𝑛</m:t>
                        </m:r>
                      </m:sup>
                      <m:e>
                        <m:r>
                          <a:rPr lang="en-US" sz="1100" i="1">
                            <a:latin typeface="Cambria Math"/>
                            <a:ea typeface="Cambria Math"/>
                          </a:rPr>
                          <m:t>∆</m:t>
                        </m:r>
                        <m:sSub>
                          <m:sSubPr>
                            <m:ctrlPr>
                              <a:rPr lang="en-US" sz="110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  <a:ea typeface="Cambria Math"/>
                              </a:rPr>
                              <m:t>𝑇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  <a:ea typeface="Cambria Math"/>
                              </a:rPr>
                              <m:t>𝑖</m:t>
                            </m:r>
                          </m:sub>
                        </m:sSub>
                      </m:e>
                    </m:nary>
                    <m:r>
                      <a:rPr lang="en-US" sz="110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−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𝑛𝑔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−</m:t>
                    </m:r>
                    <m:nary>
                      <m:naryPr>
                        <m:chr m:val="∑"/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en-US" sz="1100" b="0" i="1">
                            <a:latin typeface="Cambria Math"/>
                          </a:rPr>
                          <m:t>𝑖</m:t>
                        </m:r>
                        <m:r>
                          <a:rPr lang="en-US" sz="1100" b="0" i="1">
                            <a:latin typeface="Cambria Math"/>
                          </a:rPr>
                          <m:t>=1</m:t>
                        </m:r>
                      </m:sub>
                      <m:sup>
                        <m:r>
                          <a:rPr lang="en-US" sz="1100" b="0" i="1">
                            <a:latin typeface="Cambria Math"/>
                          </a:rPr>
                          <m:t>𝑛</m:t>
                        </m:r>
                      </m:sup>
                      <m:e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∆</m:t>
                        </m:r>
                      </m:e>
                    </m:nary>
                    <m:r>
                      <a:rPr lang="en-US" sz="1100" b="0" i="1">
                        <a:latin typeface="Cambria Math"/>
                      </a:rPr>
                      <m:t> , 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℃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727043" y="19691826"/>
              <a:ext cx="2159032" cy="557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i="0">
                  <a:latin typeface="Cambria Math"/>
                </a:rPr>
                <a:t>∑24_(</a:t>
              </a:r>
              <a:r>
                <a:rPr lang="en-US" sz="1100" b="0" i="0">
                  <a:latin typeface="Cambria Math"/>
                </a:rPr>
                <a:t>𝑖=1)^𝑛▒〖</a:t>
              </a:r>
              <a:r>
                <a:rPr lang="en-US" sz="1100" i="0">
                  <a:latin typeface="Cambria Math"/>
                  <a:ea typeface="Cambria Math"/>
                </a:rPr>
                <a:t>∆</a:t>
              </a:r>
              <a:r>
                <a:rPr lang="en-US" sz="1100" b="0" i="0">
                  <a:latin typeface="Cambria Math"/>
                  <a:ea typeface="Cambria Math"/>
                </a:rPr>
                <a:t>𝑇_𝑖 〗</a:t>
              </a:r>
              <a:r>
                <a:rPr lang="en-US" sz="1100" i="0">
                  <a:latin typeface="Cambria Math"/>
                </a:rPr>
                <a:t>=</a:t>
              </a:r>
              <a:r>
                <a:rPr lang="en-US" sz="1100" b="0" i="0">
                  <a:latin typeface="Cambria Math"/>
                </a:rPr>
                <a:t>𝑇_1−𝑇_𝑛𝑔−∑24_(𝑖=1)^𝑛▒</a:t>
              </a:r>
              <a:r>
                <a:rPr lang="en-US" sz="1100" b="0" i="0">
                  <a:latin typeface="Cambria Math"/>
                  <a:ea typeface="Cambria Math"/>
                </a:rPr>
                <a:t>∆ </a:t>
              </a:r>
              <a:r>
                <a:rPr lang="en-US" sz="1100" b="0" i="0">
                  <a:latin typeface="Cambria Math"/>
                </a:rPr>
                <a:t> , </a:t>
              </a:r>
              <a:r>
                <a:rPr lang="en-US" sz="1100" b="0" i="0">
                  <a:latin typeface="Cambria Math"/>
                  <a:ea typeface="Cambria Math"/>
                </a:rPr>
                <a:t>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546067</xdr:colOff>
      <xdr:row>105</xdr:row>
      <xdr:rowOff>175101</xdr:rowOff>
    </xdr:from>
    <xdr:ext cx="2892458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 txBox="1"/>
          </xdr:nvSpPr>
          <xdr:spPr>
            <a:xfrm>
              <a:off x="546067" y="20320476"/>
              <a:ext cx="289245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/>
                        <a:ea typeface="Cambria Math"/>
                      </a:rPr>
                      <m:t>∆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−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𝑠𝑖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𝑇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−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𝑡</m:t>
                        </m:r>
                        <m:r>
                          <a:rPr lang="en-US" sz="1100" b="0" i="1">
                            <a:latin typeface="Cambria Math"/>
                          </a:rPr>
                          <m:t>′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−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∆′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−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∆′′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 , 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℃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546067" y="20320476"/>
              <a:ext cx="289245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i="0">
                  <a:latin typeface="Cambria Math"/>
                  <a:ea typeface="Cambria Math"/>
                </a:rPr>
                <a:t>∆</a:t>
              </a:r>
              <a:r>
                <a:rPr lang="en-US" sz="1100" b="0" i="0">
                  <a:latin typeface="Cambria Math"/>
                  <a:ea typeface="Cambria Math"/>
                </a:rPr>
                <a:t>𝑇_𝑖</a:t>
              </a:r>
              <a:r>
                <a:rPr lang="en-US" sz="1100" i="0">
                  <a:latin typeface="Cambria Math"/>
                </a:rPr>
                <a:t>=</a:t>
              </a:r>
              <a:r>
                <a:rPr lang="en-US" sz="1100" b="0" i="0">
                  <a:latin typeface="Cambria Math"/>
                </a:rPr>
                <a:t>𝑇_𝑖−𝑡_𝑠𝑖=𝑇_𝑖−〖𝑡′〗_𝑖−〖</a:t>
              </a:r>
              <a:r>
                <a:rPr lang="en-US" sz="1100" b="0" i="0">
                  <a:latin typeface="Cambria Math"/>
                  <a:ea typeface="Cambria Math"/>
                </a:rPr>
                <a:t>∆′〗_</a:t>
              </a:r>
              <a:r>
                <a:rPr lang="en-US" sz="1100" b="0" i="0">
                  <a:latin typeface="Cambria Math"/>
                </a:rPr>
                <a:t>𝑖−〖</a:t>
              </a:r>
              <a:r>
                <a:rPr lang="en-US" sz="1100" b="0" i="0">
                  <a:latin typeface="Cambria Math"/>
                  <a:ea typeface="Cambria Math"/>
                </a:rPr>
                <a:t>∆′′〗_</a:t>
              </a:r>
              <a:r>
                <a:rPr lang="en-US" sz="1100" b="0" i="0">
                  <a:latin typeface="Cambria Math"/>
                </a:rPr>
                <a:t>𝑖  , </a:t>
              </a:r>
              <a:r>
                <a:rPr lang="en-US" sz="1100" b="0" i="0">
                  <a:latin typeface="Cambria Math"/>
                  <a:ea typeface="Cambria Math"/>
                </a:rPr>
                <a:t>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688942</xdr:colOff>
      <xdr:row>123</xdr:row>
      <xdr:rowOff>203676</xdr:rowOff>
    </xdr:from>
    <xdr:ext cx="1692307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/>
          </xdr:nvSpPr>
          <xdr:spPr>
            <a:xfrm>
              <a:off x="2079592" y="24130476"/>
              <a:ext cx="1692307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𝑜</m:t>
                        </m:r>
                      </m:sub>
                    </m:sSub>
                    <m:r>
                      <a:rPr lang="en-US" sz="1100" i="1">
                        <a:latin typeface="Cambria Math"/>
                      </a:rPr>
                      <m:t>=</m:t>
                    </m:r>
                    <m:r>
                      <a:rPr lang="en-US" sz="1100" b="0" i="1">
                        <a:latin typeface="Cambria Math"/>
                      </a:rPr>
                      <m:t>4186.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/>
                          </a:rPr>
                          <m:t>1−</m:t>
                        </m:r>
                        <m:r>
                          <a:rPr lang="en-US" sz="1100" b="0" i="1">
                            <a:latin typeface="Cambria Math"/>
                          </a:rPr>
                          <m:t>𝑥</m:t>
                        </m:r>
                      </m:e>
                    </m:d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2079592" y="24130476"/>
              <a:ext cx="1692307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𝐶_𝑜</a:t>
              </a:r>
              <a:r>
                <a:rPr lang="en-US" sz="1100" i="0">
                  <a:latin typeface="Cambria Math"/>
                </a:rPr>
                <a:t>=</a:t>
              </a:r>
              <a:r>
                <a:rPr lang="en-US" sz="1100" b="0" i="0">
                  <a:latin typeface="Cambria Math"/>
                </a:rPr>
                <a:t>4186.(1−𝑥)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2</xdr:col>
      <xdr:colOff>704850</xdr:colOff>
      <xdr:row>125</xdr:row>
      <xdr:rowOff>190500</xdr:rowOff>
    </xdr:from>
    <xdr:ext cx="1692307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/>
          </xdr:nvSpPr>
          <xdr:spPr>
            <a:xfrm>
              <a:off x="2095500" y="24536400"/>
              <a:ext cx="1692307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1</m:t>
                        </m:r>
                      </m:sub>
                    </m:sSub>
                    <m:r>
                      <a:rPr lang="en-US" sz="1100" i="1">
                        <a:latin typeface="Cambria Math"/>
                      </a:rPr>
                      <m:t>=</m:t>
                    </m:r>
                    <m:r>
                      <a:rPr lang="en-US" sz="1100" b="0" i="1">
                        <a:latin typeface="Cambria Math"/>
                      </a:rPr>
                      <m:t>4186.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>
                            <a:latin typeface="Cambria Math"/>
                          </a:rPr>
                          <m:t>1−</m:t>
                        </m:r>
                        <m:r>
                          <a:rPr lang="en-US" sz="1100" b="0" i="1">
                            <a:latin typeface="Cambria Math"/>
                          </a:rPr>
                          <m:t>𝑥</m:t>
                        </m:r>
                      </m:e>
                    </m:d>
                  </m:oMath>
                </m:oMathPara>
              </a14:m>
              <a:endParaRPr lang="en-US" sz="1100" b="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2095500" y="24536400"/>
              <a:ext cx="1692307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𝐶_1</a:t>
              </a:r>
              <a:r>
                <a:rPr lang="en-US" sz="1100" i="0">
                  <a:latin typeface="Cambria Math"/>
                </a:rPr>
                <a:t>=</a:t>
              </a:r>
              <a:r>
                <a:rPr lang="en-US" sz="1100" b="0" i="0">
                  <a:latin typeface="Cambria Math"/>
                </a:rPr>
                <a:t>4186.(1−𝑥)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3</xdr:col>
      <xdr:colOff>3142</xdr:colOff>
      <xdr:row>127</xdr:row>
      <xdr:rowOff>203676</xdr:rowOff>
    </xdr:from>
    <xdr:ext cx="2206658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/>
          </xdr:nvSpPr>
          <xdr:spPr>
            <a:xfrm>
              <a:off x="2155792" y="24968676"/>
              <a:ext cx="220665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h𝑡</m:t>
                        </m:r>
                      </m:sub>
                    </m:sSub>
                    <m:r>
                      <a:rPr lang="en-US" sz="110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+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𝑥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+…+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𝑛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𝑛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2155792" y="24968676"/>
              <a:ext cx="220665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𝐶_ℎ𝑡</a:t>
              </a:r>
              <a:r>
                <a:rPr lang="en-US" sz="1100" i="0">
                  <a:latin typeface="Cambria Math"/>
                </a:rPr>
                <a:t>=</a:t>
              </a:r>
              <a:r>
                <a:rPr lang="en-US" sz="1100" b="0" i="0">
                  <a:latin typeface="Cambria Math"/>
                </a:rPr>
                <a:t>𝐶_1 𝑥_1+𝐶_2 𝑥_𝑥+…+𝐶_𝑛 𝑥_𝑛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609600</xdr:colOff>
      <xdr:row>128</xdr:row>
      <xdr:rowOff>190500</xdr:rowOff>
    </xdr:from>
    <xdr:ext cx="2206658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/>
          </xdr:nvSpPr>
          <xdr:spPr>
            <a:xfrm>
              <a:off x="2000250" y="25165050"/>
              <a:ext cx="220665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2</m:t>
                        </m:r>
                      </m:sub>
                    </m:sSub>
                    <m:r>
                      <a:rPr lang="en-US" sz="110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𝐶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h𝑡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𝑥</m:t>
                    </m:r>
                    <m:r>
                      <a:rPr lang="en-US" sz="1100" b="0" i="1">
                        <a:latin typeface="Cambria Math"/>
                      </a:rPr>
                      <m:t>+4186.(1−</m:t>
                    </m:r>
                    <m:r>
                      <a:rPr lang="en-US" sz="1100" b="0" i="1">
                        <a:latin typeface="Cambria Math"/>
                      </a:rPr>
                      <m:t>𝑥</m:t>
                    </m:r>
                    <m:r>
                      <a:rPr lang="en-US" sz="1100" b="0" i="1">
                        <a:latin typeface="Cambria Math"/>
                      </a:rPr>
                      <m:t>)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2000250" y="25165050"/>
              <a:ext cx="2206658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𝐶_2</a:t>
              </a:r>
              <a:r>
                <a:rPr lang="en-US" sz="1100" i="0">
                  <a:latin typeface="Cambria Math"/>
                </a:rPr>
                <a:t>=</a:t>
              </a:r>
              <a:r>
                <a:rPr lang="en-US" sz="1100" b="0" i="0">
                  <a:latin typeface="Cambria Math"/>
                </a:rPr>
                <a:t>𝐶_ℎ𝑡 𝑥+4186.(1−𝑥)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546067</xdr:colOff>
      <xdr:row>158</xdr:row>
      <xdr:rowOff>108426</xdr:rowOff>
    </xdr:from>
    <xdr:ext cx="3844957" cy="4369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2108167" y="31398051"/>
              <a:ext cx="3844957" cy="4369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/>
                            <a:ea typeface="Cambria Math"/>
                          </a:rPr>
                          <m:t>∝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1</m:t>
                        </m:r>
                      </m:sub>
                    </m:sSub>
                    <m:r>
                      <a:rPr lang="en-US" sz="1100" i="1">
                        <a:latin typeface="Cambria Math"/>
                      </a:rPr>
                      <m:t>=</m:t>
                    </m:r>
                    <m:r>
                      <a:rPr lang="en-US" sz="1100" b="0" i="1">
                        <a:latin typeface="Cambria Math"/>
                      </a:rPr>
                      <m:t>2,04.</m:t>
                    </m:r>
                    <m:r>
                      <a:rPr lang="en-US" sz="1100" b="0" i="1">
                        <a:latin typeface="Cambria Math"/>
                      </a:rPr>
                      <m:t>𝐴</m:t>
                    </m:r>
                    <m:r>
                      <a:rPr lang="en-US" sz="1100" b="0" i="1">
                        <a:latin typeface="Cambria Math"/>
                      </a:rPr>
                      <m:t>.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/>
                          </a:rPr>
                          <m:t>(</m:t>
                        </m:r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/>
                              </a:rPr>
                              <m:t>𝑟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/>
                                <a:ea typeface="Cambria Math"/>
                              </a:rPr>
                              <m:t>∆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  <a:ea typeface="Cambria Math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/>
                                    <a:ea typeface="Cambria Math"/>
                                  </a:rPr>
                                  <m:t>𝑡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/>
                                    <a:ea typeface="Cambria Math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/>
                                <a:ea typeface="Cambria Math"/>
                              </a:rPr>
                              <m:t>.</m:t>
                            </m:r>
                            <m:r>
                              <a:rPr lang="en-US" sz="1100" b="0" i="1">
                                <a:latin typeface="Cambria Math"/>
                                <a:ea typeface="Cambria Math"/>
                              </a:rPr>
                              <m:t>𝐻</m:t>
                            </m:r>
                          </m:den>
                        </m:f>
                        <m:r>
                          <a:rPr lang="en-US" sz="1100" b="0" i="1">
                            <a:latin typeface="Cambria Math"/>
                          </a:rPr>
                          <m:t>)</m:t>
                        </m:r>
                      </m:e>
                      <m:sup>
                        <m:r>
                          <a:rPr lang="en-US" sz="1100" b="0" i="1">
                            <a:latin typeface="Cambria Math"/>
                          </a:rPr>
                          <m:t>0,25</m:t>
                        </m:r>
                      </m:sup>
                    </m:sSup>
                    <m:r>
                      <a:rPr lang="en-US" sz="1100" b="0" i="1">
                        <a:latin typeface="Cambria Math"/>
                      </a:rPr>
                      <m:t> ,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/>
                          </a:rPr>
                          <m:t>𝑊</m:t>
                        </m:r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𝑚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℃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0" name="TextBox 19"/>
            <xdr:cNvSpPr txBox="1"/>
          </xdr:nvSpPr>
          <xdr:spPr>
            <a:xfrm>
              <a:off x="2108167" y="31398051"/>
              <a:ext cx="3844957" cy="4369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i="0">
                  <a:latin typeface="Cambria Math"/>
                  <a:ea typeface="Cambria Math"/>
                </a:rPr>
                <a:t>∝_</a:t>
              </a:r>
              <a:r>
                <a:rPr lang="en-US" sz="1100" b="0" i="0">
                  <a:latin typeface="Cambria Math"/>
                </a:rPr>
                <a:t>1</a:t>
              </a:r>
              <a:r>
                <a:rPr lang="en-US" sz="1100" i="0">
                  <a:latin typeface="Cambria Math"/>
                </a:rPr>
                <a:t>=</a:t>
              </a:r>
              <a:r>
                <a:rPr lang="en-US" sz="1100" b="0" i="0">
                  <a:latin typeface="Cambria Math"/>
                </a:rPr>
                <a:t>2,04.𝐴.〖(𝑟/(</a:t>
              </a:r>
              <a:r>
                <a:rPr lang="en-US" sz="1100" b="0" i="0">
                  <a:latin typeface="Cambria Math"/>
                  <a:ea typeface="Cambria Math"/>
                </a:rPr>
                <a:t>∆𝑡_1.𝐻)</a:t>
              </a:r>
              <a:r>
                <a:rPr lang="en-US" sz="1100" b="0" i="0">
                  <a:latin typeface="Cambria Math"/>
                </a:rPr>
                <a:t>)〗^0,25  ,𝑊/(𝑚^2</a:t>
              </a:r>
              <a:r>
                <a:rPr lang="en-US" sz="1100" b="0" i="0">
                  <a:latin typeface="Cambria Math"/>
                  <a:ea typeface="Cambria Math"/>
                </a:rPr>
                <a:t>℃)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441293</xdr:colOff>
      <xdr:row>172</xdr:row>
      <xdr:rowOff>117951</xdr:rowOff>
    </xdr:from>
    <xdr:ext cx="3035332" cy="4092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441293" y="34360326"/>
              <a:ext cx="3035332" cy="4092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/>
                            <a:ea typeface="Cambria Math"/>
                          </a:rPr>
                          <m:t>∝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2</m:t>
                        </m:r>
                        <m:r>
                          <a:rPr lang="en-US" sz="1100" b="0" i="1">
                            <a:latin typeface="Cambria Math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Cambria Math"/>
                      </a:rPr>
                      <m:t>=</m:t>
                    </m:r>
                    <m:r>
                      <a:rPr lang="en-US" sz="1100" b="0" i="1">
                        <a:latin typeface="Cambria Math"/>
                      </a:rPr>
                      <m:t>45,3.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𝑝</m:t>
                            </m:r>
                            <m:r>
                              <a:rPr lang="en-US" sz="1100" b="0" i="1">
                                <a:latin typeface="Cambria Math"/>
                              </a:rPr>
                              <m:t>′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𝑖</m:t>
                            </m:r>
                          </m:sub>
                        </m:sSub>
                      </m:e>
                      <m:sup>
                        <m:r>
                          <a:rPr lang="en-US" sz="1100" b="0" i="1">
                            <a:latin typeface="Cambria Math"/>
                          </a:rPr>
                          <m:t>0,5</m:t>
                        </m:r>
                      </m:sup>
                    </m:sSup>
                    <m:r>
                      <a:rPr lang="en-US" sz="1100" b="0" i="1">
                        <a:latin typeface="Cambria Math"/>
                      </a:rPr>
                      <m:t>.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∆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  <a:ea typeface="Cambria Math"/>
                              </a:rPr>
                              <m:t>𝑡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  <a:ea typeface="Cambria Math"/>
                              </a:rPr>
                              <m:t>2</m:t>
                            </m:r>
                            <m:r>
                              <a:rPr lang="en-US" sz="1100" b="0" i="1">
                                <a:latin typeface="Cambria Math"/>
                                <a:ea typeface="Cambria Math"/>
                              </a:rPr>
                              <m:t>𝑖</m:t>
                            </m:r>
                          </m:sub>
                        </m:sSub>
                      </m:e>
                      <m:sup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2,33</m:t>
                        </m:r>
                      </m:sup>
                    </m:sSup>
                    <m:r>
                      <a:rPr lang="en-US" sz="1100" b="0" i="1">
                        <a:latin typeface="Cambria Math"/>
                        <a:ea typeface="Cambria Math"/>
                      </a:rPr>
                      <m:t>.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𝜓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 ,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𝑊</m:t>
                        </m:r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/>
                                <a:ea typeface="Cambria Math"/>
                              </a:rPr>
                              <m:t>𝑚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/>
                                <a:ea typeface="Cambria Math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.℃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441293" y="34360326"/>
              <a:ext cx="3035332" cy="4092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i="0">
                  <a:latin typeface="Cambria Math"/>
                  <a:ea typeface="Cambria Math"/>
                </a:rPr>
                <a:t>∝_</a:t>
              </a:r>
              <a:r>
                <a:rPr lang="en-US" sz="1100" b="0" i="0">
                  <a:latin typeface="Cambria Math"/>
                </a:rPr>
                <a:t>2𝑖</a:t>
              </a:r>
              <a:r>
                <a:rPr lang="en-US" sz="1100" i="0">
                  <a:latin typeface="Cambria Math"/>
                </a:rPr>
                <a:t>=</a:t>
              </a:r>
              <a:r>
                <a:rPr lang="en-US" sz="1100" b="0" i="0">
                  <a:latin typeface="Cambria Math"/>
                </a:rPr>
                <a:t>45,3.〖〖𝑝′〗_𝑖〗^0,5.</a:t>
              </a:r>
              <a:r>
                <a:rPr lang="en-US" sz="1100" b="0" i="0">
                  <a:latin typeface="Cambria Math"/>
                  <a:ea typeface="Cambria Math"/>
                </a:rPr>
                <a:t>∆〖𝑡_2𝑖〗^2,33.𝜓 ,𝑊/(𝑚^2.℃)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669893</xdr:colOff>
      <xdr:row>163</xdr:row>
      <xdr:rowOff>165576</xdr:rowOff>
    </xdr:from>
    <xdr:ext cx="2616232" cy="267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 txBox="1"/>
          </xdr:nvSpPr>
          <xdr:spPr>
            <a:xfrm>
              <a:off x="669893" y="32512476"/>
              <a:ext cx="2616232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𝑞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1</m:t>
                        </m:r>
                        <m:r>
                          <a:rPr lang="en-US" sz="1100" b="0" i="1">
                            <a:latin typeface="Cambria Math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/>
                            <a:ea typeface="Cambria Math"/>
                          </a:rPr>
                          <m:t>∝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1</m:t>
                        </m:r>
                        <m:r>
                          <a:rPr lang="en-US" sz="1100" b="0" i="1">
                            <a:latin typeface="Cambria Math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.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/>
                            <a:ea typeface="Cambria Math"/>
                          </a:rPr>
                          <m:t>∆</m:t>
                        </m:r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1</m:t>
                        </m:r>
                        <m:r>
                          <a:rPr lang="en-US" sz="1100" b="0" i="1">
                            <a:latin typeface="Cambria Math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 , </m:t>
                    </m:r>
                    <m:r>
                      <a:rPr lang="en-US" sz="1100" b="0" i="1">
                        <a:latin typeface="Cambria Math"/>
                      </a:rPr>
                      <m:t>𝑊</m:t>
                    </m:r>
                    <m:r>
                      <a:rPr lang="en-US" sz="1100" b="0" i="1">
                        <a:latin typeface="Cambria Math"/>
                      </a:rPr>
                      <m:t>/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/>
                          </a:rPr>
                          <m:t>𝑚</m:t>
                        </m:r>
                      </m:e>
                      <m:sup>
                        <m:r>
                          <a:rPr lang="en-US" sz="1100" b="0" i="1">
                            <a:latin typeface="Cambria Math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2" name="TextBox 21"/>
            <xdr:cNvSpPr txBox="1"/>
          </xdr:nvSpPr>
          <xdr:spPr>
            <a:xfrm>
              <a:off x="669893" y="32512476"/>
              <a:ext cx="2616232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𝑞_1𝑖</a:t>
              </a:r>
              <a:r>
                <a:rPr lang="en-US" sz="1100" i="0">
                  <a:latin typeface="Cambria Math"/>
                </a:rPr>
                <a:t>=</a:t>
              </a:r>
              <a:r>
                <a:rPr lang="en-US" sz="1100" i="0">
                  <a:latin typeface="Cambria Math"/>
                  <a:ea typeface="Cambria Math"/>
                </a:rPr>
                <a:t>∝_</a:t>
              </a:r>
              <a:r>
                <a:rPr lang="en-US" sz="1100" b="0" i="0">
                  <a:latin typeface="Cambria Math"/>
                </a:rPr>
                <a:t>1𝑖.</a:t>
              </a:r>
              <a:r>
                <a:rPr lang="en-US" sz="1100" i="0">
                  <a:latin typeface="Cambria Math"/>
                </a:rPr>
                <a:t>〖</a:t>
              </a:r>
              <a:r>
                <a:rPr lang="en-US" sz="1100" i="0">
                  <a:latin typeface="Cambria Math"/>
                  <a:ea typeface="Cambria Math"/>
                </a:rPr>
                <a:t>∆</a:t>
              </a:r>
              <a:r>
                <a:rPr lang="en-US" sz="1100" b="0" i="0">
                  <a:latin typeface="Cambria Math"/>
                  <a:ea typeface="Cambria Math"/>
                </a:rPr>
                <a:t>𝑡〗_</a:t>
              </a:r>
              <a:r>
                <a:rPr lang="en-US" sz="1100" b="0" i="0">
                  <a:latin typeface="Cambria Math"/>
                </a:rPr>
                <a:t>1𝑖  , 𝑊/𝑚^2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298418</xdr:colOff>
      <xdr:row>181</xdr:row>
      <xdr:rowOff>108426</xdr:rowOff>
    </xdr:from>
    <xdr:ext cx="2597182" cy="5093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22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 txBox="1"/>
          </xdr:nvSpPr>
          <xdr:spPr>
            <a:xfrm>
              <a:off x="2841593" y="36236751"/>
              <a:ext cx="2597182" cy="5093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a:rPr lang="en-US" sz="1100" b="0" i="1">
                            <a:latin typeface="Cambria Math"/>
                          </a:rPr>
                          <m:t>𝑟</m:t>
                        </m:r>
                      </m:e>
                    </m:nary>
                    <m:r>
                      <a:rPr lang="en-US" sz="110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𝑟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𝑟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+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𝛿</m:t>
                        </m:r>
                      </m:num>
                      <m:den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𝜆</m:t>
                        </m:r>
                      </m:den>
                    </m:f>
                    <m:r>
                      <a:rPr lang="en-US" sz="1100" b="0" i="1">
                        <a:latin typeface="Cambria Math"/>
                      </a:rPr>
                      <m:t> , 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𝛿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=2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𝑚𝑚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3" name="TextBox 22"/>
            <xdr:cNvSpPr txBox="1"/>
          </xdr:nvSpPr>
          <xdr:spPr>
            <a:xfrm>
              <a:off x="2841593" y="36236751"/>
              <a:ext cx="2597182" cy="5093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i="0">
                  <a:latin typeface="Cambria Math"/>
                </a:rPr>
                <a:t>∑▒</a:t>
              </a:r>
              <a:r>
                <a:rPr lang="en-US" sz="1100" b="0" i="0">
                  <a:latin typeface="Cambria Math"/>
                </a:rPr>
                <a:t>𝑟</a:t>
              </a:r>
              <a:r>
                <a:rPr lang="en-US" sz="1100" i="0">
                  <a:latin typeface="Cambria Math"/>
                </a:rPr>
                <a:t>=</a:t>
              </a:r>
              <a:r>
                <a:rPr lang="en-US" sz="1100" b="0" i="0">
                  <a:latin typeface="Cambria Math"/>
                </a:rPr>
                <a:t>𝑟_1+𝑟_2+</a:t>
              </a:r>
              <a:r>
                <a:rPr lang="en-US" sz="1100" b="0" i="0">
                  <a:latin typeface="Cambria Math"/>
                  <a:ea typeface="Cambria Math"/>
                </a:rPr>
                <a:t>𝛿/𝜆 </a:t>
              </a:r>
              <a:r>
                <a:rPr lang="en-US" sz="1100" b="0" i="0">
                  <a:latin typeface="Cambria Math"/>
                </a:rPr>
                <a:t> , </a:t>
              </a:r>
              <a:r>
                <a:rPr lang="en-US" sz="1100" b="0" i="0">
                  <a:latin typeface="Cambria Math"/>
                  <a:ea typeface="Cambria Math"/>
                </a:rPr>
                <a:t>𝛿=2𝑚𝑚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574642</xdr:colOff>
      <xdr:row>198</xdr:row>
      <xdr:rowOff>175100</xdr:rowOff>
    </xdr:from>
    <xdr:ext cx="2120933" cy="436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2136742" y="39865775"/>
              <a:ext cx="2120933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/>
                        <a:ea typeface="Cambria Math"/>
                      </a:rPr>
                      <m:t>𝜆</m:t>
                    </m:r>
                    <m:r>
                      <a:rPr lang="en-US" sz="1100" i="1">
                        <a:latin typeface="Cambria Math"/>
                      </a:rPr>
                      <m:t>=</m:t>
                    </m:r>
                    <m:r>
                      <a:rPr lang="en-US" sz="1100" b="0" i="1">
                        <a:latin typeface="Cambria Math"/>
                      </a:rPr>
                      <m:t>𝐴</m:t>
                    </m:r>
                    <m:r>
                      <a:rPr lang="en-US" sz="1100" b="0" i="1">
                        <a:latin typeface="Cambria Math"/>
                      </a:rPr>
                      <m:t>.</m:t>
                    </m:r>
                    <m:r>
                      <a:rPr lang="en-US" sz="1100" b="0" i="1">
                        <a:latin typeface="Cambria Math"/>
                      </a:rPr>
                      <m:t>𝐶</m:t>
                    </m:r>
                    <m:r>
                      <a:rPr lang="en-US" sz="1100" b="0" i="1">
                        <a:latin typeface="Cambria Math"/>
                      </a:rPr>
                      <m:t>.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𝜌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.</m:t>
                    </m:r>
                    <m:rad>
                      <m:rad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radPr>
                      <m:deg>
                        <m:r>
                          <m:rPr>
                            <m:brk m:alnAt="7"/>
                          </m:rPr>
                          <a:rPr lang="en-US" sz="1100" b="0" i="1">
                            <a:latin typeface="Cambria Math"/>
                            <a:ea typeface="Cambria Math"/>
                          </a:rPr>
                          <m:t>3</m:t>
                        </m:r>
                      </m:deg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/>
                                <a:ea typeface="Cambria Math"/>
                              </a:rPr>
                              <m:t>𝜌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/>
                                <a:ea typeface="Cambria Math"/>
                              </a:rPr>
                              <m:t>𝑀</m:t>
                            </m:r>
                          </m:den>
                        </m:f>
                      </m:e>
                    </m:rad>
                    <m:r>
                      <a:rPr lang="en-US" sz="1100" b="0" i="1">
                        <a:latin typeface="Cambria Math"/>
                        <a:ea typeface="Cambria Math"/>
                      </a:rPr>
                      <m:t>,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𝑊</m:t>
                        </m:r>
                      </m:num>
                      <m:den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𝑚</m:t>
                        </m:r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℃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4" name="TextBox 23"/>
            <xdr:cNvSpPr txBox="1"/>
          </xdr:nvSpPr>
          <xdr:spPr>
            <a:xfrm>
              <a:off x="2136742" y="39865775"/>
              <a:ext cx="2120933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i="0">
                  <a:latin typeface="Cambria Math"/>
                  <a:ea typeface="Cambria Math"/>
                </a:rPr>
                <a:t>𝜆</a:t>
              </a:r>
              <a:r>
                <a:rPr lang="en-US" sz="1100" i="0">
                  <a:latin typeface="Cambria Math"/>
                </a:rPr>
                <a:t>=</a:t>
              </a:r>
              <a:r>
                <a:rPr lang="en-US" sz="1100" b="0" i="0">
                  <a:latin typeface="Cambria Math"/>
                </a:rPr>
                <a:t>𝐴.𝐶.</a:t>
              </a:r>
              <a:r>
                <a:rPr lang="en-US" sz="1100" b="0" i="0">
                  <a:latin typeface="Cambria Math"/>
                  <a:ea typeface="Cambria Math"/>
                </a:rPr>
                <a:t>𝜌.√(3&amp;𝜌/𝑀),𝑊/(𝑚℃)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298417</xdr:colOff>
      <xdr:row>211</xdr:row>
      <xdr:rowOff>137001</xdr:rowOff>
    </xdr:from>
    <xdr:ext cx="4321208" cy="5690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/>
          </xdr:nvSpPr>
          <xdr:spPr>
            <a:xfrm>
              <a:off x="1860517" y="42551826"/>
              <a:ext cx="4321208" cy="5690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/>
                            <a:ea typeface="Cambria Math"/>
                          </a:rPr>
                          <m:t>𝜓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Cambria Math"/>
                      </a:rPr>
                      <m:t>=</m:t>
                    </m:r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/>
                          </a:rPr>
                          <m:t>(</m:t>
                        </m:r>
                        <m:f>
                          <m:f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latin typeface="Cambria Math"/>
                                    <a:ea typeface="Cambria Math"/>
                                  </a:rPr>
                                  <m:t>𝜆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/>
                                  </a:rPr>
                                  <m:t>𝑑𝑑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latin typeface="Cambria Math"/>
                                    <a:ea typeface="Cambria Math"/>
                                  </a:rPr>
                                  <m:t>𝜆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/>
                                  </a:rPr>
                                  <m:t>𝑛𝑐</m:t>
                                </m:r>
                              </m:sub>
                            </m:sSub>
                          </m:den>
                        </m:f>
                        <m:r>
                          <a:rPr lang="en-US" sz="1100" b="0" i="1">
                            <a:latin typeface="Cambria Math"/>
                          </a:rPr>
                          <m:t>)</m:t>
                        </m:r>
                      </m:e>
                      <m:sup>
                        <m:r>
                          <a:rPr lang="en-US" sz="1100" b="0" i="1">
                            <a:latin typeface="Cambria Math"/>
                          </a:rPr>
                          <m:t>0,565</m:t>
                        </m:r>
                      </m:sup>
                    </m:sSup>
                    <m:r>
                      <a:rPr lang="en-US" sz="1100" b="0" i="1">
                        <a:latin typeface="Cambria Math"/>
                      </a:rPr>
                      <m:t>.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f>
                                      <m:f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fPr>
                                      <m:num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latin typeface="Cambria Math"/>
                                                <a:ea typeface="Cambria Math"/>
                                              </a:rPr>
                                              <m:t>𝜌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latin typeface="Cambria Math"/>
                                              </a:rPr>
                                              <m:t>𝑑𝑑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latin typeface="Cambria Math"/>
                                                <a:ea typeface="Cambria Math"/>
                                              </a:rPr>
                                              <m:t>𝜌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latin typeface="Cambria Math"/>
                                              </a:rPr>
                                              <m:t>𝑛𝑐</m:t>
                                            </m:r>
                                          </m:sub>
                                        </m:sSub>
                                      </m:den>
                                    </m:f>
                                  </m:e>
                                </m:d>
                              </m:e>
                              <m:sup>
                                <m:r>
                                  <a:rPr lang="en-US" sz="1100" b="0" i="1">
                                    <a:latin typeface="Cambria Math"/>
                                  </a:rPr>
                                  <m:t>2</m:t>
                                </m:r>
                              </m:sup>
                            </m:sSup>
                            <m:d>
                              <m:d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𝐶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𝑑𝑑</m:t>
                                        </m:r>
                                      </m:sub>
                                    </m:sSub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𝐶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𝑛𝑐</m:t>
                                        </m:r>
                                      </m:sub>
                                    </m:sSub>
                                  </m:den>
                                </m:f>
                              </m:e>
                            </m:d>
                            <m:d>
                              <m:d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latin typeface="Cambria Math"/>
                                            <a:ea typeface="Cambria Math"/>
                                          </a:rPr>
                                          <m:t>𝜇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𝑛𝑐</m:t>
                                        </m:r>
                                      </m:sub>
                                    </m:sSub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latin typeface="Cambria Math"/>
                                            <a:ea typeface="Cambria Math"/>
                                          </a:rPr>
                                          <m:t>𝜇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𝑑𝑑</m:t>
                                        </m:r>
                                      </m:sub>
                                    </m:sSub>
                                  </m:den>
                                </m:f>
                              </m:e>
                            </m:d>
                          </m:e>
                        </m:d>
                      </m:e>
                      <m:sup>
                        <m:r>
                          <a:rPr lang="en-US" sz="1100" b="0" i="1">
                            <a:latin typeface="Cambria Math"/>
                          </a:rPr>
                          <m:t>0,435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1860517" y="42551826"/>
              <a:ext cx="4321208" cy="5690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i="0">
                  <a:latin typeface="Cambria Math"/>
                  <a:ea typeface="Cambria Math"/>
                </a:rPr>
                <a:t>𝜓_</a:t>
              </a:r>
              <a:r>
                <a:rPr lang="en-US" sz="1100" b="0" i="0">
                  <a:latin typeface="Cambria Math"/>
                </a:rPr>
                <a:t>𝑖</a:t>
              </a:r>
              <a:r>
                <a:rPr lang="en-US" sz="1100" i="0">
                  <a:latin typeface="Cambria Math"/>
                </a:rPr>
                <a:t>=〖</a:t>
              </a:r>
              <a:r>
                <a:rPr lang="en-US" sz="1100" b="0" i="0">
                  <a:latin typeface="Cambria Math"/>
                </a:rPr>
                <a:t>(</a:t>
              </a:r>
              <a:r>
                <a:rPr lang="en-US" sz="1100" i="0">
                  <a:latin typeface="Cambria Math"/>
                  <a:ea typeface="Cambria Math"/>
                </a:rPr>
                <a:t>𝜆_</a:t>
              </a:r>
              <a:r>
                <a:rPr lang="en-US" sz="1100" b="0" i="0">
                  <a:latin typeface="Cambria Math"/>
                </a:rPr>
                <a:t>𝑑𝑑/</a:t>
              </a:r>
              <a:r>
                <a:rPr lang="en-US" sz="1100" i="0">
                  <a:latin typeface="Cambria Math"/>
                  <a:ea typeface="Cambria Math"/>
                </a:rPr>
                <a:t>𝜆_</a:t>
              </a:r>
              <a:r>
                <a:rPr lang="en-US" sz="1100" b="0" i="0">
                  <a:latin typeface="Cambria Math"/>
                </a:rPr>
                <a:t>𝑛𝑐 )〗^0,565.[(</a:t>
              </a:r>
              <a:r>
                <a:rPr lang="en-US" sz="1100" b="0" i="0">
                  <a:latin typeface="Cambria Math"/>
                  <a:ea typeface="Cambria Math"/>
                </a:rPr>
                <a:t>𝜌_</a:t>
              </a:r>
              <a:r>
                <a:rPr lang="en-US" sz="1100" b="0" i="0">
                  <a:latin typeface="Cambria Math"/>
                </a:rPr>
                <a:t>𝑑𝑑/</a:t>
              </a:r>
              <a:r>
                <a:rPr lang="en-US" sz="1100" b="0" i="0">
                  <a:latin typeface="Cambria Math"/>
                  <a:ea typeface="Cambria Math"/>
                </a:rPr>
                <a:t>𝜌_</a:t>
              </a:r>
              <a:r>
                <a:rPr lang="en-US" sz="1100" b="0" i="0">
                  <a:latin typeface="Cambria Math"/>
                </a:rPr>
                <a:t>𝑛𝑐 )^2 (𝐶_𝑑𝑑/𝐶_𝑛𝑐 )(</a:t>
              </a:r>
              <a:r>
                <a:rPr lang="en-US" sz="1100" b="0" i="0">
                  <a:latin typeface="Cambria Math"/>
                  <a:ea typeface="Cambria Math"/>
                </a:rPr>
                <a:t>𝜇_</a:t>
              </a:r>
              <a:r>
                <a:rPr lang="en-US" sz="1100" b="0" i="0">
                  <a:latin typeface="Cambria Math"/>
                </a:rPr>
                <a:t>𝑛𝑐/</a:t>
              </a:r>
              <a:r>
                <a:rPr lang="en-US" sz="1100" b="0" i="0">
                  <a:latin typeface="Cambria Math"/>
                  <a:ea typeface="Cambria Math"/>
                </a:rPr>
                <a:t>𝜇_</a:t>
              </a:r>
              <a:r>
                <a:rPr lang="en-US" sz="1100" b="0" i="0">
                  <a:latin typeface="Cambria Math"/>
                </a:rPr>
                <a:t>𝑑𝑑 )]^0,435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38100</xdr:colOff>
      <xdr:row>219</xdr:row>
      <xdr:rowOff>200025</xdr:rowOff>
    </xdr:from>
    <xdr:ext cx="2120933" cy="436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 txBox="1"/>
          </xdr:nvSpPr>
          <xdr:spPr>
            <a:xfrm>
              <a:off x="2581275" y="44291250"/>
              <a:ext cx="2120933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/>
                        <a:ea typeface="Cambria Math"/>
                      </a:rPr>
                      <m:t>𝜆</m:t>
                    </m:r>
                    <m:r>
                      <a:rPr lang="en-US" sz="1100" i="1">
                        <a:latin typeface="Cambria Math"/>
                      </a:rPr>
                      <m:t>=</m:t>
                    </m:r>
                    <m:r>
                      <a:rPr lang="en-US" sz="1100" b="0" i="1">
                        <a:latin typeface="Cambria Math"/>
                      </a:rPr>
                      <m:t>𝐴</m:t>
                    </m:r>
                    <m:r>
                      <a:rPr lang="en-US" sz="1100" b="0" i="1">
                        <a:latin typeface="Cambria Math"/>
                      </a:rPr>
                      <m:t>.</m:t>
                    </m:r>
                    <m:r>
                      <a:rPr lang="en-US" sz="1100" b="0" i="1">
                        <a:latin typeface="Cambria Math"/>
                      </a:rPr>
                      <m:t>𝐶</m:t>
                    </m:r>
                    <m:r>
                      <a:rPr lang="en-US" sz="1100" b="0" i="1">
                        <a:latin typeface="Cambria Math"/>
                      </a:rPr>
                      <m:t>.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𝜌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.</m:t>
                    </m:r>
                    <m:rad>
                      <m:rad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radPr>
                      <m:deg>
                        <m:r>
                          <m:rPr>
                            <m:brk m:alnAt="7"/>
                          </m:rPr>
                          <a:rPr lang="en-US" sz="1100" b="0" i="1">
                            <a:latin typeface="Cambria Math"/>
                            <a:ea typeface="Cambria Math"/>
                          </a:rPr>
                          <m:t>3</m:t>
                        </m:r>
                      </m:deg>
                      <m:e>
                        <m:f>
                          <m:f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fPr>
                          <m:num>
                            <m:r>
                              <a:rPr lang="en-US" sz="1100" b="0" i="1">
                                <a:latin typeface="Cambria Math"/>
                                <a:ea typeface="Cambria Math"/>
                              </a:rPr>
                              <m:t>𝜌</m:t>
                            </m:r>
                          </m:num>
                          <m:den>
                            <m:r>
                              <a:rPr lang="en-US" sz="1100" b="0" i="1">
                                <a:latin typeface="Cambria Math"/>
                                <a:ea typeface="Cambria Math"/>
                              </a:rPr>
                              <m:t>𝑀</m:t>
                            </m:r>
                          </m:den>
                        </m:f>
                      </m:e>
                    </m:rad>
                    <m:r>
                      <a:rPr lang="en-US" sz="1100" b="0" i="1">
                        <a:latin typeface="Cambria Math"/>
                        <a:ea typeface="Cambria Math"/>
                      </a:rPr>
                      <m:t>,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𝑊</m:t>
                        </m:r>
                      </m:num>
                      <m:den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𝑚</m:t>
                        </m:r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℃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5" name="TextBox 24"/>
            <xdr:cNvSpPr txBox="1"/>
          </xdr:nvSpPr>
          <xdr:spPr>
            <a:xfrm>
              <a:off x="2581275" y="44291250"/>
              <a:ext cx="2120933" cy="436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latin typeface="Cambria Math"/>
                  <a:ea typeface="Cambria Math"/>
                </a:rPr>
                <a:t>𝜆</a:t>
              </a:r>
              <a:r>
                <a:rPr lang="en-US" sz="1100" i="0">
                  <a:latin typeface="Cambria Math"/>
                </a:rPr>
                <a:t>=</a:t>
              </a:r>
              <a:r>
                <a:rPr lang="en-US" sz="1100" b="0" i="0">
                  <a:latin typeface="Cambria Math"/>
                </a:rPr>
                <a:t>𝐴.𝐶.</a:t>
              </a:r>
              <a:r>
                <a:rPr lang="en-US" sz="1100" b="0" i="0">
                  <a:latin typeface="Cambria Math"/>
                  <a:ea typeface="Cambria Math"/>
                </a:rPr>
                <a:t>𝜌.∛(𝜌/𝑀),𝑊/(𝑚℃)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238125</xdr:colOff>
      <xdr:row>231</xdr:row>
      <xdr:rowOff>190500</xdr:rowOff>
    </xdr:from>
    <xdr:ext cx="4321208" cy="5690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 txBox="1"/>
          </xdr:nvSpPr>
          <xdr:spPr>
            <a:xfrm>
              <a:off x="1800225" y="46796325"/>
              <a:ext cx="4321208" cy="5690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/>
                            <a:ea typeface="Cambria Math"/>
                          </a:rPr>
                          <m:t>𝜓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Cambria Math"/>
                      </a:rPr>
                      <m:t>=</m:t>
                    </m:r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/>
                          </a:rPr>
                          <m:t>(</m:t>
                        </m:r>
                        <m:f>
                          <m:f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latin typeface="Cambria Math"/>
                                    <a:ea typeface="Cambria Math"/>
                                  </a:rPr>
                                  <m:t>𝜆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/>
                                  </a:rPr>
                                  <m:t>𝑑𝑑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latin typeface="Cambria Math"/>
                                    <a:ea typeface="Cambria Math"/>
                                  </a:rPr>
                                  <m:t>𝜆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/>
                                  </a:rPr>
                                  <m:t>𝑛𝑐</m:t>
                                </m:r>
                              </m:sub>
                            </m:sSub>
                          </m:den>
                        </m:f>
                        <m:r>
                          <a:rPr lang="en-US" sz="1100" b="0" i="1">
                            <a:latin typeface="Cambria Math"/>
                          </a:rPr>
                          <m:t>)</m:t>
                        </m:r>
                      </m:e>
                      <m:sup>
                        <m:r>
                          <a:rPr lang="en-US" sz="1100" b="0" i="1">
                            <a:latin typeface="Cambria Math"/>
                          </a:rPr>
                          <m:t>0,565</m:t>
                        </m:r>
                      </m:sup>
                    </m:sSup>
                    <m:r>
                      <a:rPr lang="en-US" sz="1100" b="0" i="1">
                        <a:latin typeface="Cambria Math"/>
                      </a:rPr>
                      <m:t>.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d>
                                  <m:d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f>
                                      <m:f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fPr>
                                      <m:num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latin typeface="Cambria Math"/>
                                                <a:ea typeface="Cambria Math"/>
                                              </a:rPr>
                                              <m:t>𝜌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latin typeface="Cambria Math"/>
                                              </a:rPr>
                                              <m:t>𝑑𝑑</m:t>
                                            </m:r>
                                          </m:sub>
                                        </m:sSub>
                                      </m:num>
                                      <m:den>
                                        <m:sSub>
                                          <m:sSubPr>
                                            <m:ctrlPr>
                                              <a:rPr lang="en-US" sz="1100" b="0" i="1">
                                                <a:latin typeface="Cambria Math" panose="02040503050406030204" pitchFamily="18" charset="0"/>
                                              </a:rPr>
                                            </m:ctrlPr>
                                          </m:sSubPr>
                                          <m:e>
                                            <m:r>
                                              <a:rPr lang="en-US" sz="1100" b="0" i="1">
                                                <a:latin typeface="Cambria Math"/>
                                                <a:ea typeface="Cambria Math"/>
                                              </a:rPr>
                                              <m:t>𝜌</m:t>
                                            </m:r>
                                          </m:e>
                                          <m:sub>
                                            <m:r>
                                              <a:rPr lang="en-US" sz="1100" b="0" i="1">
                                                <a:latin typeface="Cambria Math"/>
                                              </a:rPr>
                                              <m:t>𝑛𝑐</m:t>
                                            </m:r>
                                          </m:sub>
                                        </m:sSub>
                                      </m:den>
                                    </m:f>
                                  </m:e>
                                </m:d>
                              </m:e>
                              <m:sup>
                                <m:r>
                                  <a:rPr lang="en-US" sz="1100" b="0" i="1">
                                    <a:latin typeface="Cambria Math"/>
                                  </a:rPr>
                                  <m:t>2</m:t>
                                </m:r>
                              </m:sup>
                            </m:sSup>
                            <m:d>
                              <m:d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𝐶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𝑑𝑑</m:t>
                                        </m:r>
                                      </m:sub>
                                    </m:sSub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𝐶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𝑛𝑐</m:t>
                                        </m:r>
                                      </m:sub>
                                    </m:sSub>
                                  </m:den>
                                </m:f>
                              </m:e>
                            </m:d>
                            <m:d>
                              <m:d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sSub>
                                      <m:sSub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latin typeface="Cambria Math"/>
                                            <a:ea typeface="Cambria Math"/>
                                          </a:rPr>
                                          <m:t>𝜇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𝑛𝑐</m:t>
                                        </m:r>
                                      </m:sub>
                                    </m:sSub>
                                  </m:num>
                                  <m:den>
                                    <m:sSub>
                                      <m:sSubPr>
                                        <m:ctrlPr>
                                          <a:rPr lang="en-US" sz="1100" b="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b="0" i="1">
                                            <a:latin typeface="Cambria Math"/>
                                            <a:ea typeface="Cambria Math"/>
                                          </a:rPr>
                                          <m:t>𝜇</m:t>
                                        </m:r>
                                      </m:e>
                                      <m:sub>
                                        <m:r>
                                          <a:rPr lang="en-US" sz="1100" b="0" i="1">
                                            <a:latin typeface="Cambria Math"/>
                                          </a:rPr>
                                          <m:t>𝑑𝑑</m:t>
                                        </m:r>
                                      </m:sub>
                                    </m:sSub>
                                  </m:den>
                                </m:f>
                              </m:e>
                            </m:d>
                          </m:e>
                        </m:d>
                      </m:e>
                      <m:sup>
                        <m:r>
                          <a:rPr lang="en-US" sz="1100" b="0" i="1">
                            <a:latin typeface="Cambria Math"/>
                          </a:rPr>
                          <m:t>0,435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6" name="TextBox 25"/>
            <xdr:cNvSpPr txBox="1"/>
          </xdr:nvSpPr>
          <xdr:spPr>
            <a:xfrm>
              <a:off x="1800225" y="46796325"/>
              <a:ext cx="4321208" cy="5690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i="0">
                  <a:latin typeface="Cambria Math"/>
                  <a:ea typeface="Cambria Math"/>
                </a:rPr>
                <a:t>𝜓_</a:t>
              </a:r>
              <a:r>
                <a:rPr lang="en-US" sz="1100" b="0" i="0">
                  <a:latin typeface="Cambria Math"/>
                </a:rPr>
                <a:t>𝑖</a:t>
              </a:r>
              <a:r>
                <a:rPr lang="en-US" sz="1100" i="0">
                  <a:latin typeface="Cambria Math"/>
                </a:rPr>
                <a:t>=〖</a:t>
              </a:r>
              <a:r>
                <a:rPr lang="en-US" sz="1100" b="0" i="0">
                  <a:latin typeface="Cambria Math"/>
                </a:rPr>
                <a:t>(</a:t>
              </a:r>
              <a:r>
                <a:rPr lang="en-US" sz="1100" i="0">
                  <a:latin typeface="Cambria Math"/>
                  <a:ea typeface="Cambria Math"/>
                </a:rPr>
                <a:t>𝜆_</a:t>
              </a:r>
              <a:r>
                <a:rPr lang="en-US" sz="1100" b="0" i="0">
                  <a:latin typeface="Cambria Math"/>
                </a:rPr>
                <a:t>𝑑𝑑/</a:t>
              </a:r>
              <a:r>
                <a:rPr lang="en-US" sz="1100" i="0">
                  <a:latin typeface="Cambria Math"/>
                  <a:ea typeface="Cambria Math"/>
                </a:rPr>
                <a:t>𝜆_</a:t>
              </a:r>
              <a:r>
                <a:rPr lang="en-US" sz="1100" b="0" i="0">
                  <a:latin typeface="Cambria Math"/>
                </a:rPr>
                <a:t>𝑛𝑐 )〗^0,565.[(</a:t>
              </a:r>
              <a:r>
                <a:rPr lang="en-US" sz="1100" b="0" i="0">
                  <a:latin typeface="Cambria Math"/>
                  <a:ea typeface="Cambria Math"/>
                </a:rPr>
                <a:t>𝜌_</a:t>
              </a:r>
              <a:r>
                <a:rPr lang="en-US" sz="1100" b="0" i="0">
                  <a:latin typeface="Cambria Math"/>
                </a:rPr>
                <a:t>𝑑𝑑/</a:t>
              </a:r>
              <a:r>
                <a:rPr lang="en-US" sz="1100" b="0" i="0">
                  <a:latin typeface="Cambria Math"/>
                  <a:ea typeface="Cambria Math"/>
                </a:rPr>
                <a:t>𝜌_</a:t>
              </a:r>
              <a:r>
                <a:rPr lang="en-US" sz="1100" b="0" i="0">
                  <a:latin typeface="Cambria Math"/>
                </a:rPr>
                <a:t>𝑛𝑐 )^2 (𝐶_𝑑𝑑/𝐶_𝑛𝑐 )(</a:t>
              </a:r>
              <a:r>
                <a:rPr lang="en-US" sz="1100" b="0" i="0">
                  <a:latin typeface="Cambria Math"/>
                  <a:ea typeface="Cambria Math"/>
                </a:rPr>
                <a:t>𝜇_</a:t>
              </a:r>
              <a:r>
                <a:rPr lang="en-US" sz="1100" b="0" i="0">
                  <a:latin typeface="Cambria Math"/>
                </a:rPr>
                <a:t>𝑛𝑐/</a:t>
              </a:r>
              <a:r>
                <a:rPr lang="en-US" sz="1100" b="0" i="0">
                  <a:latin typeface="Cambria Math"/>
                  <a:ea typeface="Cambria Math"/>
                </a:rPr>
                <a:t>𝜇_</a:t>
              </a:r>
              <a:r>
                <a:rPr lang="en-US" sz="1100" b="0" i="0">
                  <a:latin typeface="Cambria Math"/>
                </a:rPr>
                <a:t>𝑑𝑑 )]^0,435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628650</xdr:colOff>
      <xdr:row>236</xdr:row>
      <xdr:rowOff>9525</xdr:rowOff>
    </xdr:from>
    <xdr:ext cx="3035332" cy="4092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 txBox="1"/>
          </xdr:nvSpPr>
          <xdr:spPr>
            <a:xfrm>
              <a:off x="1419225" y="47663100"/>
              <a:ext cx="3035332" cy="4092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/>
                            <a:ea typeface="Cambria Math"/>
                          </a:rPr>
                          <m:t>∝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2</m:t>
                        </m:r>
                        <m:r>
                          <a:rPr lang="en-US" sz="1100" b="0" i="1">
                            <a:latin typeface="Cambria Math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Cambria Math"/>
                      </a:rPr>
                      <m:t>=</m:t>
                    </m:r>
                    <m:r>
                      <a:rPr lang="en-US" sz="1100" b="0" i="1">
                        <a:latin typeface="Cambria Math"/>
                      </a:rPr>
                      <m:t>45,3.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𝑝</m:t>
                            </m:r>
                            <m:r>
                              <a:rPr lang="en-US" sz="1100" b="0" i="1">
                                <a:latin typeface="Cambria Math"/>
                              </a:rPr>
                              <m:t>′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𝑖</m:t>
                            </m:r>
                          </m:sub>
                        </m:sSub>
                      </m:e>
                      <m:sup>
                        <m:r>
                          <a:rPr lang="en-US" sz="1100" b="0" i="1">
                            <a:latin typeface="Cambria Math"/>
                          </a:rPr>
                          <m:t>0,5</m:t>
                        </m:r>
                      </m:sup>
                    </m:sSup>
                    <m:r>
                      <a:rPr lang="en-US" sz="1100" b="0" i="1">
                        <a:latin typeface="Cambria Math"/>
                      </a:rPr>
                      <m:t>.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∆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  <a:ea typeface="Cambria Math"/>
                              </a:rPr>
                              <m:t>𝑡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  <a:ea typeface="Cambria Math"/>
                              </a:rPr>
                              <m:t>2</m:t>
                            </m:r>
                            <m:r>
                              <a:rPr lang="en-US" sz="1100" b="0" i="1">
                                <a:latin typeface="Cambria Math"/>
                                <a:ea typeface="Cambria Math"/>
                              </a:rPr>
                              <m:t>𝑖</m:t>
                            </m:r>
                          </m:sub>
                        </m:sSub>
                      </m:e>
                      <m:sup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2,33</m:t>
                        </m:r>
                      </m:sup>
                    </m:sSup>
                    <m:r>
                      <a:rPr lang="en-US" sz="1100" b="0" i="1">
                        <a:latin typeface="Cambria Math"/>
                        <a:ea typeface="Cambria Math"/>
                      </a:rPr>
                      <m:t>.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𝜓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 ,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𝑊</m:t>
                        </m:r>
                      </m:num>
                      <m:den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/>
                                <a:ea typeface="Cambria Math"/>
                              </a:rPr>
                              <m:t>𝑚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/>
                                <a:ea typeface="Cambria Math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.℃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7" name="TextBox 26"/>
            <xdr:cNvSpPr txBox="1"/>
          </xdr:nvSpPr>
          <xdr:spPr>
            <a:xfrm>
              <a:off x="1419225" y="47663100"/>
              <a:ext cx="3035332" cy="4092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latin typeface="Cambria Math"/>
                  <a:ea typeface="Cambria Math"/>
                </a:rPr>
                <a:t>∝_</a:t>
              </a:r>
              <a:r>
                <a:rPr lang="en-US" sz="1100" b="0" i="0">
                  <a:latin typeface="Cambria Math"/>
                </a:rPr>
                <a:t>2𝑖</a:t>
              </a:r>
              <a:r>
                <a:rPr lang="en-US" sz="1100" i="0">
                  <a:latin typeface="Cambria Math"/>
                </a:rPr>
                <a:t>=</a:t>
              </a:r>
              <a:r>
                <a:rPr lang="en-US" sz="1100" b="0" i="0">
                  <a:latin typeface="Cambria Math"/>
                </a:rPr>
                <a:t>45,3.〖〖𝑝′〗_𝑖〗^0,5.</a:t>
              </a:r>
              <a:r>
                <a:rPr lang="en-US" sz="1100" b="0" i="0">
                  <a:latin typeface="Cambria Math"/>
                  <a:ea typeface="Cambria Math"/>
                </a:rPr>
                <a:t>∆〖𝑡_2𝑖〗^2,33.𝜓 ,𝑊/(𝑚^2.℃)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523875</xdr:colOff>
      <xdr:row>240</xdr:row>
      <xdr:rowOff>152400</xdr:rowOff>
    </xdr:from>
    <xdr:ext cx="2616232" cy="267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 txBox="1"/>
          </xdr:nvSpPr>
          <xdr:spPr>
            <a:xfrm>
              <a:off x="523875" y="48644175"/>
              <a:ext cx="2616232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𝑞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2</m:t>
                        </m:r>
                        <m:r>
                          <a:rPr lang="en-US" sz="1100" b="0" i="1">
                            <a:latin typeface="Cambria Math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/>
                            <a:ea typeface="Cambria Math"/>
                          </a:rPr>
                          <m:t>∝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2</m:t>
                        </m:r>
                        <m:r>
                          <a:rPr lang="en-US" sz="1100" b="0" i="1">
                            <a:latin typeface="Cambria Math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.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/>
                            <a:ea typeface="Cambria Math"/>
                          </a:rPr>
                          <m:t>∆</m:t>
                        </m:r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2</m:t>
                        </m:r>
                        <m:r>
                          <a:rPr lang="en-US" sz="1100" b="0" i="1">
                            <a:latin typeface="Cambria Math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 , </m:t>
                    </m:r>
                    <m:r>
                      <a:rPr lang="en-US" sz="1100" b="0" i="1">
                        <a:latin typeface="Cambria Math"/>
                      </a:rPr>
                      <m:t>𝑊</m:t>
                    </m:r>
                    <m:r>
                      <a:rPr lang="en-US" sz="1100" b="0" i="1">
                        <a:latin typeface="Cambria Math"/>
                      </a:rPr>
                      <m:t>/</m:t>
                    </m:r>
                    <m:sSup>
                      <m:s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/>
                          </a:rPr>
                          <m:t>𝑚</m:t>
                        </m:r>
                      </m:e>
                      <m:sup>
                        <m:r>
                          <a:rPr lang="en-US" sz="1100" b="0" i="1">
                            <a:latin typeface="Cambria Math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8" name="TextBox 27"/>
            <xdr:cNvSpPr txBox="1"/>
          </xdr:nvSpPr>
          <xdr:spPr>
            <a:xfrm>
              <a:off x="523875" y="48644175"/>
              <a:ext cx="2616232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𝑞_2𝑖</a:t>
              </a:r>
              <a:r>
                <a:rPr lang="en-US" sz="1100" i="0">
                  <a:latin typeface="Cambria Math"/>
                </a:rPr>
                <a:t>=</a:t>
              </a:r>
              <a:r>
                <a:rPr lang="en-US" sz="1100" i="0">
                  <a:latin typeface="Cambria Math"/>
                  <a:ea typeface="Cambria Math"/>
                </a:rPr>
                <a:t>∝_</a:t>
              </a:r>
              <a:r>
                <a:rPr lang="en-US" sz="1100" b="0" i="0">
                  <a:latin typeface="Cambria Math"/>
                  <a:ea typeface="Cambria Math"/>
                </a:rPr>
                <a:t>2</a:t>
              </a:r>
              <a:r>
                <a:rPr lang="en-US" sz="1100" b="0" i="0">
                  <a:latin typeface="Cambria Math"/>
                </a:rPr>
                <a:t>𝑖.</a:t>
              </a:r>
              <a:r>
                <a:rPr lang="en-US" sz="1100" i="0">
                  <a:latin typeface="Cambria Math"/>
                </a:rPr>
                <a:t>〖</a:t>
              </a:r>
              <a:r>
                <a:rPr lang="en-US" sz="1100" i="0">
                  <a:latin typeface="Cambria Math"/>
                  <a:ea typeface="Cambria Math"/>
                </a:rPr>
                <a:t>∆</a:t>
              </a:r>
              <a:r>
                <a:rPr lang="en-US" sz="1100" b="0" i="0">
                  <a:latin typeface="Cambria Math"/>
                  <a:ea typeface="Cambria Math"/>
                </a:rPr>
                <a:t>𝑡〗_2</a:t>
              </a:r>
              <a:r>
                <a:rPr lang="en-US" sz="1100" b="0" i="0">
                  <a:latin typeface="Cambria Math"/>
                </a:rPr>
                <a:t>𝑖  , 𝑊/𝑚^2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717518</xdr:colOff>
      <xdr:row>246</xdr:row>
      <xdr:rowOff>41751</xdr:rowOff>
    </xdr:from>
    <xdr:ext cx="2997232" cy="4472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 txBox="1"/>
          </xdr:nvSpPr>
          <xdr:spPr>
            <a:xfrm>
              <a:off x="1508093" y="49790826"/>
              <a:ext cx="2997232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/>
                            <a:ea typeface="Cambria Math"/>
                          </a:rPr>
                          <m:t>𝜀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1</m:t>
                        </m:r>
                      </m:sub>
                    </m:sSub>
                    <m:r>
                      <a:rPr lang="en-US" sz="11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|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/>
                                  </a:rPr>
                                  <m:t>𝑞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/>
                                  </a:rPr>
                                  <m:t>11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/>
                                  </a:rPr>
                                  <m:t>𝑞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/>
                                  </a:rPr>
                                  <m:t>21</m:t>
                                </m:r>
                              </m:sub>
                            </m:sSub>
                          </m:e>
                        </m:d>
                      </m:num>
                      <m:den>
                        <m:sSub>
                          <m:sSub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𝑞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11</m:t>
                            </m:r>
                          </m:sub>
                        </m:sSub>
                      </m:den>
                    </m:f>
                    <m:r>
                      <a:rPr lang="en-US" sz="1100" b="0" i="1">
                        <a:latin typeface="Cambria Math"/>
                      </a:rPr>
                      <m:t>.100%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9" name="TextBox 28"/>
            <xdr:cNvSpPr txBox="1"/>
          </xdr:nvSpPr>
          <xdr:spPr>
            <a:xfrm>
              <a:off x="1508093" y="49790826"/>
              <a:ext cx="2997232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i="0">
                  <a:latin typeface="Cambria Math"/>
                  <a:ea typeface="Cambria Math"/>
                </a:rPr>
                <a:t>𝜀_</a:t>
              </a:r>
              <a:r>
                <a:rPr lang="en-US" sz="1100" b="0" i="0">
                  <a:latin typeface="Cambria Math"/>
                </a:rPr>
                <a:t>1</a:t>
              </a:r>
              <a:r>
                <a:rPr lang="en-US" sz="1100" i="0">
                  <a:latin typeface="Cambria Math"/>
                </a:rPr>
                <a:t>=|</a:t>
              </a:r>
              <a:r>
                <a:rPr lang="en-US" sz="1100" b="0" i="0">
                  <a:latin typeface="Cambria Math"/>
                </a:rPr>
                <a:t>𝑞_11−𝑞_21 |/𝑞_11 .100%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733425</xdr:colOff>
      <xdr:row>252</xdr:row>
      <xdr:rowOff>9525</xdr:rowOff>
    </xdr:from>
    <xdr:ext cx="2997232" cy="4472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 txBox="1"/>
          </xdr:nvSpPr>
          <xdr:spPr>
            <a:xfrm>
              <a:off x="1524000" y="51015900"/>
              <a:ext cx="2997232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/>
                            <a:ea typeface="Cambria Math"/>
                          </a:rPr>
                          <m:t>𝜀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2</m:t>
                        </m:r>
                      </m:sub>
                    </m:sSub>
                    <m:r>
                      <a:rPr lang="en-US" sz="11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|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/>
                                  </a:rPr>
                                  <m:t>𝑞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/>
                                  </a:rPr>
                                  <m:t>12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/>
                                  </a:rPr>
                                  <m:t>𝑞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/>
                                  </a:rPr>
                                  <m:t>22</m:t>
                                </m:r>
                              </m:sub>
                            </m:sSub>
                          </m:e>
                        </m:d>
                      </m:num>
                      <m:den>
                        <m:sSub>
                          <m:sSub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𝑞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12</m:t>
                            </m:r>
                          </m:sub>
                        </m:sSub>
                      </m:den>
                    </m:f>
                    <m:r>
                      <a:rPr lang="en-US" sz="1100" b="0" i="1">
                        <a:latin typeface="Cambria Math"/>
                      </a:rPr>
                      <m:t>.100%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0" name="TextBox 29"/>
            <xdr:cNvSpPr txBox="1"/>
          </xdr:nvSpPr>
          <xdr:spPr>
            <a:xfrm>
              <a:off x="1524000" y="51015900"/>
              <a:ext cx="2997232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i="0">
                  <a:latin typeface="Cambria Math"/>
                  <a:ea typeface="Cambria Math"/>
                </a:rPr>
                <a:t>𝜀_</a:t>
              </a:r>
              <a:r>
                <a:rPr lang="en-US" sz="1100" b="0" i="0">
                  <a:latin typeface="Cambria Math"/>
                </a:rPr>
                <a:t>2</a:t>
              </a:r>
              <a:r>
                <a:rPr lang="en-US" sz="1100" i="0">
                  <a:latin typeface="Cambria Math"/>
                </a:rPr>
                <a:t>=|</a:t>
              </a:r>
              <a:r>
                <a:rPr lang="en-US" sz="1100" b="0" i="0">
                  <a:latin typeface="Cambria Math"/>
                </a:rPr>
                <a:t>𝑞_12−𝑞_22 |/𝑞_12 .100%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165067</xdr:colOff>
      <xdr:row>248</xdr:row>
      <xdr:rowOff>184626</xdr:rowOff>
    </xdr:from>
    <xdr:ext cx="3635407" cy="398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 txBox="1"/>
          </xdr:nvSpPr>
          <xdr:spPr>
            <a:xfrm>
              <a:off x="955642" y="50352801"/>
              <a:ext cx="3635407" cy="398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𝑞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𝑡𝑏</m:t>
                        </m:r>
                        <m:r>
                          <a:rPr lang="en-US" sz="1100" b="0" i="1">
                            <a:latin typeface="Cambria Math"/>
                          </a:rPr>
                          <m:t>1</m:t>
                        </m:r>
                      </m:sub>
                    </m:sSub>
                    <m:r>
                      <a:rPr lang="en-US" sz="11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𝑞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11</m:t>
                            </m:r>
                          </m:sub>
                        </m:sSub>
                        <m:r>
                          <a:rPr lang="en-US" sz="1100" b="0" i="1">
                            <a:latin typeface="Cambria Math"/>
                          </a:rPr>
                          <m:t>+</m:t>
                        </m:r>
                        <m:sSub>
                          <m:sSub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𝑞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21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1" name="TextBox 30"/>
            <xdr:cNvSpPr txBox="1"/>
          </xdr:nvSpPr>
          <xdr:spPr>
            <a:xfrm>
              <a:off x="955642" y="50352801"/>
              <a:ext cx="3635407" cy="398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𝑞_𝑡𝑏1</a:t>
              </a:r>
              <a:r>
                <a:rPr lang="en-US" sz="1100" i="0">
                  <a:latin typeface="Cambria Math"/>
                </a:rPr>
                <a:t>=(</a:t>
              </a:r>
              <a:r>
                <a:rPr lang="en-US" sz="1100" b="0" i="0">
                  <a:latin typeface="Cambria Math"/>
                </a:rPr>
                <a:t>𝑞_11+𝑞_21)/2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219075</xdr:colOff>
      <xdr:row>254</xdr:row>
      <xdr:rowOff>171450</xdr:rowOff>
    </xdr:from>
    <xdr:ext cx="3635407" cy="398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 txBox="1"/>
          </xdr:nvSpPr>
          <xdr:spPr>
            <a:xfrm>
              <a:off x="1009650" y="51596925"/>
              <a:ext cx="3635407" cy="398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𝑞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𝑡𝑏</m:t>
                        </m:r>
                        <m:r>
                          <a:rPr lang="en-US" sz="1100" b="0" i="1">
                            <a:latin typeface="Cambria Math"/>
                          </a:rPr>
                          <m:t>1</m:t>
                        </m:r>
                      </m:sub>
                    </m:sSub>
                    <m:r>
                      <a:rPr lang="en-US" sz="11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𝑞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11</m:t>
                            </m:r>
                          </m:sub>
                        </m:sSub>
                        <m:r>
                          <a:rPr lang="en-US" sz="1100" b="0" i="1">
                            <a:latin typeface="Cambria Math"/>
                          </a:rPr>
                          <m:t>+</m:t>
                        </m:r>
                        <m:sSub>
                          <m:sSub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𝑞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21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2" name="TextBox 31"/>
            <xdr:cNvSpPr txBox="1"/>
          </xdr:nvSpPr>
          <xdr:spPr>
            <a:xfrm>
              <a:off x="1009650" y="51596925"/>
              <a:ext cx="3635407" cy="398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𝑞_𝑡𝑏1</a:t>
              </a:r>
              <a:r>
                <a:rPr lang="en-US" sz="1100" i="0">
                  <a:latin typeface="Cambria Math"/>
                </a:rPr>
                <a:t>=(</a:t>
              </a:r>
              <a:r>
                <a:rPr lang="en-US" sz="1100" b="0" i="0">
                  <a:latin typeface="Cambria Math"/>
                </a:rPr>
                <a:t>𝑞_11+𝑞_21)/2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22192</xdr:colOff>
      <xdr:row>265</xdr:row>
      <xdr:rowOff>156051</xdr:rowOff>
    </xdr:from>
    <xdr:ext cx="2835307" cy="40992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 txBox="1"/>
          </xdr:nvSpPr>
          <xdr:spPr>
            <a:xfrm>
              <a:off x="22192" y="53886576"/>
              <a:ext cx="2835307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𝐾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𝑞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𝑡𝑏𝑖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latin typeface="Cambria Math"/>
                                <a:ea typeface="Cambria Math"/>
                              </a:rPr>
                              <m:t>∆</m:t>
                            </m:r>
                            <m:r>
                              <a:rPr lang="en-US" sz="1100" b="0" i="1">
                                <a:latin typeface="Cambria Math"/>
                                <a:ea typeface="Cambria Math"/>
                              </a:rPr>
                              <m:t>𝑇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𝑖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3" name="TextBox 32"/>
            <xdr:cNvSpPr txBox="1"/>
          </xdr:nvSpPr>
          <xdr:spPr>
            <a:xfrm>
              <a:off x="22192" y="53886576"/>
              <a:ext cx="2835307" cy="40992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𝐾_𝑖</a:t>
              </a:r>
              <a:r>
                <a:rPr lang="en-US" sz="1100" i="0">
                  <a:latin typeface="Cambria Math"/>
                </a:rPr>
                <a:t>=</a:t>
              </a:r>
              <a:r>
                <a:rPr lang="en-US" sz="1100" b="0" i="0">
                  <a:latin typeface="Cambria Math"/>
                </a:rPr>
                <a:t>𝑞_𝑡𝑏𝑖/〖</a:t>
              </a:r>
              <a:r>
                <a:rPr lang="en-US" sz="1100" i="0">
                  <a:latin typeface="Cambria Math"/>
                  <a:ea typeface="Cambria Math"/>
                </a:rPr>
                <a:t>∆</a:t>
              </a:r>
              <a:r>
                <a:rPr lang="en-US" sz="1100" b="0" i="0">
                  <a:latin typeface="Cambria Math"/>
                  <a:ea typeface="Cambria Math"/>
                </a:rPr>
                <a:t>𝑇〗_</a:t>
              </a:r>
              <a:r>
                <a:rPr lang="en-US" sz="1100" b="0" i="0">
                  <a:latin typeface="Cambria Math"/>
                </a:rPr>
                <a:t>𝑖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485774</xdr:colOff>
      <xdr:row>269</xdr:row>
      <xdr:rowOff>3651</xdr:rowOff>
    </xdr:from>
    <xdr:ext cx="1895475" cy="4238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 txBox="1"/>
          </xdr:nvSpPr>
          <xdr:spPr>
            <a:xfrm>
              <a:off x="485774" y="54572376"/>
              <a:ext cx="1895475" cy="4238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𝑄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1</m:t>
                        </m:r>
                      </m:sub>
                    </m:sSub>
                    <m:r>
                      <a:rPr lang="en-US" sz="11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/>
                          </a:rPr>
                          <m:t>𝐷</m:t>
                        </m:r>
                        <m:r>
                          <a:rPr lang="en-US" sz="1100" b="0" i="1">
                            <a:latin typeface="Cambria Math"/>
                          </a:rPr>
                          <m:t>.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/>
                          </a:rPr>
                          <m:t>3600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4" name="TextBox 33"/>
            <xdr:cNvSpPr txBox="1"/>
          </xdr:nvSpPr>
          <xdr:spPr>
            <a:xfrm>
              <a:off x="485774" y="54572376"/>
              <a:ext cx="1895475" cy="4238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𝑄_1</a:t>
              </a:r>
              <a:r>
                <a:rPr lang="en-US" sz="1100" i="0">
                  <a:latin typeface="Cambria Math"/>
                </a:rPr>
                <a:t>=(</a:t>
              </a:r>
              <a:r>
                <a:rPr lang="en-US" sz="1100" b="0" i="0">
                  <a:latin typeface="Cambria Math"/>
                </a:rPr>
                <a:t>𝐷.𝑟_1)/3600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514350</xdr:colOff>
      <xdr:row>271</xdr:row>
      <xdr:rowOff>19050</xdr:rowOff>
    </xdr:from>
    <xdr:ext cx="1835182" cy="4249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SpPr txBox="1"/>
          </xdr:nvSpPr>
          <xdr:spPr>
            <a:xfrm>
              <a:off x="514350" y="55006875"/>
              <a:ext cx="1835182" cy="4249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𝑄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2</m:t>
                        </m:r>
                      </m:sub>
                    </m:sSub>
                    <m:r>
                      <a:rPr lang="en-US" sz="11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𝑊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/>
                          </a:rPr>
                          <m:t>.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𝑟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2</m:t>
                            </m:r>
                          </m:sub>
                        </m:sSub>
                      </m:num>
                      <m:den>
                        <m:r>
                          <a:rPr lang="en-US" sz="1100" b="0" i="1">
                            <a:latin typeface="Cambria Math"/>
                          </a:rPr>
                          <m:t>3600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5" name="TextBox 34"/>
            <xdr:cNvSpPr txBox="1"/>
          </xdr:nvSpPr>
          <xdr:spPr>
            <a:xfrm>
              <a:off x="514350" y="55006875"/>
              <a:ext cx="1835182" cy="4249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𝑄_2</a:t>
              </a:r>
              <a:r>
                <a:rPr lang="en-US" sz="1100" i="0">
                  <a:latin typeface="Cambria Math"/>
                </a:rPr>
                <a:t>=(</a:t>
              </a:r>
              <a:r>
                <a:rPr lang="en-US" sz="1100" b="0" i="0">
                  <a:latin typeface="Cambria Math"/>
                </a:rPr>
                <a:t>𝑊_1.𝑟_2)/3600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565117</xdr:colOff>
      <xdr:row>279</xdr:row>
      <xdr:rowOff>203676</xdr:rowOff>
    </xdr:from>
    <xdr:ext cx="2892458" cy="68711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:cNvPr>
            <xdr:cNvSpPr txBox="1"/>
          </xdr:nvSpPr>
          <xdr:spPr>
            <a:xfrm>
              <a:off x="565117" y="56867901"/>
              <a:ext cx="2892458" cy="6871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/>
                            <a:ea typeface="Cambria Math"/>
                          </a:rPr>
                          <m:t>∆</m:t>
                        </m:r>
                        <m:sSup>
                          <m:sSupPr>
                            <m:ctrlPr>
                              <a:rPr lang="en-US" sz="1100" i="1">
                                <a:latin typeface="Cambria Math" panose="02040503050406030204" pitchFamily="18" charset="0"/>
                                <a:ea typeface="Cambria Math"/>
                              </a:rPr>
                            </m:ctrlPr>
                          </m:sSupPr>
                          <m:e>
                            <m:r>
                              <a:rPr lang="en-US" sz="1100" b="0" i="1">
                                <a:latin typeface="Cambria Math"/>
                                <a:ea typeface="Cambria Math"/>
                              </a:rPr>
                              <m:t>𝑇</m:t>
                            </m:r>
                          </m:e>
                          <m:sup>
                            <m:r>
                              <a:rPr lang="en-US" sz="1100" b="0" i="1">
                                <a:latin typeface="Cambria Math"/>
                                <a:ea typeface="Cambria Math"/>
                              </a:rPr>
                              <m:t>∗</m:t>
                            </m:r>
                          </m:sup>
                        </m:sSup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1</m:t>
                        </m:r>
                      </m:sub>
                    </m:sSub>
                    <m:r>
                      <a:rPr lang="en-US" sz="1100" i="1">
                        <a:latin typeface="Cambria Math"/>
                      </a:rPr>
                      <m:t>=</m:t>
                    </m:r>
                    <m:d>
                      <m:d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  <a:ea typeface="Cambria Math"/>
                              </a:rPr>
                              <m:t>∆</m:t>
                            </m:r>
                            <m:r>
                              <a:rPr lang="en-US" sz="1100" b="0" i="1">
                                <a:latin typeface="Cambria Math"/>
                                <a:ea typeface="Cambria Math"/>
                              </a:rPr>
                              <m:t>𝑇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  <m:r>
                          <a:rPr lang="en-US" sz="1100" b="0" i="1">
                            <a:latin typeface="Cambria Math"/>
                          </a:rPr>
                          <m:t>+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  <a:ea typeface="Cambria Math"/>
                              </a:rPr>
                              <m:t>∆</m:t>
                            </m:r>
                            <m:r>
                              <a:rPr lang="en-US" sz="1100" b="0" i="1">
                                <a:latin typeface="Cambria Math"/>
                                <a:ea typeface="Cambria Math"/>
                              </a:rPr>
                              <m:t>𝑇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latin typeface="Cambria Math"/>
                        <a:ea typeface="Cambria Math"/>
                      </a:rPr>
                      <m:t>×</m:t>
                    </m:r>
                    <m:f>
                      <m:f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>
                          <m:fPr>
                            <m:type m:val="skw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/>
                                  </a:rPr>
                                  <m:t>𝑄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/>
                                  </a:rPr>
                                  <m:t>𝑖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/>
                                  </a:rPr>
                                  <m:t>𝐾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/>
                                  </a:rPr>
                                  <m:t>𝑖</m:t>
                                </m:r>
                              </m:sub>
                            </m:sSub>
                          </m:den>
                        </m:f>
                      </m:num>
                      <m:den>
                        <m:f>
                          <m:fPr>
                            <m:type m:val="skw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/>
                                  </a:rPr>
                                  <m:t>𝑄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/>
                                  </a:rPr>
                                  <m:t>1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/>
                                  </a:rPr>
                                  <m:t>𝐾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/>
                                  </a:rPr>
                                  <m:t>1</m:t>
                                </m:r>
                              </m:sub>
                            </m:sSub>
                          </m:den>
                        </m:f>
                        <m:r>
                          <a:rPr lang="en-US" sz="1100" b="0" i="1">
                            <a:latin typeface="Cambria Math"/>
                          </a:rPr>
                          <m:t>+</m:t>
                        </m:r>
                        <m:f>
                          <m:fPr>
                            <m:type m:val="skw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/>
                                  </a:rPr>
                                  <m:t>𝑄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/>
                                  </a:rPr>
                                  <m:t>2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latin typeface="Cambria Math"/>
                                  </a:rPr>
                                  <m:t>𝐾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/>
                                  </a:rPr>
                                  <m:t>2</m:t>
                                </m:r>
                              </m:sub>
                            </m:sSub>
                          </m:den>
                        </m:f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6" name="TextBox 35"/>
            <xdr:cNvSpPr txBox="1"/>
          </xdr:nvSpPr>
          <xdr:spPr>
            <a:xfrm>
              <a:off x="565117" y="56867901"/>
              <a:ext cx="2892458" cy="68711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i="0">
                  <a:latin typeface="Cambria Math"/>
                </a:rPr>
                <a:t>〖</a:t>
              </a:r>
              <a:r>
                <a:rPr lang="en-US" sz="1100" i="0">
                  <a:latin typeface="Cambria Math"/>
                  <a:ea typeface="Cambria Math"/>
                </a:rPr>
                <a:t>∆</a:t>
              </a:r>
              <a:r>
                <a:rPr lang="en-US" sz="1100" b="0" i="0">
                  <a:latin typeface="Cambria Math"/>
                  <a:ea typeface="Cambria Math"/>
                </a:rPr>
                <a:t>𝑇^∗〗_</a:t>
              </a:r>
              <a:r>
                <a:rPr lang="en-US" sz="1100" b="0" i="0">
                  <a:latin typeface="Cambria Math"/>
                </a:rPr>
                <a:t>1</a:t>
              </a:r>
              <a:r>
                <a:rPr lang="en-US" sz="1100" i="0">
                  <a:latin typeface="Cambria Math"/>
                </a:rPr>
                <a:t>=</a:t>
              </a:r>
              <a:r>
                <a:rPr lang="en-US" sz="1100" b="0" i="0">
                  <a:latin typeface="Cambria Math"/>
                </a:rPr>
                <a:t>(〖</a:t>
              </a:r>
              <a:r>
                <a:rPr lang="en-US" sz="1100" b="0" i="0">
                  <a:latin typeface="Cambria Math"/>
                  <a:ea typeface="Cambria Math"/>
                </a:rPr>
                <a:t>∆𝑇〗_</a:t>
              </a:r>
              <a:r>
                <a:rPr lang="en-US" sz="1100" b="0" i="0">
                  <a:latin typeface="Cambria Math"/>
                </a:rPr>
                <a:t>1+〖</a:t>
              </a:r>
              <a:r>
                <a:rPr lang="en-US" sz="1100" b="0" i="0">
                  <a:latin typeface="Cambria Math"/>
                  <a:ea typeface="Cambria Math"/>
                </a:rPr>
                <a:t>∆𝑇〗_</a:t>
              </a:r>
              <a:r>
                <a:rPr lang="en-US" sz="1100" b="0" i="0">
                  <a:latin typeface="Cambria Math"/>
                </a:rPr>
                <a:t>2 )</a:t>
              </a:r>
              <a:r>
                <a:rPr lang="en-US" sz="1100" b="0" i="0">
                  <a:latin typeface="Cambria Math"/>
                  <a:ea typeface="Cambria Math"/>
                </a:rPr>
                <a:t>×</a:t>
              </a:r>
              <a:r>
                <a:rPr lang="en-US" sz="1100" b="0" i="0">
                  <a:latin typeface="Cambria Math"/>
                </a:rPr>
                <a:t>(𝑄_𝑖⁄𝐾_𝑖 )/(𝑄_1⁄𝐾_1 +𝑄_2⁄𝐾_2 )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184117</xdr:colOff>
      <xdr:row>286</xdr:row>
      <xdr:rowOff>41751</xdr:rowOff>
    </xdr:from>
    <xdr:ext cx="2054257" cy="4472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SpPr txBox="1"/>
          </xdr:nvSpPr>
          <xdr:spPr>
            <a:xfrm>
              <a:off x="974692" y="58172826"/>
              <a:ext cx="2054257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/>
                            <a:ea typeface="Cambria Math"/>
                          </a:rPr>
                          <m:t>𝜀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1</m:t>
                        </m:r>
                      </m:sub>
                    </m:sSub>
                    <m:r>
                      <a:rPr lang="en-US" sz="11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|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latin typeface="Cambria Math"/>
                                    <a:ea typeface="Cambria Math"/>
                                  </a:rPr>
                                  <m:t>∆</m:t>
                                </m:r>
                                <m:r>
                                  <a:rPr lang="en-US" sz="1100" b="0" i="1">
                                    <a:latin typeface="Cambria Math"/>
                                    <a:ea typeface="Cambria Math"/>
                                  </a:rPr>
                                  <m:t>𝑇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latin typeface="Cambria Math"/>
                                        <a:ea typeface="Cambria Math"/>
                                      </a:rPr>
                                      <m:t>∆</m:t>
                                    </m:r>
                                    <m:r>
                                      <a:rPr lang="en-US" sz="1100" b="0" i="1">
                                        <a:latin typeface="Cambria Math"/>
                                        <a:ea typeface="Cambria Math"/>
                                      </a:rPr>
                                      <m:t>𝑇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latin typeface="Cambria Math"/>
                                      </a:rPr>
                                      <m:t>∗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lang="en-US" sz="1100" b="0" i="1">
                                    <a:latin typeface="Cambria Math"/>
                                  </a:rPr>
                                  <m:t>1</m:t>
                                </m:r>
                              </m:sub>
                            </m:sSub>
                          </m:e>
                        </m:d>
                      </m:num>
                      <m:den>
                        <m:sSub>
                          <m:sSub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latin typeface="Cambria Math"/>
                                <a:ea typeface="Cambria Math"/>
                              </a:rPr>
                              <m:t>∆</m:t>
                            </m:r>
                            <m:r>
                              <a:rPr lang="en-US" sz="1100" b="0" i="1">
                                <a:latin typeface="Cambria Math"/>
                                <a:ea typeface="Cambria Math"/>
                              </a:rPr>
                              <m:t>𝑇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1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7" name="TextBox 36"/>
            <xdr:cNvSpPr txBox="1"/>
          </xdr:nvSpPr>
          <xdr:spPr>
            <a:xfrm>
              <a:off x="974692" y="58172826"/>
              <a:ext cx="2054257" cy="4472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i="0">
                  <a:latin typeface="Cambria Math"/>
                  <a:ea typeface="Cambria Math"/>
                </a:rPr>
                <a:t>𝜀_</a:t>
              </a:r>
              <a:r>
                <a:rPr lang="en-US" sz="1100" b="0" i="0">
                  <a:latin typeface="Cambria Math"/>
                </a:rPr>
                <a:t>1</a:t>
              </a:r>
              <a:r>
                <a:rPr lang="en-US" sz="1100" i="0">
                  <a:latin typeface="Cambria Math"/>
                </a:rPr>
                <a:t>=|〖</a:t>
              </a:r>
              <a:r>
                <a:rPr lang="en-US" sz="1100" i="0">
                  <a:latin typeface="Cambria Math"/>
                  <a:ea typeface="Cambria Math"/>
                </a:rPr>
                <a:t>∆</a:t>
              </a:r>
              <a:r>
                <a:rPr lang="en-US" sz="1100" b="0" i="0">
                  <a:latin typeface="Cambria Math"/>
                  <a:ea typeface="Cambria Math"/>
                </a:rPr>
                <a:t>𝑇〗_</a:t>
              </a:r>
              <a:r>
                <a:rPr lang="en-US" sz="1100" b="0" i="0">
                  <a:latin typeface="Cambria Math"/>
                </a:rPr>
                <a:t>1−〖〖</a:t>
              </a:r>
              <a:r>
                <a:rPr lang="en-US" sz="1100" b="0" i="0">
                  <a:latin typeface="Cambria Math"/>
                  <a:ea typeface="Cambria Math"/>
                </a:rPr>
                <a:t>∆𝑇〗^</a:t>
              </a:r>
              <a:r>
                <a:rPr lang="en-US" sz="1100" b="0" i="0">
                  <a:latin typeface="Cambria Math"/>
                </a:rPr>
                <a:t>∗〗_1 |/〖</a:t>
              </a:r>
              <a:r>
                <a:rPr lang="en-US" sz="1100" i="0">
                  <a:latin typeface="Cambria Math"/>
                  <a:ea typeface="Cambria Math"/>
                </a:rPr>
                <a:t>∆</a:t>
              </a:r>
              <a:r>
                <a:rPr lang="en-US" sz="1100" b="0" i="0">
                  <a:latin typeface="Cambria Math"/>
                  <a:ea typeface="Cambria Math"/>
                </a:rPr>
                <a:t>𝑇〗_</a:t>
              </a:r>
              <a:r>
                <a:rPr lang="en-US" sz="1100" b="0" i="0">
                  <a:latin typeface="Cambria Math"/>
                </a:rPr>
                <a:t>1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209550</xdr:colOff>
      <xdr:row>288</xdr:row>
      <xdr:rowOff>104775</xdr:rowOff>
    </xdr:from>
    <xdr:ext cx="2054257" cy="4575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00000000-0008-0000-0000-000026000000}"/>
                </a:ext>
              </a:extLst>
            </xdr:cNvPr>
            <xdr:cNvSpPr txBox="1"/>
          </xdr:nvSpPr>
          <xdr:spPr>
            <a:xfrm>
              <a:off x="1000125" y="58654950"/>
              <a:ext cx="2054257" cy="4575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/>
                            <a:ea typeface="Cambria Math"/>
                          </a:rPr>
                          <m:t>𝜀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2</m:t>
                        </m:r>
                      </m:sub>
                    </m:sSub>
                    <m:r>
                      <a:rPr lang="en-US" sz="11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begChr m:val="|"/>
                            <m:endChr m:val="|"/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i="1">
                                    <a:latin typeface="Cambria Math"/>
                                    <a:ea typeface="Cambria Math"/>
                                  </a:rPr>
                                  <m:t>∆</m:t>
                                </m:r>
                                <m:r>
                                  <a:rPr lang="en-US" sz="1100" b="0" i="1">
                                    <a:latin typeface="Cambria Math"/>
                                    <a:ea typeface="Cambria Math"/>
                                  </a:rPr>
                                  <m:t>𝑇</m:t>
                                </m:r>
                              </m:e>
                              <m:sub>
                                <m:r>
                                  <a:rPr lang="en-US" sz="1100" b="0" i="1">
                                    <a:latin typeface="Cambria Math"/>
                                  </a:rPr>
                                  <m:t>2</m:t>
                                </m:r>
                              </m:sub>
                            </m:sSub>
                            <m:r>
                              <a:rPr lang="en-US" sz="1100" b="0" i="1">
                                <a:latin typeface="Cambria Math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sSup>
                                  <m:sSupPr>
                                    <m:ctrlPr>
                                      <a:rPr lang="en-US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en-US" sz="1100" b="0" i="1">
                                        <a:latin typeface="Cambria Math"/>
                                        <a:ea typeface="Cambria Math"/>
                                      </a:rPr>
                                      <m:t>∆</m:t>
                                    </m:r>
                                    <m:r>
                                      <a:rPr lang="en-US" sz="1100" b="0" i="1">
                                        <a:latin typeface="Cambria Math"/>
                                        <a:ea typeface="Cambria Math"/>
                                      </a:rPr>
                                      <m:t>𝑇</m:t>
                                    </m:r>
                                  </m:e>
                                  <m:sup>
                                    <m:r>
                                      <a:rPr lang="en-US" sz="1100" b="0" i="1">
                                        <a:latin typeface="Cambria Math"/>
                                      </a:rPr>
                                      <m:t>∗</m:t>
                                    </m:r>
                                  </m:sup>
                                </m:sSup>
                              </m:e>
                              <m:sub>
                                <m:r>
                                  <a:rPr lang="en-US" sz="1100" b="0" i="1">
                                    <a:latin typeface="Cambria Math"/>
                                  </a:rPr>
                                  <m:t>2</m:t>
                                </m:r>
                              </m:sub>
                            </m:sSub>
                          </m:e>
                        </m:d>
                      </m:num>
                      <m:den>
                        <m:sSub>
                          <m:sSub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sSup>
                              <m:sSup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i="1">
                                    <a:latin typeface="Cambria Math"/>
                                    <a:ea typeface="Cambria Math"/>
                                  </a:rPr>
                                  <m:t>∆</m:t>
                                </m:r>
                                <m:r>
                                  <a:rPr lang="en-US" sz="1100" b="0" i="1">
                                    <a:latin typeface="Cambria Math"/>
                                    <a:ea typeface="Cambria Math"/>
                                  </a:rPr>
                                  <m:t>𝑇</m:t>
                                </m:r>
                              </m:e>
                              <m:sup>
                                <m:r>
                                  <a:rPr lang="en-US" sz="1100" b="0" i="1">
                                    <a:latin typeface="Cambria Math"/>
                                  </a:rPr>
                                  <m:t>∗</m:t>
                                </m:r>
                              </m:sup>
                            </m:sSup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2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8" name="TextBox 37"/>
            <xdr:cNvSpPr txBox="1"/>
          </xdr:nvSpPr>
          <xdr:spPr>
            <a:xfrm>
              <a:off x="1000125" y="58654950"/>
              <a:ext cx="2054257" cy="4575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i="0">
                  <a:latin typeface="Cambria Math"/>
                  <a:ea typeface="Cambria Math"/>
                </a:rPr>
                <a:t>𝜀_</a:t>
              </a:r>
              <a:r>
                <a:rPr lang="en-US" sz="1100" b="0" i="0">
                  <a:latin typeface="Cambria Math"/>
                </a:rPr>
                <a:t>2</a:t>
              </a:r>
              <a:r>
                <a:rPr lang="en-US" sz="1100" i="0">
                  <a:latin typeface="Cambria Math"/>
                </a:rPr>
                <a:t>=|〖</a:t>
              </a:r>
              <a:r>
                <a:rPr lang="en-US" sz="1100" i="0">
                  <a:latin typeface="Cambria Math"/>
                  <a:ea typeface="Cambria Math"/>
                </a:rPr>
                <a:t>∆</a:t>
              </a:r>
              <a:r>
                <a:rPr lang="en-US" sz="1100" b="0" i="0">
                  <a:latin typeface="Cambria Math"/>
                  <a:ea typeface="Cambria Math"/>
                </a:rPr>
                <a:t>𝑇〗_</a:t>
              </a:r>
              <a:r>
                <a:rPr lang="en-US" sz="1100" b="0" i="0">
                  <a:latin typeface="Cambria Math"/>
                </a:rPr>
                <a:t>2−〖〖</a:t>
              </a:r>
              <a:r>
                <a:rPr lang="en-US" sz="1100" b="0" i="0">
                  <a:latin typeface="Cambria Math"/>
                  <a:ea typeface="Cambria Math"/>
                </a:rPr>
                <a:t>∆𝑇〗^</a:t>
              </a:r>
              <a:r>
                <a:rPr lang="en-US" sz="1100" b="0" i="0">
                  <a:latin typeface="Cambria Math"/>
                </a:rPr>
                <a:t>∗〗_2 |/〖〖</a:t>
              </a:r>
              <a:r>
                <a:rPr lang="en-US" sz="1100" i="0">
                  <a:latin typeface="Cambria Math"/>
                  <a:ea typeface="Cambria Math"/>
                </a:rPr>
                <a:t>∆</a:t>
              </a:r>
              <a:r>
                <a:rPr lang="en-US" sz="1100" b="0" i="0">
                  <a:latin typeface="Cambria Math"/>
                  <a:ea typeface="Cambria Math"/>
                </a:rPr>
                <a:t>𝑇〗^</a:t>
              </a:r>
              <a:r>
                <a:rPr lang="en-US" sz="1100" b="0" i="0">
                  <a:latin typeface="Cambria Math"/>
                </a:rPr>
                <a:t>∗〗_2 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765143</xdr:colOff>
      <xdr:row>296</xdr:row>
      <xdr:rowOff>194151</xdr:rowOff>
    </xdr:from>
    <xdr:ext cx="2406682" cy="4492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00000000-0008-0000-0000-000027000000}"/>
                </a:ext>
              </a:extLst>
            </xdr:cNvPr>
            <xdr:cNvSpPr txBox="1"/>
          </xdr:nvSpPr>
          <xdr:spPr>
            <a:xfrm>
              <a:off x="765143" y="60420726"/>
              <a:ext cx="2406682" cy="4492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𝐹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𝑖</m:t>
                        </m:r>
                      </m:sub>
                    </m:sSub>
                    <m:r>
                      <a:rPr lang="en-US" sz="1100" i="1">
                        <a:latin typeface="Cambria Math"/>
                      </a:rPr>
                      <m:t>=</m:t>
                    </m:r>
                    <m:f>
                      <m:f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𝑄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𝑖</m:t>
                            </m:r>
                          </m:sub>
                        </m:sSub>
                      </m:num>
                      <m:den>
                        <m:sSub>
                          <m:sSubPr>
                            <m:ctrlPr>
                              <a:rPr lang="en-US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/>
                              </a:rPr>
                              <m:t>𝐾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latin typeface="Cambria Math"/>
                          </a:rPr>
                          <m:t>.</m:t>
                        </m:r>
                        <m:sSub>
                          <m:sSub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sSup>
                              <m:sSupPr>
                                <m:ctrlPr>
                                  <a:rPr lang="en-US" sz="1100" b="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latin typeface="Cambria Math"/>
                                    <a:ea typeface="Cambria Math"/>
                                  </a:rPr>
                                  <m:t>∆</m:t>
                                </m:r>
                                <m:r>
                                  <a:rPr lang="en-US" sz="1100" b="0" i="1">
                                    <a:latin typeface="Cambria Math"/>
                                    <a:ea typeface="Cambria Math"/>
                                  </a:rPr>
                                  <m:t>𝑇</m:t>
                                </m:r>
                              </m:e>
                              <m:sup>
                                <m:r>
                                  <a:rPr lang="en-US" sz="1100" b="0" i="1">
                                    <a:latin typeface="Cambria Math"/>
                                  </a:rPr>
                                  <m:t>∗</m:t>
                                </m:r>
                              </m:sup>
                            </m:sSup>
                          </m:e>
                          <m:sub>
                            <m:r>
                              <a:rPr lang="en-US" sz="1100" b="0" i="1">
                                <a:latin typeface="Cambria Math"/>
                              </a:rPr>
                              <m:t>𝑖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9" name="TextBox 38"/>
            <xdr:cNvSpPr txBox="1"/>
          </xdr:nvSpPr>
          <xdr:spPr>
            <a:xfrm>
              <a:off x="765143" y="60420726"/>
              <a:ext cx="2406682" cy="4492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100" b="0" i="0">
                  <a:latin typeface="Cambria Math"/>
                </a:rPr>
                <a:t>𝐹_𝑖</a:t>
              </a:r>
              <a:r>
                <a:rPr lang="en-US" sz="1100" i="0">
                  <a:latin typeface="Cambria Math"/>
                </a:rPr>
                <a:t>=</a:t>
              </a:r>
              <a:r>
                <a:rPr lang="en-US" sz="1100" b="0" i="0">
                  <a:latin typeface="Cambria Math"/>
                </a:rPr>
                <a:t>𝑄_𝑖/(𝐾_𝑖.〖〖</a:t>
              </a:r>
              <a:r>
                <a:rPr lang="en-US" sz="1100" b="0" i="0">
                  <a:latin typeface="Cambria Math"/>
                  <a:ea typeface="Cambria Math"/>
                </a:rPr>
                <a:t>∆𝑇〗^</a:t>
              </a:r>
              <a:r>
                <a:rPr lang="en-US" sz="1100" b="0" i="0">
                  <a:latin typeface="Cambria Math"/>
                </a:rPr>
                <a:t>∗〗_𝑖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384143</xdr:colOff>
      <xdr:row>95</xdr:row>
      <xdr:rowOff>165576</xdr:rowOff>
    </xdr:from>
    <xdr:ext cx="2444782" cy="267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00000000-0008-0000-0000-000028000000}"/>
                </a:ext>
              </a:extLst>
            </xdr:cNvPr>
            <xdr:cNvSpPr txBox="1"/>
          </xdr:nvSpPr>
          <xdr:spPr>
            <a:xfrm>
              <a:off x="8327993" y="18205926"/>
              <a:ext cx="2444782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𝑡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𝑠𝑖</m:t>
                        </m:r>
                      </m:sub>
                    </m:sSub>
                    <m:r>
                      <a:rPr lang="en-US" sz="1100" i="1">
                        <a:latin typeface="Cambria Math"/>
                      </a:rPr>
                      <m:t>=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/>
                          </a:rPr>
                          <m:t>𝑡</m:t>
                        </m:r>
                        <m:r>
                          <a:rPr lang="en-US" sz="1100" b="0" i="1">
                            <a:latin typeface="Cambria Math"/>
                          </a:rPr>
                          <m:t>′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+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/>
                            <a:ea typeface="Cambria Math"/>
                          </a:rPr>
                          <m:t>∆</m:t>
                        </m:r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′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+</m:t>
                    </m:r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/>
                            <a:ea typeface="Cambria Math"/>
                          </a:rPr>
                          <m:t>∆</m:t>
                        </m:r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′′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latin typeface="Cambria Math"/>
                      </a:rPr>
                      <m:t> ,</m:t>
                    </m:r>
                    <m:r>
                      <a:rPr lang="en-US" sz="1100" b="0" i="1">
                        <a:latin typeface="Cambria Math"/>
                        <a:ea typeface="Cambria Math"/>
                      </a:rPr>
                      <m:t>℃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0" name="TextBox 39"/>
            <xdr:cNvSpPr txBox="1"/>
          </xdr:nvSpPr>
          <xdr:spPr>
            <a:xfrm>
              <a:off x="8327993" y="18205926"/>
              <a:ext cx="2444782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b="0" i="0">
                  <a:latin typeface="Cambria Math"/>
                </a:rPr>
                <a:t>𝑡_𝑠𝑖</a:t>
              </a:r>
              <a:r>
                <a:rPr lang="en-US" sz="1100" i="0">
                  <a:latin typeface="Cambria Math"/>
                </a:rPr>
                <a:t>=〖</a:t>
              </a:r>
              <a:r>
                <a:rPr lang="en-US" sz="1100" b="0" i="0">
                  <a:latin typeface="Cambria Math"/>
                </a:rPr>
                <a:t>𝑡′〗_𝑖+</a:t>
              </a:r>
              <a:r>
                <a:rPr lang="en-US" sz="1100" i="0">
                  <a:latin typeface="Cambria Math"/>
                </a:rPr>
                <a:t>〖</a:t>
              </a:r>
              <a:r>
                <a:rPr lang="en-US" sz="1100" i="0">
                  <a:latin typeface="Cambria Math"/>
                  <a:ea typeface="Cambria Math"/>
                </a:rPr>
                <a:t>∆</a:t>
              </a:r>
              <a:r>
                <a:rPr lang="en-US" sz="1100" b="0" i="0">
                  <a:latin typeface="Cambria Math"/>
                  <a:ea typeface="Cambria Math"/>
                </a:rPr>
                <a:t>′〗_</a:t>
              </a:r>
              <a:r>
                <a:rPr lang="en-US" sz="1100" b="0" i="0">
                  <a:latin typeface="Cambria Math"/>
                </a:rPr>
                <a:t>𝑖+</a:t>
              </a:r>
              <a:r>
                <a:rPr lang="en-US" sz="1100" i="0">
                  <a:latin typeface="Cambria Math"/>
                </a:rPr>
                <a:t>〖</a:t>
              </a:r>
              <a:r>
                <a:rPr lang="en-US" sz="1100" i="0">
                  <a:latin typeface="Cambria Math"/>
                  <a:ea typeface="Cambria Math"/>
                </a:rPr>
                <a:t>∆</a:t>
              </a:r>
              <a:r>
                <a:rPr lang="en-US" sz="1100" b="0" i="0">
                  <a:latin typeface="Cambria Math"/>
                  <a:ea typeface="Cambria Math"/>
                </a:rPr>
                <a:t>′′〗_</a:t>
              </a:r>
              <a:r>
                <a:rPr lang="en-US" sz="1100" b="0" i="0">
                  <a:latin typeface="Cambria Math"/>
                </a:rPr>
                <a:t>𝑖  ,</a:t>
              </a:r>
              <a:r>
                <a:rPr lang="en-US" sz="1100" b="0" i="0">
                  <a:latin typeface="Cambria Math"/>
                  <a:ea typeface="Cambria Math"/>
                </a:rPr>
                <a:t>℃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175101</xdr:rowOff>
    </xdr:from>
    <xdr:ext cx="704850" cy="2677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200-000002000000}"/>
                </a:ext>
              </a:extLst>
            </xdr:cNvPr>
            <xdr:cNvSpPr txBox="1"/>
          </xdr:nvSpPr>
          <xdr:spPr>
            <a:xfrm>
              <a:off x="5286375" y="1946751"/>
              <a:ext cx="704850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/>
                            <a:ea typeface="Cambria Math"/>
                          </a:rPr>
                          <m:t>∆</m:t>
                        </m:r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′</m:t>
                        </m:r>
                      </m:e>
                      <m:sub>
                        <m:r>
                          <a:rPr lang="en-US" sz="1100" b="0" i="1">
                            <a:latin typeface="Cambria Math"/>
                            <a:ea typeface="Cambria Math"/>
                          </a:rPr>
                          <m:t>0</m:t>
                        </m:r>
                      </m:sub>
                    </m:sSub>
                    <m:r>
                      <a:rPr lang="en-US" sz="1100" b="0" i="1">
                        <a:latin typeface="Cambria Math"/>
                        <a:ea typeface="Cambria Math"/>
                      </a:rPr>
                      <m:t>,℃ 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5286375" y="1946751"/>
              <a:ext cx="704850" cy="2677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US" sz="1100" i="0">
                  <a:latin typeface="Cambria Math"/>
                  <a:ea typeface="Cambria Math"/>
                </a:rPr>
                <a:t>〖∆</a:t>
              </a:r>
              <a:r>
                <a:rPr lang="en-US" sz="1100" b="0" i="0">
                  <a:latin typeface="Cambria Math"/>
                  <a:ea typeface="Cambria Math"/>
                </a:rPr>
                <a:t>′〗_0,℃ 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99"/>
  <sheetViews>
    <sheetView tabSelected="1" topLeftCell="A21" zoomScaleNormal="100" workbookViewId="0">
      <selection activeCell="N205" sqref="N205"/>
    </sheetView>
  </sheetViews>
  <sheetFormatPr defaultColWidth="9.140625" defaultRowHeight="16.5" x14ac:dyDescent="0.25"/>
  <cols>
    <col min="1" max="1" width="14" style="38" customWidth="1"/>
    <col min="2" max="2" width="11.5703125" style="38" customWidth="1"/>
    <col min="3" max="3" width="14.7109375" style="38" customWidth="1"/>
    <col min="4" max="4" width="12" style="38" customWidth="1"/>
    <col min="5" max="5" width="10.140625" style="38" customWidth="1"/>
    <col min="6" max="6" width="9.140625" style="38"/>
    <col min="7" max="7" width="10.7109375" style="38" customWidth="1"/>
    <col min="8" max="8" width="11.140625" style="44" bestFit="1" customWidth="1"/>
    <col min="9" max="9" width="14.140625" style="44" customWidth="1"/>
    <col min="10" max="10" width="13.7109375" style="38" customWidth="1"/>
    <col min="11" max="11" width="9.140625" style="38"/>
    <col min="12" max="12" width="10.28515625" style="38" customWidth="1"/>
    <col min="13" max="13" width="10.7109375" style="38" customWidth="1"/>
    <col min="14" max="14" width="9.140625" style="38"/>
    <col min="15" max="15" width="10.7109375" style="38" customWidth="1"/>
    <col min="16" max="16" width="12.42578125" style="38" customWidth="1"/>
    <col min="17" max="17" width="11.42578125" style="38" customWidth="1"/>
    <col min="18" max="18" width="9.85546875" style="38" customWidth="1"/>
    <col min="19" max="16384" width="9.140625" style="38"/>
  </cols>
  <sheetData>
    <row r="1" spans="1:17" ht="18.75" x14ac:dyDescent="0.3">
      <c r="A1" s="36" t="s">
        <v>382</v>
      </c>
      <c r="B1" s="36" t="s">
        <v>375</v>
      </c>
      <c r="C1" s="36"/>
      <c r="D1" s="36"/>
      <c r="E1" s="36"/>
      <c r="F1" s="36"/>
      <c r="G1" s="36"/>
      <c r="H1" s="37"/>
      <c r="I1" s="37"/>
      <c r="J1" s="36"/>
      <c r="K1" s="36"/>
      <c r="L1" s="36"/>
      <c r="M1" s="36"/>
      <c r="N1" s="36"/>
      <c r="O1" s="36"/>
      <c r="P1" s="36"/>
      <c r="Q1" s="36"/>
    </row>
    <row r="2" spans="1:17" ht="18.75" x14ac:dyDescent="0.3">
      <c r="A2" s="36" t="s">
        <v>376</v>
      </c>
      <c r="B2" s="36"/>
      <c r="C2" s="36"/>
      <c r="D2" s="36"/>
      <c r="E2" s="36"/>
      <c r="F2" s="36"/>
      <c r="G2" s="36"/>
      <c r="H2" s="37"/>
      <c r="I2" s="37"/>
      <c r="J2" s="36"/>
      <c r="K2" s="36"/>
      <c r="L2" s="36"/>
      <c r="M2" s="36"/>
      <c r="N2" s="36"/>
      <c r="O2" s="36"/>
      <c r="P2" s="36"/>
      <c r="Q2" s="36"/>
    </row>
    <row r="3" spans="1:17" ht="18.75" x14ac:dyDescent="0.3">
      <c r="A3" s="39"/>
      <c r="B3" s="39"/>
      <c r="C3" s="39"/>
      <c r="D3" s="39"/>
      <c r="E3" s="39"/>
      <c r="F3" s="39"/>
      <c r="G3" s="39"/>
      <c r="H3" s="40"/>
      <c r="I3" s="40"/>
      <c r="J3" s="39"/>
      <c r="K3" s="39"/>
      <c r="L3" s="39"/>
      <c r="M3" s="39"/>
      <c r="N3" s="39"/>
      <c r="O3" s="39"/>
      <c r="P3" s="39"/>
      <c r="Q3" s="39"/>
    </row>
    <row r="4" spans="1:17" x14ac:dyDescent="0.25">
      <c r="A4" s="41" t="s">
        <v>374</v>
      </c>
      <c r="B4" s="42" t="s">
        <v>377</v>
      </c>
      <c r="C4" s="42"/>
      <c r="D4" s="42"/>
      <c r="E4" s="42"/>
      <c r="F4" s="42"/>
      <c r="G4" s="42"/>
      <c r="H4" s="43"/>
      <c r="I4" s="43"/>
      <c r="J4" s="42"/>
      <c r="K4" s="42"/>
      <c r="N4" s="41" t="s">
        <v>372</v>
      </c>
      <c r="O4" s="42"/>
    </row>
    <row r="5" spans="1:17" x14ac:dyDescent="0.25">
      <c r="A5" s="42"/>
      <c r="B5" s="42" t="s">
        <v>383</v>
      </c>
      <c r="C5" s="42"/>
      <c r="D5" s="42"/>
      <c r="E5" s="42"/>
      <c r="F5" s="42"/>
      <c r="G5" s="42"/>
      <c r="H5" s="43"/>
      <c r="I5" s="43"/>
      <c r="J5" s="42"/>
      <c r="K5" s="42"/>
    </row>
    <row r="7" spans="1:17" x14ac:dyDescent="0.25">
      <c r="A7" s="38" t="s">
        <v>379</v>
      </c>
      <c r="C7" s="38" t="s">
        <v>380</v>
      </c>
    </row>
    <row r="8" spans="1:17" x14ac:dyDescent="0.25">
      <c r="C8" s="38" t="s">
        <v>381</v>
      </c>
    </row>
    <row r="10" spans="1:17" x14ac:dyDescent="0.25">
      <c r="A10" s="38" t="s">
        <v>0</v>
      </c>
      <c r="D10" s="45" t="s">
        <v>44</v>
      </c>
      <c r="E10" s="46">
        <v>10080</v>
      </c>
      <c r="F10" s="45" t="s">
        <v>1</v>
      </c>
      <c r="K10" s="47"/>
      <c r="L10" s="44"/>
      <c r="M10" s="48"/>
      <c r="N10" s="48"/>
      <c r="O10" s="48"/>
    </row>
    <row r="11" spans="1:17" x14ac:dyDescent="0.25">
      <c r="A11" s="38" t="s">
        <v>2</v>
      </c>
      <c r="D11" s="45" t="s">
        <v>45</v>
      </c>
      <c r="E11" s="46">
        <v>6</v>
      </c>
      <c r="F11" s="45" t="s">
        <v>4</v>
      </c>
      <c r="L11" s="44"/>
      <c r="M11" s="48"/>
      <c r="N11" s="48"/>
      <c r="O11" s="48"/>
    </row>
    <row r="12" spans="1:17" x14ac:dyDescent="0.25">
      <c r="A12" s="38" t="s">
        <v>3</v>
      </c>
      <c r="D12" s="45" t="s">
        <v>46</v>
      </c>
      <c r="E12" s="46">
        <v>22</v>
      </c>
      <c r="F12" s="45" t="s">
        <v>4</v>
      </c>
      <c r="L12" s="44"/>
      <c r="M12" s="48"/>
      <c r="O12" s="48"/>
    </row>
    <row r="13" spans="1:17" x14ac:dyDescent="0.25">
      <c r="A13" s="38" t="s">
        <v>5</v>
      </c>
      <c r="D13" s="45" t="s">
        <v>47</v>
      </c>
      <c r="E13" s="46">
        <v>5</v>
      </c>
      <c r="F13" s="45" t="s">
        <v>6</v>
      </c>
      <c r="H13" s="44" t="s">
        <v>373</v>
      </c>
      <c r="I13" s="43">
        <v>40</v>
      </c>
    </row>
    <row r="14" spans="1:17" x14ac:dyDescent="0.25">
      <c r="A14" s="38" t="s">
        <v>7</v>
      </c>
      <c r="D14" s="45" t="s">
        <v>48</v>
      </c>
      <c r="E14" s="46">
        <v>0.2</v>
      </c>
      <c r="F14" s="45" t="s">
        <v>6</v>
      </c>
      <c r="H14" s="44" t="s">
        <v>200</v>
      </c>
      <c r="I14" s="43">
        <v>59.7</v>
      </c>
      <c r="J14" s="38" t="s">
        <v>49</v>
      </c>
      <c r="K14" s="49" t="s">
        <v>281</v>
      </c>
      <c r="L14" s="50"/>
      <c r="M14" s="50"/>
    </row>
    <row r="15" spans="1:17" x14ac:dyDescent="0.25">
      <c r="A15" s="38" t="s">
        <v>74</v>
      </c>
      <c r="D15" s="38" t="s">
        <v>75</v>
      </c>
      <c r="E15" s="42">
        <v>4</v>
      </c>
      <c r="F15" s="38" t="s">
        <v>76</v>
      </c>
    </row>
    <row r="16" spans="1:17" x14ac:dyDescent="0.25">
      <c r="A16" s="47" t="s">
        <v>8</v>
      </c>
      <c r="B16" s="38" t="s">
        <v>9</v>
      </c>
    </row>
    <row r="18" spans="1:10" x14ac:dyDescent="0.25">
      <c r="H18" s="44" t="s">
        <v>10</v>
      </c>
      <c r="I18" s="51">
        <f xml:space="preserve"> E10*(1-E11/E12)</f>
        <v>7330.909090909091</v>
      </c>
      <c r="J18" s="38" t="s">
        <v>1</v>
      </c>
    </row>
    <row r="20" spans="1:10" x14ac:dyDescent="0.25">
      <c r="A20" s="47" t="s">
        <v>11</v>
      </c>
      <c r="B20" s="38" t="s">
        <v>12</v>
      </c>
    </row>
    <row r="22" spans="1:10" x14ac:dyDescent="0.25">
      <c r="B22" s="38" t="s">
        <v>13</v>
      </c>
      <c r="E22" s="38" t="s">
        <v>14</v>
      </c>
      <c r="F22" s="42">
        <v>1.05</v>
      </c>
      <c r="H22" s="44" t="s">
        <v>28</v>
      </c>
      <c r="I22" s="51">
        <f>I18/(F22+1)</f>
        <v>3576.0532150776057</v>
      </c>
      <c r="J22" s="38" t="s">
        <v>1</v>
      </c>
    </row>
    <row r="23" spans="1:10" x14ac:dyDescent="0.25">
      <c r="H23" s="44" t="s">
        <v>29</v>
      </c>
      <c r="I23" s="51">
        <f xml:space="preserve"> I18 - I22</f>
        <v>3754.8558758314853</v>
      </c>
      <c r="J23" s="38" t="s">
        <v>1</v>
      </c>
    </row>
    <row r="25" spans="1:10" x14ac:dyDescent="0.25">
      <c r="A25" s="47" t="s">
        <v>15</v>
      </c>
      <c r="B25" s="38" t="s">
        <v>16</v>
      </c>
    </row>
    <row r="27" spans="1:10" x14ac:dyDescent="0.25">
      <c r="H27" s="44" t="s">
        <v>30</v>
      </c>
      <c r="I27" s="52">
        <f xml:space="preserve"> E10*E11/(E10-I22)</f>
        <v>9.2989690721649492</v>
      </c>
      <c r="J27" s="38" t="s">
        <v>4</v>
      </c>
    </row>
    <row r="28" spans="1:10" x14ac:dyDescent="0.25">
      <c r="H28" s="44" t="s">
        <v>31</v>
      </c>
      <c r="I28" s="51">
        <v>22</v>
      </c>
      <c r="J28" s="38" t="s">
        <v>4</v>
      </c>
    </row>
    <row r="30" spans="1:10" x14ac:dyDescent="0.25">
      <c r="A30" s="47" t="s">
        <v>17</v>
      </c>
      <c r="B30" s="38" t="s">
        <v>18</v>
      </c>
    </row>
    <row r="32" spans="1:10" x14ac:dyDescent="0.25">
      <c r="H32" s="44" t="s">
        <v>19</v>
      </c>
      <c r="I32" s="51">
        <f>E13 - E14</f>
        <v>4.8</v>
      </c>
      <c r="J32" s="38" t="s">
        <v>6</v>
      </c>
    </row>
    <row r="34" spans="1:17" x14ac:dyDescent="0.25">
      <c r="A34" s="47" t="s">
        <v>20</v>
      </c>
      <c r="B34" s="38" t="s">
        <v>21</v>
      </c>
    </row>
    <row r="36" spans="1:17" x14ac:dyDescent="0.25">
      <c r="A36" s="38" t="s">
        <v>71</v>
      </c>
    </row>
    <row r="37" spans="1:17" x14ac:dyDescent="0.25">
      <c r="C37" s="38" t="s">
        <v>22</v>
      </c>
      <c r="E37" s="42">
        <v>2.3199999999999998</v>
      </c>
      <c r="H37" s="44" t="s">
        <v>32</v>
      </c>
      <c r="I37" s="52">
        <f>I32 - I38</f>
        <v>3.3542168674698791</v>
      </c>
      <c r="J37" s="38" t="s">
        <v>6</v>
      </c>
    </row>
    <row r="38" spans="1:17" x14ac:dyDescent="0.25">
      <c r="H38" s="44" t="s">
        <v>33</v>
      </c>
      <c r="I38" s="52">
        <f xml:space="preserve"> I32/(1+E37)</f>
        <v>1.4457831325301205</v>
      </c>
      <c r="J38" s="38" t="s">
        <v>6</v>
      </c>
    </row>
    <row r="40" spans="1:17" x14ac:dyDescent="0.25">
      <c r="A40" s="38" t="s">
        <v>72</v>
      </c>
    </row>
    <row r="42" spans="1:17" x14ac:dyDescent="0.25">
      <c r="H42" s="44" t="s">
        <v>34</v>
      </c>
      <c r="I42" s="51">
        <f>E13</f>
        <v>5</v>
      </c>
      <c r="J42" s="38" t="s">
        <v>6</v>
      </c>
      <c r="M42" s="48"/>
      <c r="N42" s="48"/>
      <c r="O42" s="48"/>
      <c r="P42" s="48"/>
      <c r="Q42" s="48"/>
    </row>
    <row r="43" spans="1:17" x14ac:dyDescent="0.25">
      <c r="H43" s="44" t="s">
        <v>35</v>
      </c>
      <c r="I43" s="52">
        <f xml:space="preserve"> E13 - I37</f>
        <v>1.6457831325301209</v>
      </c>
      <c r="J43" s="38" t="s">
        <v>6</v>
      </c>
      <c r="M43" s="48"/>
      <c r="N43" s="48"/>
      <c r="O43" s="48"/>
      <c r="P43" s="48"/>
      <c r="Q43" s="48"/>
    </row>
    <row r="44" spans="1:17" x14ac:dyDescent="0.25">
      <c r="B44" s="38" t="s">
        <v>23</v>
      </c>
      <c r="M44" s="48"/>
      <c r="N44" s="48"/>
      <c r="O44" s="48"/>
      <c r="P44" s="48"/>
      <c r="Q44" s="48"/>
    </row>
    <row r="47" spans="1:17" x14ac:dyDescent="0.25">
      <c r="A47" s="38" t="s">
        <v>92</v>
      </c>
    </row>
    <row r="48" spans="1:17" x14ac:dyDescent="0.25">
      <c r="E48" s="49" t="s">
        <v>281</v>
      </c>
      <c r="F48" s="50"/>
      <c r="G48" s="50"/>
      <c r="H48" s="44" t="s">
        <v>36</v>
      </c>
      <c r="I48" s="43">
        <v>151.1</v>
      </c>
      <c r="J48" s="38" t="s">
        <v>49</v>
      </c>
      <c r="L48" s="44" t="s">
        <v>37</v>
      </c>
      <c r="M48" s="42">
        <v>113.6</v>
      </c>
      <c r="N48" s="38" t="s">
        <v>49</v>
      </c>
    </row>
    <row r="50" spans="1:14" x14ac:dyDescent="0.25">
      <c r="A50" s="38" t="s">
        <v>91</v>
      </c>
    </row>
    <row r="51" spans="1:14" x14ac:dyDescent="0.25">
      <c r="E51" s="49" t="s">
        <v>281</v>
      </c>
      <c r="F51" s="49"/>
      <c r="G51" s="50"/>
      <c r="H51" s="44" t="s">
        <v>38</v>
      </c>
      <c r="I51" s="43">
        <v>2754000</v>
      </c>
      <c r="J51" s="38" t="s">
        <v>25</v>
      </c>
      <c r="L51" s="44" t="s">
        <v>40</v>
      </c>
      <c r="M51" s="42">
        <v>2704500</v>
      </c>
      <c r="N51" s="38" t="s">
        <v>25</v>
      </c>
    </row>
    <row r="52" spans="1:14" x14ac:dyDescent="0.25">
      <c r="H52" s="44" t="s">
        <v>39</v>
      </c>
      <c r="I52" s="43">
        <v>2117000</v>
      </c>
      <c r="J52" s="38" t="s">
        <v>25</v>
      </c>
      <c r="L52" s="44" t="s">
        <v>41</v>
      </c>
      <c r="M52" s="42">
        <v>2224500</v>
      </c>
      <c r="N52" s="38" t="s">
        <v>25</v>
      </c>
    </row>
    <row r="54" spans="1:14" x14ac:dyDescent="0.25">
      <c r="A54" s="47" t="s">
        <v>26</v>
      </c>
      <c r="B54" s="38" t="s">
        <v>93</v>
      </c>
    </row>
    <row r="56" spans="1:14" x14ac:dyDescent="0.25">
      <c r="H56" s="44" t="s">
        <v>27</v>
      </c>
      <c r="I56" s="43">
        <v>1</v>
      </c>
      <c r="J56" s="38" t="s">
        <v>49</v>
      </c>
    </row>
    <row r="57" spans="1:14" x14ac:dyDescent="0.25">
      <c r="H57" s="44" t="s">
        <v>42</v>
      </c>
      <c r="I57" s="51">
        <f xml:space="preserve"> M48 + I56</f>
        <v>114.6</v>
      </c>
      <c r="J57" s="38" t="s">
        <v>49</v>
      </c>
      <c r="L57" s="44" t="s">
        <v>43</v>
      </c>
      <c r="M57" s="53">
        <f>I14 + I56</f>
        <v>60.7</v>
      </c>
      <c r="N57" s="38" t="s">
        <v>49</v>
      </c>
    </row>
    <row r="58" spans="1:14" x14ac:dyDescent="0.25">
      <c r="E58" s="49" t="s">
        <v>281</v>
      </c>
      <c r="F58" s="49"/>
      <c r="G58" s="50"/>
      <c r="H58" s="44" t="s">
        <v>50</v>
      </c>
      <c r="I58" s="43">
        <v>1.7056</v>
      </c>
      <c r="J58" s="38" t="s">
        <v>6</v>
      </c>
      <c r="L58" s="44" t="s">
        <v>51</v>
      </c>
      <c r="M58" s="42">
        <v>0.21099999999999999</v>
      </c>
      <c r="N58" s="38" t="s">
        <v>6</v>
      </c>
    </row>
    <row r="59" spans="1:14" x14ac:dyDescent="0.25">
      <c r="H59" s="44" t="s">
        <v>54</v>
      </c>
      <c r="I59" s="43">
        <v>2706167</v>
      </c>
      <c r="J59" s="38" t="s">
        <v>25</v>
      </c>
      <c r="L59" s="44" t="s">
        <v>52</v>
      </c>
      <c r="M59" s="42">
        <v>2608444</v>
      </c>
      <c r="N59" s="38" t="s">
        <v>25</v>
      </c>
    </row>
    <row r="60" spans="1:14" x14ac:dyDescent="0.25">
      <c r="H60" s="44" t="s">
        <v>55</v>
      </c>
      <c r="I60" s="43">
        <v>2221722</v>
      </c>
      <c r="J60" s="38" t="s">
        <v>25</v>
      </c>
      <c r="L60" s="44" t="s">
        <v>53</v>
      </c>
      <c r="M60" s="42">
        <v>2355556</v>
      </c>
      <c r="N60" s="38" t="s">
        <v>25</v>
      </c>
    </row>
    <row r="62" spans="1:14" x14ac:dyDescent="0.25">
      <c r="A62" s="41" t="s">
        <v>58</v>
      </c>
      <c r="B62" s="42"/>
      <c r="C62" s="42"/>
      <c r="D62" s="42"/>
    </row>
    <row r="64" spans="1:14" x14ac:dyDescent="0.25">
      <c r="A64" s="54" t="s">
        <v>59</v>
      </c>
      <c r="B64" s="55" t="s">
        <v>60</v>
      </c>
      <c r="C64" s="55"/>
      <c r="D64" s="55"/>
      <c r="E64" s="55"/>
      <c r="F64" s="55" t="s">
        <v>65</v>
      </c>
      <c r="G64" s="55"/>
      <c r="H64" s="55"/>
      <c r="I64" s="55"/>
      <c r="J64" s="54" t="s">
        <v>70</v>
      </c>
    </row>
    <row r="65" spans="1:18" x14ac:dyDescent="0.25">
      <c r="A65" s="54"/>
      <c r="B65" s="56" t="s">
        <v>61</v>
      </c>
      <c r="C65" s="56" t="s">
        <v>62</v>
      </c>
      <c r="D65" s="56" t="s">
        <v>63</v>
      </c>
      <c r="E65" s="56" t="s">
        <v>64</v>
      </c>
      <c r="F65" s="56" t="s">
        <v>66</v>
      </c>
      <c r="G65" s="56" t="s">
        <v>67</v>
      </c>
      <c r="H65" s="56" t="s">
        <v>68</v>
      </c>
      <c r="I65" s="57" t="s">
        <v>69</v>
      </c>
      <c r="J65" s="54"/>
    </row>
    <row r="66" spans="1:18" x14ac:dyDescent="0.25">
      <c r="A66" s="56">
        <v>1</v>
      </c>
      <c r="B66" s="58">
        <f>I42</f>
        <v>5</v>
      </c>
      <c r="C66" s="58">
        <f>I48</f>
        <v>151.1</v>
      </c>
      <c r="D66" s="58">
        <f>I51</f>
        <v>2754000</v>
      </c>
      <c r="E66" s="58">
        <f>I52</f>
        <v>2117000</v>
      </c>
      <c r="F66" s="58">
        <f>I58</f>
        <v>1.7056</v>
      </c>
      <c r="G66" s="58">
        <f>I57</f>
        <v>114.6</v>
      </c>
      <c r="H66" s="59">
        <f>I59</f>
        <v>2706167</v>
      </c>
      <c r="I66" s="59">
        <f>I60</f>
        <v>2221722</v>
      </c>
      <c r="J66" s="60">
        <f>I27</f>
        <v>9.2989690721649492</v>
      </c>
    </row>
    <row r="67" spans="1:18" x14ac:dyDescent="0.25">
      <c r="A67" s="56">
        <v>2</v>
      </c>
      <c r="B67" s="60">
        <f>I43</f>
        <v>1.6457831325301209</v>
      </c>
      <c r="C67" s="58">
        <f>M48</f>
        <v>113.6</v>
      </c>
      <c r="D67" s="58">
        <f>M51</f>
        <v>2704500</v>
      </c>
      <c r="E67" s="58">
        <f>M52</f>
        <v>2224500</v>
      </c>
      <c r="F67" s="58">
        <f>M58</f>
        <v>0.21099999999999999</v>
      </c>
      <c r="G67" s="58">
        <f>M57</f>
        <v>60.7</v>
      </c>
      <c r="H67" s="59">
        <f>M59</f>
        <v>2608444</v>
      </c>
      <c r="I67" s="59">
        <f>M60</f>
        <v>2355556</v>
      </c>
      <c r="J67" s="58">
        <f>E12</f>
        <v>22</v>
      </c>
    </row>
    <row r="70" spans="1:18" x14ac:dyDescent="0.25">
      <c r="A70" s="47" t="s">
        <v>56</v>
      </c>
      <c r="B70" s="38" t="s">
        <v>57</v>
      </c>
      <c r="N70" s="48"/>
      <c r="O70" s="48"/>
      <c r="P70" s="48"/>
      <c r="Q70" s="48"/>
      <c r="R70" s="48"/>
    </row>
    <row r="71" spans="1:18" x14ac:dyDescent="0.25">
      <c r="N71" s="48"/>
      <c r="O71" s="48"/>
      <c r="P71" s="48"/>
      <c r="Q71" s="48"/>
      <c r="R71" s="48"/>
    </row>
    <row r="72" spans="1:18" ht="17.25" x14ac:dyDescent="0.3">
      <c r="A72" s="61" t="s">
        <v>89</v>
      </c>
      <c r="I72" s="62"/>
      <c r="N72" s="48"/>
      <c r="O72" s="48"/>
      <c r="P72" s="48"/>
      <c r="Q72" s="48"/>
      <c r="R72" s="48"/>
    </row>
    <row r="73" spans="1:18" x14ac:dyDescent="0.25">
      <c r="A73" s="38" t="s">
        <v>73</v>
      </c>
      <c r="K73" s="49" t="s">
        <v>279</v>
      </c>
      <c r="L73" s="50"/>
      <c r="M73" s="50"/>
    </row>
    <row r="74" spans="1:18" x14ac:dyDescent="0.25">
      <c r="H74" s="44" t="s">
        <v>86</v>
      </c>
      <c r="I74" s="52">
        <f>(F66*9.81*10^4+(I78+E15/2)*I80*I82)/(9.81*10^4)</f>
        <v>1.8432625000000002</v>
      </c>
      <c r="J74" s="38" t="s">
        <v>6</v>
      </c>
      <c r="L74" s="44" t="s">
        <v>277</v>
      </c>
      <c r="M74" s="42">
        <v>116.96</v>
      </c>
      <c r="N74" s="38" t="s">
        <v>49</v>
      </c>
    </row>
    <row r="75" spans="1:18" x14ac:dyDescent="0.25">
      <c r="H75" s="44" t="s">
        <v>87</v>
      </c>
      <c r="I75" s="52">
        <f>(M58*9.81*10^4+(I78+E15/2)*I81*I82)/(9.81*10^4)</f>
        <v>0.36612500000000003</v>
      </c>
      <c r="J75" s="38" t="s">
        <v>6</v>
      </c>
      <c r="L75" s="44" t="s">
        <v>278</v>
      </c>
      <c r="M75" s="42">
        <v>73.39</v>
      </c>
      <c r="N75" s="38" t="s">
        <v>49</v>
      </c>
    </row>
    <row r="78" spans="1:18" x14ac:dyDescent="0.25">
      <c r="A78" s="38" t="s">
        <v>90</v>
      </c>
      <c r="C78" s="38" t="s">
        <v>80</v>
      </c>
      <c r="D78" s="42">
        <v>1101.3</v>
      </c>
      <c r="E78" s="38" t="s">
        <v>79</v>
      </c>
      <c r="H78" s="44" t="s">
        <v>77</v>
      </c>
      <c r="I78" s="43">
        <v>0.5</v>
      </c>
      <c r="J78" s="38" t="s">
        <v>76</v>
      </c>
    </row>
    <row r="79" spans="1:18" x14ac:dyDescent="0.25">
      <c r="C79" s="38" t="s">
        <v>81</v>
      </c>
      <c r="D79" s="42">
        <v>1241</v>
      </c>
      <c r="E79" s="38" t="s">
        <v>79</v>
      </c>
      <c r="H79" s="44" t="s">
        <v>78</v>
      </c>
      <c r="I79" s="51">
        <f>E15</f>
        <v>4</v>
      </c>
      <c r="J79" s="38" t="s">
        <v>76</v>
      </c>
    </row>
    <row r="80" spans="1:18" x14ac:dyDescent="0.25">
      <c r="H80" s="44" t="s">
        <v>82</v>
      </c>
      <c r="I80" s="51">
        <f>D78/2</f>
        <v>550.65</v>
      </c>
      <c r="J80" s="38" t="s">
        <v>79</v>
      </c>
    </row>
    <row r="81" spans="1:18" x14ac:dyDescent="0.25">
      <c r="H81" s="44" t="s">
        <v>83</v>
      </c>
      <c r="I81" s="51">
        <f>D79/2</f>
        <v>620.5</v>
      </c>
      <c r="J81" s="38" t="s">
        <v>79</v>
      </c>
    </row>
    <row r="82" spans="1:18" x14ac:dyDescent="0.25">
      <c r="H82" s="44" t="s">
        <v>84</v>
      </c>
      <c r="I82" s="43">
        <v>9.81</v>
      </c>
      <c r="J82" s="38" t="s">
        <v>85</v>
      </c>
    </row>
    <row r="84" spans="1:18" x14ac:dyDescent="0.25">
      <c r="A84" s="38" t="s">
        <v>88</v>
      </c>
    </row>
    <row r="85" spans="1:18" x14ac:dyDescent="0.25">
      <c r="H85" s="44" t="s">
        <v>96</v>
      </c>
      <c r="I85" s="51">
        <f>M74-G66</f>
        <v>2.3599999999999994</v>
      </c>
      <c r="J85" s="38" t="s">
        <v>49</v>
      </c>
    </row>
    <row r="86" spans="1:18" x14ac:dyDescent="0.25">
      <c r="H86" s="44" t="s">
        <v>97</v>
      </c>
      <c r="I86" s="51">
        <f>M75-G67</f>
        <v>12.689999999999998</v>
      </c>
      <c r="J86" s="38" t="s">
        <v>49</v>
      </c>
    </row>
    <row r="88" spans="1:18" ht="17.25" x14ac:dyDescent="0.3">
      <c r="A88" s="61" t="s">
        <v>98</v>
      </c>
    </row>
    <row r="89" spans="1:18" x14ac:dyDescent="0.25">
      <c r="N89" s="48"/>
      <c r="O89" s="48"/>
      <c r="P89" s="48"/>
      <c r="Q89" s="48"/>
      <c r="R89" s="48"/>
    </row>
    <row r="90" spans="1:18" x14ac:dyDescent="0.25">
      <c r="E90" s="49" t="s">
        <v>280</v>
      </c>
      <c r="F90" s="50"/>
      <c r="H90" s="44" t="s">
        <v>99</v>
      </c>
      <c r="I90" s="43">
        <v>2.548</v>
      </c>
      <c r="J90" s="38" t="s">
        <v>49</v>
      </c>
      <c r="K90" s="63" t="s">
        <v>105</v>
      </c>
      <c r="L90" s="63"/>
      <c r="M90" s="63"/>
      <c r="N90" s="48"/>
      <c r="O90" s="48"/>
      <c r="P90" s="48"/>
      <c r="Q90" s="48"/>
      <c r="R90" s="48"/>
    </row>
    <row r="91" spans="1:18" x14ac:dyDescent="0.25">
      <c r="H91" s="44" t="s">
        <v>100</v>
      </c>
      <c r="I91" s="43">
        <v>9.8000000000000007</v>
      </c>
      <c r="J91" s="38" t="s">
        <v>49</v>
      </c>
      <c r="K91" s="63"/>
      <c r="L91" s="63"/>
      <c r="M91" s="63"/>
      <c r="N91" s="48"/>
      <c r="O91" s="48"/>
      <c r="P91" s="48"/>
      <c r="Q91" s="48"/>
      <c r="R91" s="48"/>
    </row>
    <row r="92" spans="1:18" x14ac:dyDescent="0.25">
      <c r="H92" s="44" t="s">
        <v>55</v>
      </c>
      <c r="I92" s="51">
        <f>I66</f>
        <v>2221722</v>
      </c>
      <c r="J92" s="38" t="s">
        <v>25</v>
      </c>
    </row>
    <row r="93" spans="1:18" x14ac:dyDescent="0.25">
      <c r="H93" s="44" t="s">
        <v>53</v>
      </c>
      <c r="I93" s="51">
        <f>I67</f>
        <v>2355556</v>
      </c>
      <c r="J93" s="38" t="s">
        <v>25</v>
      </c>
    </row>
    <row r="94" spans="1:18" x14ac:dyDescent="0.25">
      <c r="H94" s="44" t="s">
        <v>101</v>
      </c>
      <c r="I94" s="52">
        <f>16.2*((M74+273)^2)/I92</f>
        <v>1.1088311615584665</v>
      </c>
      <c r="L94" s="44" t="s">
        <v>103</v>
      </c>
      <c r="M94" s="64">
        <f>I90*I94</f>
        <v>2.8253017996509726</v>
      </c>
      <c r="N94" s="38" t="s">
        <v>49</v>
      </c>
    </row>
    <row r="95" spans="1:18" x14ac:dyDescent="0.25">
      <c r="H95" s="44" t="s">
        <v>102</v>
      </c>
      <c r="I95" s="52">
        <f>16.2*((M75+273)^2)/I93</f>
        <v>0.82518680091664132</v>
      </c>
      <c r="L95" s="44" t="s">
        <v>104</v>
      </c>
      <c r="M95" s="64">
        <f>I91*I95</f>
        <v>8.086830648983085</v>
      </c>
      <c r="N95" s="38" t="s">
        <v>49</v>
      </c>
    </row>
    <row r="97" spans="1:14" ht="17.25" x14ac:dyDescent="0.3">
      <c r="A97" s="61" t="s">
        <v>106</v>
      </c>
    </row>
    <row r="98" spans="1:14" x14ac:dyDescent="0.25">
      <c r="L98" s="44" t="s">
        <v>94</v>
      </c>
      <c r="M98" s="64">
        <f>G66+M94+I85</f>
        <v>119.78530179965097</v>
      </c>
      <c r="N98" s="38" t="s">
        <v>49</v>
      </c>
    </row>
    <row r="99" spans="1:14" x14ac:dyDescent="0.25">
      <c r="H99" s="44" t="s">
        <v>109</v>
      </c>
      <c r="I99" s="52">
        <f>M94+M95+I85+I86+2*I56</f>
        <v>27.962132448634055</v>
      </c>
      <c r="J99" s="38" t="s">
        <v>49</v>
      </c>
      <c r="L99" s="44" t="s">
        <v>95</v>
      </c>
      <c r="M99" s="64">
        <f>G67+M95+I86</f>
        <v>81.476830648983082</v>
      </c>
      <c r="N99" s="38" t="s">
        <v>49</v>
      </c>
    </row>
    <row r="102" spans="1:14" x14ac:dyDescent="0.25">
      <c r="A102" s="47" t="s">
        <v>107</v>
      </c>
      <c r="B102" s="38" t="s">
        <v>108</v>
      </c>
    </row>
    <row r="104" spans="1:14" x14ac:dyDescent="0.25">
      <c r="H104" s="44" t="s">
        <v>110</v>
      </c>
      <c r="I104" s="52">
        <f>I48-I14-I99</f>
        <v>63.43786755136594</v>
      </c>
      <c r="J104" s="38" t="s">
        <v>49</v>
      </c>
    </row>
    <row r="106" spans="1:14" x14ac:dyDescent="0.25">
      <c r="H106" s="44" t="s">
        <v>111</v>
      </c>
      <c r="I106" s="52">
        <f>C66-M98</f>
        <v>31.314698200349028</v>
      </c>
      <c r="J106" s="38" t="s">
        <v>49</v>
      </c>
    </row>
    <row r="107" spans="1:14" x14ac:dyDescent="0.25">
      <c r="H107" s="44" t="s">
        <v>112</v>
      </c>
      <c r="I107" s="52">
        <f>C67-M99</f>
        <v>32.123169351016912</v>
      </c>
      <c r="J107" s="38" t="s">
        <v>49</v>
      </c>
    </row>
    <row r="110" spans="1:14" x14ac:dyDescent="0.25">
      <c r="A110" s="41" t="s">
        <v>113</v>
      </c>
      <c r="B110" s="42"/>
      <c r="C110" s="42"/>
      <c r="D110" s="42"/>
    </row>
    <row r="112" spans="1:14" x14ac:dyDescent="0.25">
      <c r="A112" s="56" t="s">
        <v>59</v>
      </c>
      <c r="B112" s="56" t="s">
        <v>114</v>
      </c>
      <c r="C112" s="56" t="s">
        <v>115</v>
      </c>
      <c r="D112" s="56" t="s">
        <v>116</v>
      </c>
      <c r="E112" s="56" t="s">
        <v>117</v>
      </c>
      <c r="F112" s="56" t="s">
        <v>118</v>
      </c>
    </row>
    <row r="113" spans="1:16" x14ac:dyDescent="0.25">
      <c r="A113" s="56">
        <v>1</v>
      </c>
      <c r="B113" s="60">
        <f>M94</f>
        <v>2.8253017996509726</v>
      </c>
      <c r="C113" s="58">
        <f>I85</f>
        <v>2.3599999999999994</v>
      </c>
      <c r="D113" s="58">
        <f>I56</f>
        <v>1</v>
      </c>
      <c r="E113" s="60">
        <f>I106</f>
        <v>31.314698200349028</v>
      </c>
      <c r="F113" s="60">
        <f>M98</f>
        <v>119.78530179965097</v>
      </c>
    </row>
    <row r="114" spans="1:16" x14ac:dyDescent="0.25">
      <c r="A114" s="56">
        <v>2</v>
      </c>
      <c r="B114" s="60">
        <f>M95</f>
        <v>8.086830648983085</v>
      </c>
      <c r="C114" s="58">
        <f>I86</f>
        <v>12.689999999999998</v>
      </c>
      <c r="D114" s="58">
        <f>I56</f>
        <v>1</v>
      </c>
      <c r="E114" s="60">
        <f>I107</f>
        <v>32.123169351016912</v>
      </c>
      <c r="F114" s="60">
        <f>M99</f>
        <v>81.476830648983082</v>
      </c>
    </row>
    <row r="116" spans="1:16" x14ac:dyDescent="0.25">
      <c r="A116" s="47" t="s">
        <v>119</v>
      </c>
      <c r="B116" s="38" t="s">
        <v>120</v>
      </c>
    </row>
    <row r="118" spans="1:16" ht="17.25" x14ac:dyDescent="0.3">
      <c r="A118" s="61" t="s">
        <v>121</v>
      </c>
    </row>
    <row r="119" spans="1:16" x14ac:dyDescent="0.25">
      <c r="B119" s="65" t="s">
        <v>122</v>
      </c>
    </row>
    <row r="120" spans="1:16" x14ac:dyDescent="0.25">
      <c r="C120" s="38" t="s">
        <v>123</v>
      </c>
    </row>
    <row r="121" spans="1:16" x14ac:dyDescent="0.25">
      <c r="H121" s="44" t="s">
        <v>124</v>
      </c>
      <c r="I121" s="52">
        <f>M98</f>
        <v>119.78530179965097</v>
      </c>
      <c r="J121" s="38" t="s">
        <v>49</v>
      </c>
    </row>
    <row r="122" spans="1:16" x14ac:dyDescent="0.25">
      <c r="H122" s="44" t="s">
        <v>95</v>
      </c>
      <c r="I122" s="52">
        <f>M99</f>
        <v>81.476830648983082</v>
      </c>
      <c r="J122" s="38" t="s">
        <v>49</v>
      </c>
    </row>
    <row r="123" spans="1:16" x14ac:dyDescent="0.25">
      <c r="C123" s="38" t="s">
        <v>125</v>
      </c>
    </row>
    <row r="124" spans="1:16" x14ac:dyDescent="0.25">
      <c r="C124" s="38" t="s">
        <v>126</v>
      </c>
      <c r="H124" s="44" t="s">
        <v>127</v>
      </c>
      <c r="I124" s="51">
        <f>E11</f>
        <v>6</v>
      </c>
      <c r="J124" s="38" t="s">
        <v>4</v>
      </c>
      <c r="L124" s="66" t="s">
        <v>378</v>
      </c>
      <c r="M124" s="66"/>
      <c r="N124" s="66"/>
      <c r="O124" s="66"/>
      <c r="P124" s="66"/>
    </row>
    <row r="125" spans="1:16" x14ac:dyDescent="0.25">
      <c r="H125" s="44" t="s">
        <v>128</v>
      </c>
      <c r="I125" s="51">
        <f>4186*(1-I124/100)</f>
        <v>3934.8399999999997</v>
      </c>
      <c r="J125" s="38" t="s">
        <v>129</v>
      </c>
      <c r="L125" s="66"/>
      <c r="M125" s="66"/>
      <c r="N125" s="66"/>
      <c r="O125" s="66"/>
      <c r="P125" s="66"/>
    </row>
    <row r="126" spans="1:16" x14ac:dyDescent="0.25">
      <c r="C126" s="38" t="s">
        <v>130</v>
      </c>
      <c r="H126" s="44" t="s">
        <v>131</v>
      </c>
      <c r="I126" s="52">
        <f>J66</f>
        <v>9.2989690721649492</v>
      </c>
      <c r="J126" s="38" t="s">
        <v>4</v>
      </c>
      <c r="L126" s="66"/>
      <c r="M126" s="66"/>
      <c r="N126" s="66"/>
      <c r="O126" s="66"/>
      <c r="P126" s="66"/>
    </row>
    <row r="127" spans="1:16" x14ac:dyDescent="0.25">
      <c r="H127" s="44" t="s">
        <v>132</v>
      </c>
      <c r="I127" s="51">
        <f>4186*(1-I126/100)</f>
        <v>3796.7451546391749</v>
      </c>
      <c r="J127" s="38" t="s">
        <v>129</v>
      </c>
      <c r="L127" s="66"/>
      <c r="M127" s="66"/>
      <c r="N127" s="66"/>
      <c r="O127" s="66"/>
      <c r="P127" s="66"/>
    </row>
    <row r="128" spans="1:16" x14ac:dyDescent="0.25">
      <c r="C128" s="38" t="s">
        <v>133</v>
      </c>
      <c r="H128" s="44" t="s">
        <v>134</v>
      </c>
      <c r="I128" s="51">
        <f>E12</f>
        <v>22</v>
      </c>
      <c r="J128" s="38" t="s">
        <v>4</v>
      </c>
      <c r="L128" s="66"/>
      <c r="M128" s="66"/>
      <c r="N128" s="66"/>
      <c r="O128" s="66"/>
      <c r="P128" s="66"/>
    </row>
    <row r="129" spans="1:18" x14ac:dyDescent="0.25">
      <c r="H129" s="44" t="s">
        <v>135</v>
      </c>
      <c r="I129" s="43">
        <v>1310.8</v>
      </c>
      <c r="J129" s="38" t="s">
        <v>129</v>
      </c>
      <c r="L129" s="66"/>
      <c r="M129" s="66"/>
      <c r="N129" s="66"/>
      <c r="O129" s="66"/>
      <c r="P129" s="66"/>
    </row>
    <row r="130" spans="1:18" x14ac:dyDescent="0.25">
      <c r="H130" s="44" t="s">
        <v>136</v>
      </c>
      <c r="I130" s="51">
        <f>I129*I128/100+4186*(1-I128/100)</f>
        <v>3553.4560000000001</v>
      </c>
      <c r="J130" s="38" t="s">
        <v>129</v>
      </c>
      <c r="L130" s="66"/>
      <c r="M130" s="66"/>
      <c r="N130" s="66"/>
      <c r="O130" s="66"/>
      <c r="P130" s="66"/>
    </row>
    <row r="132" spans="1:18" x14ac:dyDescent="0.25">
      <c r="B132" s="65" t="s">
        <v>137</v>
      </c>
    </row>
    <row r="133" spans="1:18" x14ac:dyDescent="0.25">
      <c r="C133" s="38" t="s">
        <v>138</v>
      </c>
      <c r="N133" s="48"/>
      <c r="O133" s="48"/>
      <c r="P133" s="48"/>
      <c r="Q133" s="48"/>
      <c r="R133" s="48"/>
    </row>
    <row r="134" spans="1:18" ht="17.25" x14ac:dyDescent="0.3">
      <c r="H134" s="67" t="s">
        <v>139</v>
      </c>
      <c r="I134" s="51">
        <f>C66</f>
        <v>151.1</v>
      </c>
      <c r="J134" s="38" t="s">
        <v>49</v>
      </c>
      <c r="N134" s="48"/>
      <c r="O134" s="48"/>
      <c r="P134" s="48"/>
      <c r="Q134" s="48"/>
      <c r="R134" s="48"/>
    </row>
    <row r="135" spans="1:18" x14ac:dyDescent="0.25">
      <c r="H135" s="44" t="s">
        <v>140</v>
      </c>
      <c r="I135" s="51">
        <f>C67</f>
        <v>113.6</v>
      </c>
      <c r="J135" s="38" t="s">
        <v>49</v>
      </c>
      <c r="N135" s="48"/>
      <c r="O135" s="48"/>
      <c r="P135" s="48"/>
      <c r="Q135" s="48"/>
      <c r="R135" s="48"/>
    </row>
    <row r="136" spans="1:18" x14ac:dyDescent="0.25">
      <c r="C136" s="38" t="s">
        <v>141</v>
      </c>
    </row>
    <row r="137" spans="1:18" x14ac:dyDescent="0.25">
      <c r="D137" s="49" t="s">
        <v>282</v>
      </c>
      <c r="E137" s="50"/>
      <c r="H137" s="44" t="s">
        <v>142</v>
      </c>
      <c r="I137" s="43">
        <v>4299.826</v>
      </c>
      <c r="J137" s="38" t="s">
        <v>129</v>
      </c>
    </row>
    <row r="138" spans="1:18" x14ac:dyDescent="0.25">
      <c r="H138" s="44" t="s">
        <v>143</v>
      </c>
      <c r="I138" s="43">
        <v>4240.5039999999999</v>
      </c>
      <c r="J138" s="38" t="s">
        <v>129</v>
      </c>
    </row>
    <row r="139" spans="1:18" x14ac:dyDescent="0.25">
      <c r="B139" s="65" t="s">
        <v>144</v>
      </c>
    </row>
    <row r="140" spans="1:18" x14ac:dyDescent="0.25">
      <c r="H140" s="44" t="s">
        <v>28</v>
      </c>
      <c r="I140" s="52">
        <f>(I18*(H67-I130*F114)+E10*(I130*F114-I127*F113))/(0.95*(D67-I138*I135)-I127*F113+H67)</f>
        <v>3595.0357418921753</v>
      </c>
      <c r="J140" s="38" t="s">
        <v>1</v>
      </c>
    </row>
    <row r="141" spans="1:18" x14ac:dyDescent="0.25">
      <c r="H141" s="44" t="s">
        <v>29</v>
      </c>
      <c r="I141" s="52">
        <f>I18-I140</f>
        <v>3735.8733490169157</v>
      </c>
      <c r="J141" s="38" t="s">
        <v>1</v>
      </c>
    </row>
    <row r="142" spans="1:18" x14ac:dyDescent="0.25">
      <c r="H142" s="44" t="s">
        <v>145</v>
      </c>
      <c r="I142" s="52">
        <f>(E10*(I127*F113-I125*I121)+I140*(H66-I127*I121))/(0.95*(D66-I137*I134))</f>
        <v>3965.3335191579367</v>
      </c>
      <c r="J142" s="38" t="s">
        <v>1</v>
      </c>
    </row>
    <row r="144" spans="1:18" x14ac:dyDescent="0.25">
      <c r="A144" s="41" t="s">
        <v>146</v>
      </c>
      <c r="B144" s="42"/>
      <c r="C144" s="42"/>
      <c r="D144" s="42"/>
    </row>
    <row r="146" spans="1:15" x14ac:dyDescent="0.25">
      <c r="A146" s="54" t="s">
        <v>59</v>
      </c>
      <c r="B146" s="54" t="s">
        <v>147</v>
      </c>
      <c r="C146" s="54" t="s">
        <v>148</v>
      </c>
      <c r="D146" s="54" t="s">
        <v>149</v>
      </c>
      <c r="E146" s="54" t="s">
        <v>150</v>
      </c>
      <c r="F146" s="54"/>
      <c r="G146" s="54" t="s">
        <v>153</v>
      </c>
    </row>
    <row r="147" spans="1:15" x14ac:dyDescent="0.25">
      <c r="A147" s="54"/>
      <c r="B147" s="54"/>
      <c r="C147" s="54"/>
      <c r="D147" s="54"/>
      <c r="E147" s="58" t="s">
        <v>151</v>
      </c>
      <c r="F147" s="58" t="s">
        <v>152</v>
      </c>
      <c r="G147" s="54"/>
    </row>
    <row r="148" spans="1:15" x14ac:dyDescent="0.25">
      <c r="A148" s="56">
        <v>1</v>
      </c>
      <c r="B148" s="58">
        <f>I127</f>
        <v>3796.7451546391749</v>
      </c>
      <c r="C148" s="58">
        <f>I137</f>
        <v>4299.826</v>
      </c>
      <c r="D148" s="58">
        <f>I134</f>
        <v>151.1</v>
      </c>
      <c r="E148" s="58">
        <f>I22</f>
        <v>3576.0532150776057</v>
      </c>
      <c r="F148" s="60">
        <f>I140</f>
        <v>3595.0357418921753</v>
      </c>
      <c r="G148" s="60">
        <f>(F148-E148)/E148*100</f>
        <v>0.5308233874857945</v>
      </c>
      <c r="K148" s="48"/>
      <c r="L148" s="48"/>
      <c r="M148" s="48"/>
      <c r="N148" s="48"/>
      <c r="O148" s="48"/>
    </row>
    <row r="149" spans="1:15" x14ac:dyDescent="0.25">
      <c r="A149" s="68">
        <v>2</v>
      </c>
      <c r="B149" s="60">
        <f>I130</f>
        <v>3553.4560000000001</v>
      </c>
      <c r="C149" s="58">
        <f>I138</f>
        <v>4240.5039999999999</v>
      </c>
      <c r="D149" s="58">
        <f>I135</f>
        <v>113.6</v>
      </c>
      <c r="E149" s="58">
        <f>I23</f>
        <v>3754.8558758314853</v>
      </c>
      <c r="F149" s="60">
        <f>I141</f>
        <v>3735.8733490169157</v>
      </c>
      <c r="G149" s="60">
        <f>(E149-F149)/E149*100</f>
        <v>0.50554608331980444</v>
      </c>
      <c r="K149" s="48"/>
      <c r="L149" s="48"/>
      <c r="M149" s="48"/>
      <c r="N149" s="48"/>
      <c r="O149" s="48"/>
    </row>
    <row r="150" spans="1:15" x14ac:dyDescent="0.25">
      <c r="K150" s="48"/>
      <c r="L150" s="48"/>
      <c r="M150" s="48"/>
      <c r="N150" s="48"/>
      <c r="O150" s="48"/>
    </row>
    <row r="152" spans="1:15" ht="17.25" x14ac:dyDescent="0.3">
      <c r="A152" s="61" t="s">
        <v>154</v>
      </c>
    </row>
    <row r="154" spans="1:15" x14ac:dyDescent="0.25">
      <c r="C154" s="38" t="s">
        <v>155</v>
      </c>
      <c r="D154" s="64">
        <f>I141/I140</f>
        <v>1.039175579114163</v>
      </c>
      <c r="K154" s="48"/>
      <c r="L154" s="48"/>
      <c r="M154" s="48"/>
      <c r="N154" s="48"/>
      <c r="O154" s="48"/>
    </row>
    <row r="155" spans="1:15" x14ac:dyDescent="0.25">
      <c r="K155" s="48"/>
      <c r="L155" s="48"/>
      <c r="M155" s="48"/>
      <c r="N155" s="48"/>
      <c r="O155" s="48"/>
    </row>
    <row r="156" spans="1:15" x14ac:dyDescent="0.25">
      <c r="A156" s="47" t="s">
        <v>156</v>
      </c>
      <c r="B156" s="38" t="s">
        <v>157</v>
      </c>
      <c r="G156" s="69"/>
      <c r="H156" s="70"/>
      <c r="K156" s="48"/>
      <c r="L156" s="48"/>
      <c r="M156" s="48"/>
      <c r="N156" s="48"/>
      <c r="O156" s="48"/>
    </row>
    <row r="157" spans="1:15" x14ac:dyDescent="0.25">
      <c r="G157" s="69"/>
      <c r="H157" s="70"/>
    </row>
    <row r="158" spans="1:15" ht="17.25" x14ac:dyDescent="0.3">
      <c r="A158" s="61" t="s">
        <v>158</v>
      </c>
    </row>
    <row r="159" spans="1:15" x14ac:dyDescent="0.25">
      <c r="F159" s="48"/>
      <c r="L159" s="49" t="s">
        <v>283</v>
      </c>
      <c r="M159" s="50"/>
    </row>
    <row r="160" spans="1:15" x14ac:dyDescent="0.25">
      <c r="B160" s="44" t="s">
        <v>159</v>
      </c>
      <c r="C160" s="42">
        <v>2.1680000000000001</v>
      </c>
      <c r="D160" s="38" t="s">
        <v>49</v>
      </c>
      <c r="I160" s="44" t="s">
        <v>161</v>
      </c>
      <c r="J160" s="64">
        <f>C66-C160/2</f>
        <v>150.01599999999999</v>
      </c>
      <c r="K160" s="38" t="s">
        <v>49</v>
      </c>
      <c r="M160" s="44" t="s">
        <v>163</v>
      </c>
      <c r="N160" s="42">
        <v>195.50299999999999</v>
      </c>
    </row>
    <row r="161" spans="1:14" x14ac:dyDescent="0.25">
      <c r="B161" s="44" t="s">
        <v>160</v>
      </c>
      <c r="C161" s="42">
        <v>1.98</v>
      </c>
      <c r="D161" s="38" t="s">
        <v>49</v>
      </c>
      <c r="I161" s="44" t="s">
        <v>162</v>
      </c>
      <c r="J161" s="64">
        <f>C67-C161/2</f>
        <v>112.61</v>
      </c>
      <c r="K161" s="38" t="s">
        <v>49</v>
      </c>
      <c r="M161" s="44" t="s">
        <v>164</v>
      </c>
      <c r="N161" s="42">
        <v>184.67</v>
      </c>
    </row>
    <row r="162" spans="1:14" x14ac:dyDescent="0.25">
      <c r="F162" s="69"/>
    </row>
    <row r="163" spans="1:14" ht="17.25" x14ac:dyDescent="0.3">
      <c r="A163" s="61" t="s">
        <v>177</v>
      </c>
      <c r="B163" s="48"/>
      <c r="F163" s="69"/>
      <c r="I163" s="44" t="s">
        <v>165</v>
      </c>
      <c r="J163" s="64">
        <f>2.04*N160*SQRT(SQRT(E66/(C160*E15)))</f>
        <v>8865.1071809709902</v>
      </c>
      <c r="K163" s="38" t="s">
        <v>167</v>
      </c>
    </row>
    <row r="164" spans="1:14" x14ac:dyDescent="0.25">
      <c r="A164" s="48"/>
      <c r="B164" s="48"/>
      <c r="I164" s="44" t="s">
        <v>166</v>
      </c>
      <c r="J164" s="64">
        <f>2.04*N161*SQRT(SQRT(E67/(C161*E15)))</f>
        <v>8672.6800284028686</v>
      </c>
      <c r="K164" s="38" t="s">
        <v>167</v>
      </c>
    </row>
    <row r="166" spans="1:14" x14ac:dyDescent="0.25">
      <c r="I166" s="44" t="s">
        <v>168</v>
      </c>
      <c r="J166" s="64">
        <f>J163*C160</f>
        <v>19219.552368345107</v>
      </c>
      <c r="K166" s="38" t="s">
        <v>170</v>
      </c>
    </row>
    <row r="167" spans="1:14" x14ac:dyDescent="0.25">
      <c r="A167" s="41" t="s">
        <v>171</v>
      </c>
      <c r="B167" s="71"/>
      <c r="I167" s="44" t="s">
        <v>169</v>
      </c>
      <c r="J167" s="64">
        <f>J164*C161</f>
        <v>17171.906456237681</v>
      </c>
      <c r="K167" s="38" t="s">
        <v>170</v>
      </c>
    </row>
    <row r="168" spans="1:14" x14ac:dyDescent="0.25">
      <c r="A168" s="56" t="s">
        <v>59</v>
      </c>
      <c r="B168" s="56" t="s">
        <v>176</v>
      </c>
      <c r="C168" s="56" t="s">
        <v>172</v>
      </c>
      <c r="D168" s="56" t="s">
        <v>173</v>
      </c>
      <c r="E168" s="56" t="s">
        <v>174</v>
      </c>
      <c r="F168" s="56" t="s">
        <v>175</v>
      </c>
    </row>
    <row r="169" spans="1:14" x14ac:dyDescent="0.25">
      <c r="A169" s="56">
        <v>1</v>
      </c>
      <c r="B169" s="58">
        <f>C160</f>
        <v>2.1680000000000001</v>
      </c>
      <c r="C169" s="58">
        <f>J160</f>
        <v>150.01599999999999</v>
      </c>
      <c r="D169" s="58">
        <f>N160</f>
        <v>195.50299999999999</v>
      </c>
      <c r="E169" s="60">
        <f>J163</f>
        <v>8865.1071809709902</v>
      </c>
      <c r="F169" s="58">
        <f>J166</f>
        <v>19219.552368345107</v>
      </c>
    </row>
    <row r="170" spans="1:14" x14ac:dyDescent="0.25">
      <c r="A170" s="56">
        <v>2</v>
      </c>
      <c r="B170" s="58">
        <f>C161</f>
        <v>1.98</v>
      </c>
      <c r="C170" s="58">
        <f>J161</f>
        <v>112.61</v>
      </c>
      <c r="D170" s="58">
        <f>N161</f>
        <v>184.67</v>
      </c>
      <c r="E170" s="60">
        <f>J164</f>
        <v>8672.6800284028686</v>
      </c>
      <c r="F170" s="58">
        <f>J167</f>
        <v>17171.906456237681</v>
      </c>
    </row>
    <row r="172" spans="1:14" ht="17.25" x14ac:dyDescent="0.3">
      <c r="A172" s="61" t="s">
        <v>178</v>
      </c>
    </row>
    <row r="176" spans="1:14" x14ac:dyDescent="0.25">
      <c r="B176" s="65" t="s">
        <v>179</v>
      </c>
    </row>
    <row r="177" spans="3:13" x14ac:dyDescent="0.25">
      <c r="C177" s="38" t="s">
        <v>180</v>
      </c>
    </row>
    <row r="178" spans="3:13" x14ac:dyDescent="0.25">
      <c r="D178" s="38" t="s">
        <v>188</v>
      </c>
      <c r="I178" s="44" t="s">
        <v>39</v>
      </c>
      <c r="J178" s="42">
        <f>0.387*10^(-3)</f>
        <v>3.8700000000000003E-4</v>
      </c>
      <c r="K178" s="38" t="s">
        <v>181</v>
      </c>
    </row>
    <row r="179" spans="3:13" x14ac:dyDescent="0.25">
      <c r="D179" s="38" t="s">
        <v>189</v>
      </c>
      <c r="I179" s="44" t="s">
        <v>41</v>
      </c>
      <c r="J179" s="42">
        <f>0.232*10^(-3)</f>
        <v>2.3200000000000003E-4</v>
      </c>
      <c r="K179" s="38" t="s">
        <v>181</v>
      </c>
    </row>
    <row r="180" spans="3:13" x14ac:dyDescent="0.25">
      <c r="D180" s="38" t="s">
        <v>190</v>
      </c>
      <c r="I180" s="44" t="s">
        <v>182</v>
      </c>
      <c r="J180" s="42">
        <v>16.850000000000001</v>
      </c>
      <c r="K180" s="38" t="s">
        <v>183</v>
      </c>
      <c r="M180" s="47" t="s">
        <v>291</v>
      </c>
    </row>
    <row r="181" spans="3:13" x14ac:dyDescent="0.25">
      <c r="D181" s="38" t="s">
        <v>191</v>
      </c>
    </row>
    <row r="182" spans="3:13" x14ac:dyDescent="0.25">
      <c r="I182" s="44" t="s">
        <v>184</v>
      </c>
      <c r="J182" s="53">
        <f>J178+J179+2*10^(-3)/J180</f>
        <v>7.3769436201780419E-4</v>
      </c>
      <c r="K182" s="38" t="s">
        <v>181</v>
      </c>
    </row>
    <row r="185" spans="3:13" x14ac:dyDescent="0.25">
      <c r="D185" s="38" t="s">
        <v>187</v>
      </c>
    </row>
    <row r="186" spans="3:13" x14ac:dyDescent="0.25">
      <c r="I186" s="44" t="s">
        <v>185</v>
      </c>
      <c r="J186" s="64">
        <f>J166*J182</f>
        <v>14.178155422634122</v>
      </c>
      <c r="K186" s="38" t="s">
        <v>49</v>
      </c>
    </row>
    <row r="187" spans="3:13" x14ac:dyDescent="0.25">
      <c r="I187" s="44" t="s">
        <v>186</v>
      </c>
      <c r="J187" s="64">
        <f>J167*J182</f>
        <v>12.667618577863669</v>
      </c>
      <c r="K187" s="38" t="s">
        <v>49</v>
      </c>
    </row>
    <row r="189" spans="3:13" x14ac:dyDescent="0.25">
      <c r="C189" s="38" t="s">
        <v>192</v>
      </c>
    </row>
    <row r="191" spans="3:13" x14ac:dyDescent="0.25">
      <c r="I191" s="44" t="s">
        <v>193</v>
      </c>
      <c r="J191" s="64">
        <f>I106-C160-J186</f>
        <v>14.968542777714907</v>
      </c>
      <c r="K191" s="38" t="s">
        <v>49</v>
      </c>
    </row>
    <row r="192" spans="3:13" x14ac:dyDescent="0.25">
      <c r="I192" s="44" t="s">
        <v>194</v>
      </c>
      <c r="J192" s="64">
        <f>I107-C161-J187</f>
        <v>17.475550773153245</v>
      </c>
      <c r="K192" s="38" t="s">
        <v>49</v>
      </c>
    </row>
    <row r="193" spans="2:17" x14ac:dyDescent="0.25">
      <c r="B193" s="65" t="s">
        <v>202</v>
      </c>
    </row>
    <row r="194" spans="2:17" x14ac:dyDescent="0.25">
      <c r="C194" s="38" t="s">
        <v>195</v>
      </c>
    </row>
    <row r="195" spans="2:17" x14ac:dyDescent="0.25">
      <c r="D195" s="38" t="s">
        <v>196</v>
      </c>
    </row>
    <row r="196" spans="2:17" x14ac:dyDescent="0.25">
      <c r="D196" s="44" t="s">
        <v>94</v>
      </c>
      <c r="E196" s="64">
        <f>F113</f>
        <v>119.78530179965097</v>
      </c>
      <c r="F196" s="38" t="s">
        <v>49</v>
      </c>
      <c r="G196" s="49" t="s">
        <v>284</v>
      </c>
      <c r="H196" s="72"/>
      <c r="I196" s="44" t="s">
        <v>209</v>
      </c>
      <c r="J196" s="42">
        <v>1041.9925000000001</v>
      </c>
      <c r="K196" s="38" t="s">
        <v>79</v>
      </c>
      <c r="M196" s="48"/>
      <c r="N196" s="48"/>
      <c r="O196" s="48"/>
      <c r="P196" s="48"/>
      <c r="Q196" s="48"/>
    </row>
    <row r="197" spans="2:17" x14ac:dyDescent="0.25">
      <c r="D197" s="44" t="s">
        <v>30</v>
      </c>
      <c r="E197" s="64">
        <f>J66</f>
        <v>9.2989690721649492</v>
      </c>
      <c r="F197" s="38" t="s">
        <v>197</v>
      </c>
      <c r="G197" s="49" t="s">
        <v>285</v>
      </c>
      <c r="H197" s="72"/>
      <c r="I197" s="44" t="s">
        <v>208</v>
      </c>
      <c r="J197" s="42">
        <v>5.6800000000000004E-4</v>
      </c>
      <c r="K197" s="38" t="s">
        <v>198</v>
      </c>
      <c r="M197" s="48"/>
      <c r="N197" s="48"/>
      <c r="O197" s="48"/>
      <c r="P197" s="48"/>
      <c r="Q197" s="48"/>
    </row>
    <row r="198" spans="2:17" x14ac:dyDescent="0.25">
      <c r="G198" s="49" t="s">
        <v>286</v>
      </c>
      <c r="H198" s="72"/>
      <c r="I198" s="44" t="s">
        <v>207</v>
      </c>
      <c r="J198" s="42">
        <v>3890.9057499999999</v>
      </c>
      <c r="K198" s="38" t="s">
        <v>129</v>
      </c>
      <c r="M198" s="48"/>
      <c r="N198" s="48"/>
      <c r="O198" s="48"/>
      <c r="P198" s="48"/>
      <c r="Q198" s="48"/>
    </row>
    <row r="200" spans="2:17" x14ac:dyDescent="0.25">
      <c r="I200" s="44" t="s">
        <v>199</v>
      </c>
      <c r="J200" s="42">
        <f>3.58*10^(-8)</f>
        <v>3.5800000000000003E-8</v>
      </c>
    </row>
    <row r="201" spans="2:17" x14ac:dyDescent="0.25">
      <c r="I201" s="44" t="s">
        <v>204</v>
      </c>
      <c r="J201" s="64">
        <f>J200*J198*J196*(J196/J202)^(1/3)</f>
        <v>0.55173315046065996</v>
      </c>
      <c r="K201" s="38" t="s">
        <v>183</v>
      </c>
    </row>
    <row r="202" spans="2:17" x14ac:dyDescent="0.25">
      <c r="I202" s="44" t="s">
        <v>205</v>
      </c>
      <c r="J202" s="64">
        <f>(J203*I13+(100-J203)*18)/100</f>
        <v>18.970219146231489</v>
      </c>
      <c r="K202" s="38" t="s">
        <v>222</v>
      </c>
    </row>
    <row r="203" spans="2:17" x14ac:dyDescent="0.25">
      <c r="D203" s="38" t="s">
        <v>201</v>
      </c>
      <c r="I203" s="44" t="s">
        <v>206</v>
      </c>
      <c r="J203" s="64">
        <f>(J66/I13)/((J66/I13)+(100-J66)/18)*100</f>
        <v>4.4100870283249494</v>
      </c>
      <c r="K203" s="38" t="s">
        <v>197</v>
      </c>
    </row>
    <row r="204" spans="2:17" x14ac:dyDescent="0.25">
      <c r="J204" s="69"/>
    </row>
    <row r="205" spans="2:17" x14ac:dyDescent="0.25">
      <c r="D205" s="38" t="s">
        <v>203</v>
      </c>
    </row>
    <row r="207" spans="2:17" x14ac:dyDescent="0.25">
      <c r="D207" s="44" t="s">
        <v>94</v>
      </c>
      <c r="E207" s="64">
        <f>F113</f>
        <v>119.78530179965097</v>
      </c>
      <c r="F207" s="38" t="s">
        <v>49</v>
      </c>
      <c r="G207" s="49" t="s">
        <v>287</v>
      </c>
      <c r="H207" s="72"/>
      <c r="I207" s="44" t="s">
        <v>210</v>
      </c>
      <c r="J207" s="42">
        <v>943.81799999999998</v>
      </c>
      <c r="K207" s="38" t="s">
        <v>79</v>
      </c>
    </row>
    <row r="208" spans="2:17" x14ac:dyDescent="0.25">
      <c r="G208" s="49" t="s">
        <v>282</v>
      </c>
      <c r="H208" s="72"/>
      <c r="I208" s="44" t="s">
        <v>142</v>
      </c>
      <c r="J208" s="73">
        <v>4245.277</v>
      </c>
      <c r="K208" s="38" t="s">
        <v>129</v>
      </c>
    </row>
    <row r="209" spans="3:17" x14ac:dyDescent="0.25">
      <c r="G209" s="49" t="s">
        <v>288</v>
      </c>
      <c r="H209" s="72"/>
      <c r="I209" s="44" t="s">
        <v>211</v>
      </c>
      <c r="J209" s="42">
        <v>2.33E-4</v>
      </c>
      <c r="K209" s="38" t="s">
        <v>198</v>
      </c>
    </row>
    <row r="210" spans="3:17" x14ac:dyDescent="0.25">
      <c r="I210" s="44" t="s">
        <v>212</v>
      </c>
      <c r="J210" s="64">
        <v>0.68600000000000005</v>
      </c>
      <c r="K210" s="38" t="s">
        <v>183</v>
      </c>
    </row>
    <row r="213" spans="3:17" x14ac:dyDescent="0.25">
      <c r="I213" s="44" t="s">
        <v>213</v>
      </c>
      <c r="J213" s="74">
        <f>(J201/J210)^(0.565)*((J196/J207)^2*(J198/J208)*(J209/J197))^0.435</f>
        <v>0.6297011005484896</v>
      </c>
    </row>
    <row r="216" spans="3:17" x14ac:dyDescent="0.25">
      <c r="C216" s="38" t="s">
        <v>214</v>
      </c>
    </row>
    <row r="217" spans="3:17" x14ac:dyDescent="0.25">
      <c r="D217" s="38" t="s">
        <v>196</v>
      </c>
    </row>
    <row r="218" spans="3:17" x14ac:dyDescent="0.25">
      <c r="D218" s="44" t="s">
        <v>95</v>
      </c>
      <c r="E218" s="64">
        <f>F114</f>
        <v>81.476830648983082</v>
      </c>
      <c r="F218" s="38" t="s">
        <v>49</v>
      </c>
      <c r="G218" s="49" t="s">
        <v>284</v>
      </c>
      <c r="H218" s="72"/>
      <c r="I218" s="44" t="s">
        <v>216</v>
      </c>
      <c r="J218" s="42">
        <v>1203</v>
      </c>
      <c r="K218" s="38" t="s">
        <v>79</v>
      </c>
      <c r="M218" s="48"/>
      <c r="N218" s="48"/>
      <c r="O218" s="48"/>
      <c r="P218" s="48"/>
      <c r="Q218" s="48"/>
    </row>
    <row r="219" spans="3:17" x14ac:dyDescent="0.25">
      <c r="D219" s="44" t="s">
        <v>215</v>
      </c>
      <c r="E219" s="53">
        <v>22</v>
      </c>
      <c r="F219" s="38" t="s">
        <v>197</v>
      </c>
      <c r="G219" s="49" t="s">
        <v>285</v>
      </c>
      <c r="H219" s="72"/>
      <c r="I219" s="44" t="s">
        <v>217</v>
      </c>
      <c r="J219" s="42">
        <v>1.4300000000000001E-3</v>
      </c>
      <c r="K219" s="38" t="s">
        <v>198</v>
      </c>
      <c r="M219" s="48"/>
      <c r="N219" s="48"/>
      <c r="O219" s="48"/>
      <c r="P219" s="48"/>
      <c r="Q219" s="48"/>
    </row>
    <row r="220" spans="3:17" x14ac:dyDescent="0.25">
      <c r="G220" s="49" t="s">
        <v>286</v>
      </c>
      <c r="H220" s="72"/>
      <c r="I220" s="44" t="s">
        <v>218</v>
      </c>
      <c r="J220" s="42">
        <v>3700.3679999999999</v>
      </c>
      <c r="K220" s="38" t="s">
        <v>129</v>
      </c>
      <c r="M220" s="48"/>
      <c r="N220" s="48"/>
      <c r="O220" s="48"/>
      <c r="P220" s="48"/>
      <c r="Q220" s="48"/>
    </row>
    <row r="222" spans="3:17" x14ac:dyDescent="0.25">
      <c r="I222" s="44" t="s">
        <v>199</v>
      </c>
      <c r="J222" s="42">
        <f>3.58*10^(-8)</f>
        <v>3.5800000000000003E-8</v>
      </c>
    </row>
    <row r="223" spans="3:17" x14ac:dyDescent="0.25">
      <c r="I223" s="44" t="s">
        <v>219</v>
      </c>
      <c r="J223" s="64">
        <f>J222*J220*J218*(J218/J224)^(1/3)</f>
        <v>0.61951843809422535</v>
      </c>
      <c r="K223" s="38" t="s">
        <v>183</v>
      </c>
    </row>
    <row r="224" spans="3:17" x14ac:dyDescent="0.25">
      <c r="I224" s="44" t="s">
        <v>220</v>
      </c>
      <c r="J224" s="64">
        <f>(J225*I13+(100-J225)*18)/100</f>
        <v>20.477815699658706</v>
      </c>
      <c r="K224" s="38" t="s">
        <v>222</v>
      </c>
    </row>
    <row r="225" spans="1:11" x14ac:dyDescent="0.25">
      <c r="I225" s="44" t="s">
        <v>221</v>
      </c>
      <c r="J225" s="64">
        <f>(E219/I13)/((E219/I13)+((100-E219)/18))*100</f>
        <v>11.26279863481229</v>
      </c>
      <c r="K225" s="38" t="s">
        <v>197</v>
      </c>
    </row>
    <row r="227" spans="1:11" x14ac:dyDescent="0.25">
      <c r="D227" s="38" t="s">
        <v>203</v>
      </c>
    </row>
    <row r="228" spans="1:11" x14ac:dyDescent="0.25">
      <c r="D228" s="44" t="s">
        <v>95</v>
      </c>
      <c r="E228" s="64">
        <f>F114</f>
        <v>81.476830648983082</v>
      </c>
      <c r="F228" s="38" t="s">
        <v>49</v>
      </c>
      <c r="G228" s="49" t="s">
        <v>287</v>
      </c>
      <c r="H228" s="72"/>
      <c r="I228" s="44" t="s">
        <v>223</v>
      </c>
      <c r="J228" s="42">
        <v>970.65980000000002</v>
      </c>
      <c r="K228" s="38" t="s">
        <v>79</v>
      </c>
    </row>
    <row r="229" spans="1:11" x14ac:dyDescent="0.25">
      <c r="G229" s="49" t="s">
        <v>289</v>
      </c>
      <c r="H229" s="72"/>
      <c r="I229" s="44" t="s">
        <v>143</v>
      </c>
      <c r="J229" s="73">
        <v>4200.5730000000003</v>
      </c>
      <c r="K229" s="38" t="s">
        <v>129</v>
      </c>
    </row>
    <row r="230" spans="1:11" x14ac:dyDescent="0.25">
      <c r="G230" s="49" t="s">
        <v>290</v>
      </c>
      <c r="H230" s="72"/>
      <c r="I230" s="44" t="s">
        <v>224</v>
      </c>
      <c r="J230" s="42">
        <v>3.48E-4</v>
      </c>
      <c r="K230" s="38" t="s">
        <v>198</v>
      </c>
    </row>
    <row r="231" spans="1:11" x14ac:dyDescent="0.25">
      <c r="I231" s="44" t="s">
        <v>225</v>
      </c>
      <c r="J231" s="64">
        <v>0.67500000000000004</v>
      </c>
      <c r="K231" s="38" t="s">
        <v>183</v>
      </c>
    </row>
    <row r="233" spans="1:11" x14ac:dyDescent="0.25">
      <c r="I233" s="44" t="s">
        <v>226</v>
      </c>
      <c r="J233" s="74">
        <f>(J223/J231)^0.565*(((J218/J228)^2)*(J220/J229)*(J230/J219))^0.435</f>
        <v>0.58762450705428071</v>
      </c>
    </row>
    <row r="236" spans="1:11" x14ac:dyDescent="0.25">
      <c r="B236" s="65" t="s">
        <v>227</v>
      </c>
    </row>
    <row r="237" spans="1:11" x14ac:dyDescent="0.25">
      <c r="H237" s="44" t="s">
        <v>228</v>
      </c>
      <c r="I237" s="52">
        <f>45.3*(F66^0.5)*(J191^2.33)*J213</f>
        <v>20386.352823434023</v>
      </c>
      <c r="J237" s="38" t="s">
        <v>167</v>
      </c>
    </row>
    <row r="238" spans="1:11" x14ac:dyDescent="0.25">
      <c r="H238" s="44" t="s">
        <v>229</v>
      </c>
      <c r="I238" s="52">
        <f>45.3*(F67^0.5)*(J192^2.33)*J233</f>
        <v>9598.4976248952535</v>
      </c>
      <c r="J238" s="38" t="s">
        <v>167</v>
      </c>
    </row>
    <row r="240" spans="1:11" x14ac:dyDescent="0.25">
      <c r="A240" s="47" t="s">
        <v>230</v>
      </c>
    </row>
    <row r="242" spans="1:10" x14ac:dyDescent="0.25">
      <c r="H242" s="44" t="s">
        <v>232</v>
      </c>
      <c r="I242" s="52">
        <f>I237*J191</f>
        <v>305153.99431916123</v>
      </c>
      <c r="J242" s="38" t="s">
        <v>170</v>
      </c>
    </row>
    <row r="243" spans="1:10" x14ac:dyDescent="0.25">
      <c r="H243" s="44" t="s">
        <v>231</v>
      </c>
      <c r="I243" s="52">
        <f>I238*J192</f>
        <v>167739.03258984783</v>
      </c>
      <c r="J243" s="38" t="s">
        <v>170</v>
      </c>
    </row>
    <row r="245" spans="1:10" x14ac:dyDescent="0.25">
      <c r="A245" s="47" t="s">
        <v>233</v>
      </c>
    </row>
    <row r="246" spans="1:10" x14ac:dyDescent="0.25">
      <c r="B246" s="38" t="s">
        <v>234</v>
      </c>
    </row>
    <row r="247" spans="1:10" x14ac:dyDescent="0.25">
      <c r="H247" s="44" t="s">
        <v>235</v>
      </c>
      <c r="I247" s="52">
        <f>ABS(J166-I242)/J166*100</f>
        <v>1487.7268547718859</v>
      </c>
      <c r="J247" s="38" t="s">
        <v>197</v>
      </c>
    </row>
    <row r="250" spans="1:10" x14ac:dyDescent="0.25">
      <c r="H250" s="44" t="s">
        <v>237</v>
      </c>
      <c r="I250" s="52">
        <f>(J166+I242)/2</f>
        <v>162186.77334375316</v>
      </c>
      <c r="J250" s="38" t="s">
        <v>170</v>
      </c>
    </row>
    <row r="253" spans="1:10" x14ac:dyDescent="0.25">
      <c r="B253" s="38" t="s">
        <v>236</v>
      </c>
      <c r="H253" s="44" t="s">
        <v>238</v>
      </c>
      <c r="I253" s="52">
        <f>ABS(J167-I243)/J167*100</f>
        <v>876.82242223557387</v>
      </c>
      <c r="J253" s="38" t="s">
        <v>197</v>
      </c>
    </row>
    <row r="256" spans="1:10" x14ac:dyDescent="0.25">
      <c r="H256" s="44" t="s">
        <v>239</v>
      </c>
      <c r="I256" s="52">
        <f>(J167+I243)/2</f>
        <v>92455.469523042761</v>
      </c>
      <c r="J256" s="38" t="s">
        <v>170</v>
      </c>
    </row>
    <row r="259" spans="1:10" x14ac:dyDescent="0.25">
      <c r="A259" s="41" t="s">
        <v>240</v>
      </c>
      <c r="B259" s="71"/>
    </row>
    <row r="260" spans="1:10" x14ac:dyDescent="0.25">
      <c r="A260" s="68" t="s">
        <v>241</v>
      </c>
      <c r="B260" s="68" t="s">
        <v>242</v>
      </c>
      <c r="C260" s="68" t="s">
        <v>243</v>
      </c>
      <c r="D260" s="68" t="s">
        <v>244</v>
      </c>
      <c r="E260" s="68" t="s">
        <v>245</v>
      </c>
    </row>
    <row r="261" spans="1:10" x14ac:dyDescent="0.25">
      <c r="A261" s="68">
        <v>1</v>
      </c>
      <c r="B261" s="60">
        <f>J191</f>
        <v>14.968542777714907</v>
      </c>
      <c r="C261" s="75">
        <f>J213</f>
        <v>0.6297011005484896</v>
      </c>
      <c r="D261" s="60">
        <f>I237</f>
        <v>20386.352823434023</v>
      </c>
      <c r="E261" s="60">
        <f>I242</f>
        <v>305153.99431916123</v>
      </c>
    </row>
    <row r="262" spans="1:10" x14ac:dyDescent="0.25">
      <c r="A262" s="68">
        <v>2</v>
      </c>
      <c r="B262" s="60">
        <f>J192</f>
        <v>17.475550773153245</v>
      </c>
      <c r="C262" s="75">
        <f>J233</f>
        <v>0.58762450705428071</v>
      </c>
      <c r="D262" s="60">
        <f>I238</f>
        <v>9598.4976248952535</v>
      </c>
      <c r="E262" s="60">
        <f>I243</f>
        <v>167739.03258984783</v>
      </c>
    </row>
    <row r="264" spans="1:10" x14ac:dyDescent="0.25">
      <c r="A264" s="47" t="s">
        <v>246</v>
      </c>
      <c r="B264" s="38" t="s">
        <v>247</v>
      </c>
    </row>
    <row r="265" spans="1:10" x14ac:dyDescent="0.25">
      <c r="A265" s="38" t="s">
        <v>248</v>
      </c>
    </row>
    <row r="266" spans="1:10" x14ac:dyDescent="0.25">
      <c r="H266" s="44" t="s">
        <v>249</v>
      </c>
      <c r="I266" s="52">
        <f>I250/E113</f>
        <v>5179.2539179555451</v>
      </c>
      <c r="J266" s="38" t="s">
        <v>167</v>
      </c>
    </row>
    <row r="267" spans="1:10" x14ac:dyDescent="0.25">
      <c r="H267" s="44" t="s">
        <v>250</v>
      </c>
      <c r="I267" s="52">
        <f>I256/E114</f>
        <v>2878.1552814033253</v>
      </c>
      <c r="J267" s="38" t="s">
        <v>167</v>
      </c>
    </row>
    <row r="269" spans="1:10" x14ac:dyDescent="0.25">
      <c r="A269" s="38" t="s">
        <v>251</v>
      </c>
    </row>
    <row r="270" spans="1:10" x14ac:dyDescent="0.25">
      <c r="H270" s="44" t="s">
        <v>252</v>
      </c>
      <c r="I270" s="51">
        <f>I142*E66/3600</f>
        <v>2331836.4055714868</v>
      </c>
      <c r="J270" s="38" t="s">
        <v>254</v>
      </c>
    </row>
    <row r="272" spans="1:10" x14ac:dyDescent="0.25">
      <c r="H272" s="44" t="s">
        <v>253</v>
      </c>
      <c r="I272" s="51">
        <f>I140*E67/3600</f>
        <v>2221432.5021775397</v>
      </c>
      <c r="J272" s="38" t="s">
        <v>254</v>
      </c>
    </row>
    <row r="275" spans="1:10" x14ac:dyDescent="0.25">
      <c r="A275" s="47" t="s">
        <v>255</v>
      </c>
      <c r="B275" s="38" t="s">
        <v>256</v>
      </c>
    </row>
    <row r="276" spans="1:10" x14ac:dyDescent="0.25">
      <c r="A276" s="38" t="s">
        <v>257</v>
      </c>
    </row>
    <row r="277" spans="1:10" x14ac:dyDescent="0.25">
      <c r="H277" s="44" t="s">
        <v>258</v>
      </c>
      <c r="I277" s="52">
        <f>I270/I266</f>
        <v>450.22631493069451</v>
      </c>
      <c r="J277" s="38" t="s">
        <v>260</v>
      </c>
    </row>
    <row r="278" spans="1:10" x14ac:dyDescent="0.25">
      <c r="H278" s="44" t="s">
        <v>259</v>
      </c>
      <c r="I278" s="52">
        <f>I272/I267</f>
        <v>771.82510496598991</v>
      </c>
      <c r="J278" s="38" t="s">
        <v>260</v>
      </c>
    </row>
    <row r="279" spans="1:10" x14ac:dyDescent="0.25">
      <c r="A279" s="38" t="s">
        <v>261</v>
      </c>
    </row>
    <row r="281" spans="1:10" x14ac:dyDescent="0.25">
      <c r="H281" s="44" t="s">
        <v>262</v>
      </c>
      <c r="I281" s="52">
        <f>(E113+E114)*I277/(I277+I278)</f>
        <v>23.371682131941412</v>
      </c>
      <c r="J281" s="38" t="s">
        <v>49</v>
      </c>
    </row>
    <row r="282" spans="1:10" x14ac:dyDescent="0.25">
      <c r="H282" s="44" t="s">
        <v>263</v>
      </c>
      <c r="I282" s="52">
        <f>(E113+E114)*I278/(I277+I278)</f>
        <v>40.066185419424535</v>
      </c>
      <c r="J282" s="38" t="s">
        <v>49</v>
      </c>
    </row>
    <row r="285" spans="1:10" x14ac:dyDescent="0.25">
      <c r="A285" s="47" t="s">
        <v>264</v>
      </c>
      <c r="B285" s="38" t="s">
        <v>265</v>
      </c>
    </row>
    <row r="287" spans="1:10" x14ac:dyDescent="0.25">
      <c r="H287" s="44" t="s">
        <v>235</v>
      </c>
      <c r="I287" s="52">
        <f>ABS(E113-I281)/E113*100</f>
        <v>25.36513690021475</v>
      </c>
      <c r="J287" s="38" t="s">
        <v>197</v>
      </c>
    </row>
    <row r="289" spans="1:10" x14ac:dyDescent="0.25">
      <c r="H289" s="44" t="s">
        <v>238</v>
      </c>
      <c r="I289" s="52">
        <f>ABS(E114-I282)/I282*100</f>
        <v>19.824737456929853</v>
      </c>
      <c r="J289" s="38" t="s">
        <v>197</v>
      </c>
    </row>
    <row r="292" spans="1:10" x14ac:dyDescent="0.25">
      <c r="A292" s="41" t="s">
        <v>266</v>
      </c>
      <c r="B292" s="71"/>
    </row>
    <row r="293" spans="1:10" x14ac:dyDescent="0.25">
      <c r="A293" s="56" t="s">
        <v>241</v>
      </c>
      <c r="B293" s="56" t="s">
        <v>267</v>
      </c>
      <c r="C293" s="56" t="s">
        <v>268</v>
      </c>
      <c r="D293" s="56" t="s">
        <v>269</v>
      </c>
      <c r="E293" s="56" t="s">
        <v>270</v>
      </c>
      <c r="F293" s="56" t="s">
        <v>271</v>
      </c>
    </row>
    <row r="294" spans="1:10" x14ac:dyDescent="0.25">
      <c r="A294" s="58">
        <v>1</v>
      </c>
      <c r="B294" s="60">
        <f>I266</f>
        <v>5179.2539179555451</v>
      </c>
      <c r="C294" s="58">
        <f>I270</f>
        <v>2331836.4055714868</v>
      </c>
      <c r="D294" s="60">
        <f>E113</f>
        <v>31.314698200349028</v>
      </c>
      <c r="E294" s="60">
        <f>I281</f>
        <v>23.371682131941412</v>
      </c>
      <c r="F294" s="60">
        <f>I287</f>
        <v>25.36513690021475</v>
      </c>
    </row>
    <row r="295" spans="1:10" x14ac:dyDescent="0.25">
      <c r="A295" s="58">
        <v>2</v>
      </c>
      <c r="B295" s="60">
        <f>I267</f>
        <v>2878.1552814033253</v>
      </c>
      <c r="C295" s="58">
        <f>I272</f>
        <v>2221432.5021775397</v>
      </c>
      <c r="D295" s="60">
        <f>E114</f>
        <v>32.123169351016912</v>
      </c>
      <c r="E295" s="60">
        <f>I282</f>
        <v>40.066185419424535</v>
      </c>
      <c r="F295" s="60">
        <f>I289</f>
        <v>19.824737456929853</v>
      </c>
    </row>
    <row r="297" spans="1:10" x14ac:dyDescent="0.25">
      <c r="A297" s="47" t="s">
        <v>272</v>
      </c>
      <c r="B297" s="38" t="s">
        <v>273</v>
      </c>
    </row>
    <row r="298" spans="1:10" x14ac:dyDescent="0.25">
      <c r="H298" s="44" t="s">
        <v>274</v>
      </c>
      <c r="I298" s="52">
        <f>C294/(B294*E294)</f>
        <v>19.263753134627098</v>
      </c>
      <c r="J298" s="38" t="s">
        <v>276</v>
      </c>
    </row>
    <row r="299" spans="1:10" x14ac:dyDescent="0.25">
      <c r="H299" s="44" t="s">
        <v>275</v>
      </c>
      <c r="I299" s="52">
        <f>C295/(B295*E295)</f>
        <v>19.263753134627098</v>
      </c>
      <c r="J299" s="38" t="s">
        <v>276</v>
      </c>
    </row>
  </sheetData>
  <mergeCells count="12">
    <mergeCell ref="K90:M91"/>
    <mergeCell ref="L124:P130"/>
    <mergeCell ref="A64:A65"/>
    <mergeCell ref="B64:E64"/>
    <mergeCell ref="F64:I64"/>
    <mergeCell ref="J64:J65"/>
    <mergeCell ref="G146:G147"/>
    <mergeCell ref="A146:A147"/>
    <mergeCell ref="B146:B147"/>
    <mergeCell ref="C146:C147"/>
    <mergeCell ref="D146:D147"/>
    <mergeCell ref="E146:F146"/>
  </mergeCells>
  <pageMargins left="0.7" right="0.7" top="0.75" bottom="0.75" header="0.3" footer="0.3"/>
  <pageSetup paperSize="9" orientation="portrait" horizontalDpi="300" verticalDpi="300" r:id="rId1"/>
  <ignoredErrors>
    <ignoredError sqref="I126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2"/>
  <sheetViews>
    <sheetView topLeftCell="A27" zoomScaleNormal="100" workbookViewId="0">
      <selection activeCell="E5" sqref="E5"/>
    </sheetView>
  </sheetViews>
  <sheetFormatPr defaultColWidth="9.140625" defaultRowHeight="15" x14ac:dyDescent="0.25"/>
  <cols>
    <col min="1" max="2" width="9.140625" style="18"/>
    <col min="3" max="3" width="10.140625" style="18" customWidth="1"/>
    <col min="4" max="4" width="9.140625" style="20"/>
    <col min="5" max="5" width="9.7109375" style="18" customWidth="1"/>
    <col min="6" max="6" width="11.5703125" style="18" bestFit="1" customWidth="1"/>
    <col min="7" max="9" width="9.140625" style="18"/>
    <col min="10" max="10" width="11.28515625" style="18" bestFit="1" customWidth="1"/>
    <col min="11" max="16384" width="9.140625" style="18"/>
  </cols>
  <sheetData>
    <row r="1" spans="1:16" x14ac:dyDescent="0.25">
      <c r="A1" s="29" t="s">
        <v>292</v>
      </c>
      <c r="B1" s="30"/>
      <c r="C1" s="30"/>
      <c r="D1" s="31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x14ac:dyDescent="0.25">
      <c r="C2" s="3" t="s">
        <v>24</v>
      </c>
      <c r="D2" s="20" t="s">
        <v>293</v>
      </c>
      <c r="E2" s="18">
        <f>LOOKUP(E4,Bang!B7:L7,Bang!B7:L7)</f>
        <v>100</v>
      </c>
      <c r="F2" s="20" t="s">
        <v>163</v>
      </c>
      <c r="G2" s="18">
        <f>LOOKUP(E2,Bang!B7:L7,Bang!B8:L8)</f>
        <v>179</v>
      </c>
    </row>
    <row r="3" spans="1:16" x14ac:dyDescent="0.25">
      <c r="D3" s="20" t="s">
        <v>294</v>
      </c>
      <c r="E3" s="18">
        <f>INDEX(Bang!A7:L7,MATCH(E2,Bang!A7:L7,0)+1)</f>
        <v>120</v>
      </c>
      <c r="F3" s="20" t="s">
        <v>164</v>
      </c>
      <c r="G3" s="18">
        <f>LOOKUP(E3,Bang!B7:L7,Bang!B8:L8)</f>
        <v>188</v>
      </c>
    </row>
    <row r="4" spans="1:16" x14ac:dyDescent="0.25">
      <c r="D4" s="20" t="s">
        <v>295</v>
      </c>
      <c r="E4" s="21">
        <v>112.61</v>
      </c>
      <c r="F4" s="20" t="s">
        <v>296</v>
      </c>
      <c r="G4" s="19">
        <f xml:space="preserve"> (E4-E2)/(E3-E2)*(G3-G2)+G2</f>
        <v>184.67449999999999</v>
      </c>
    </row>
    <row r="6" spans="1:16" x14ac:dyDescent="0.25">
      <c r="A6" s="29" t="s">
        <v>297</v>
      </c>
      <c r="B6" s="30"/>
      <c r="C6" s="30"/>
      <c r="D6" s="31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</row>
    <row r="7" spans="1:16" x14ac:dyDescent="0.25">
      <c r="C7" s="3" t="s">
        <v>24</v>
      </c>
      <c r="D7" s="20" t="s">
        <v>30</v>
      </c>
      <c r="E7" s="18">
        <f>LOOKUP(E9,Bang!B3:U3,Bang!B3:U3)</f>
        <v>5</v>
      </c>
      <c r="F7" s="20" t="s">
        <v>298</v>
      </c>
      <c r="G7" s="18">
        <f>LOOKUP(E7,Bang!B3:U3,Bang!B4:U4)</f>
        <v>1</v>
      </c>
    </row>
    <row r="8" spans="1:16" x14ac:dyDescent="0.25">
      <c r="D8" s="20" t="s">
        <v>215</v>
      </c>
      <c r="E8" s="18">
        <f>INDEX(Bang!A3:U3,MATCH(E7,Bang!A3:U3,0)+1)</f>
        <v>10</v>
      </c>
      <c r="F8" s="20" t="s">
        <v>299</v>
      </c>
      <c r="G8" s="18">
        <f>LOOKUP(E8,Bang!B3:U3,Bang!B4:U4)</f>
        <v>2.8</v>
      </c>
    </row>
    <row r="9" spans="1:16" x14ac:dyDescent="0.25">
      <c r="D9" s="20" t="s">
        <v>300</v>
      </c>
      <c r="E9" s="21">
        <v>9.3000000000000007</v>
      </c>
      <c r="F9" s="20" t="s">
        <v>301</v>
      </c>
      <c r="G9" s="19">
        <f xml:space="preserve"> (E9-E7)/(E8-E7)*(G8-G7)+G7</f>
        <v>2.548</v>
      </c>
    </row>
    <row r="11" spans="1:16" x14ac:dyDescent="0.25">
      <c r="A11" s="29" t="s">
        <v>316</v>
      </c>
      <c r="B11" s="30"/>
      <c r="C11" s="30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</row>
    <row r="12" spans="1:16" x14ac:dyDescent="0.25">
      <c r="B12" s="3" t="s">
        <v>317</v>
      </c>
      <c r="D12" s="20" t="s">
        <v>293</v>
      </c>
      <c r="E12" s="18">
        <f>LOOKUP(E14,Bang!C47:C104,Bang!C47:C104)</f>
        <v>112.7</v>
      </c>
      <c r="F12" s="20" t="s">
        <v>34</v>
      </c>
      <c r="G12" s="18">
        <f>LOOKUP(E12,Bang!C47:C104,Bang!B47:B104)</f>
        <v>1.6</v>
      </c>
      <c r="J12" s="3" t="s">
        <v>319</v>
      </c>
      <c r="L12" s="20" t="s">
        <v>34</v>
      </c>
      <c r="M12" s="18">
        <f>LOOKUP(M14,Bang!B47:B104,Bang!B47:B104)</f>
        <v>1.8</v>
      </c>
      <c r="N12" s="20" t="s">
        <v>293</v>
      </c>
      <c r="O12" s="18">
        <f>LOOKUP(M12,Bang!B47:B104,Bang!C47:C104)</f>
        <v>116.3</v>
      </c>
    </row>
    <row r="13" spans="1:16" x14ac:dyDescent="0.25">
      <c r="D13" s="20" t="s">
        <v>294</v>
      </c>
      <c r="E13" s="18">
        <f>INDEX(Bang!C47:C104,MATCH(E12,Bang!C47:C104,0)+1)</f>
        <v>116.3</v>
      </c>
      <c r="F13" s="20" t="s">
        <v>35</v>
      </c>
      <c r="G13" s="18">
        <f>LOOKUP(E13,Bang!C47:C104,Bang!B47:B104)</f>
        <v>1.8</v>
      </c>
      <c r="L13" s="20" t="s">
        <v>35</v>
      </c>
      <c r="M13" s="18">
        <f>INDEX(Bang!B47:B104,MATCH(M12,Bang!B47:B104,0)+1)</f>
        <v>2</v>
      </c>
      <c r="N13" s="20" t="s">
        <v>294</v>
      </c>
      <c r="O13" s="18">
        <f>LOOKUP(M13,Bang!B47:B104,Bang!C47:C104)</f>
        <v>119.6</v>
      </c>
    </row>
    <row r="14" spans="1:16" x14ac:dyDescent="0.25">
      <c r="D14" s="20" t="s">
        <v>295</v>
      </c>
      <c r="E14" s="21">
        <v>114.6</v>
      </c>
      <c r="F14" s="20" t="s">
        <v>318</v>
      </c>
      <c r="G14" s="19">
        <f xml:space="preserve"> (E14-E12)/(E13-E12)*(G13-G12)+G12</f>
        <v>1.7055555555555553</v>
      </c>
      <c r="L14" s="20" t="s">
        <v>318</v>
      </c>
      <c r="M14" s="21">
        <v>1.84</v>
      </c>
      <c r="N14" s="20" t="s">
        <v>295</v>
      </c>
      <c r="O14" s="19">
        <f xml:space="preserve"> (M14-M12)/(M13-M12)*(O13-O12)+O12</f>
        <v>116.96</v>
      </c>
    </row>
    <row r="15" spans="1:16" ht="16.5" customHeight="1" x14ac:dyDescent="0.25"/>
    <row r="16" spans="1:16" x14ac:dyDescent="0.25">
      <c r="B16" s="3" t="s">
        <v>325</v>
      </c>
      <c r="D16" s="20" t="s">
        <v>34</v>
      </c>
      <c r="E16" s="18">
        <f>LOOKUP(E18,Bang!B47:B104,Bang!B47:B104)</f>
        <v>1.6</v>
      </c>
      <c r="F16" s="20" t="s">
        <v>326</v>
      </c>
      <c r="G16" s="18">
        <f>LOOKUP(E16,Bang!B47:B104,Bang!N47:N104)*10^3</f>
        <v>2703000</v>
      </c>
      <c r="J16" s="3" t="s">
        <v>323</v>
      </c>
      <c r="L16" s="20" t="s">
        <v>34</v>
      </c>
      <c r="M16" s="18">
        <f>LOOKUP(M18,Bang!B47:B104,Bang!B47:B104)</f>
        <v>1.6</v>
      </c>
      <c r="N16" s="20" t="s">
        <v>39</v>
      </c>
      <c r="O16" s="18">
        <f>LOOKUP(M16,Bang!B47:B104,Bang!R47:R104)*10^3</f>
        <v>2227000</v>
      </c>
    </row>
    <row r="17" spans="1:16" x14ac:dyDescent="0.25">
      <c r="D17" s="20" t="s">
        <v>35</v>
      </c>
      <c r="E17" s="18">
        <f>INDEX(Bang!B47:B104,MATCH('Noi suy'!E16,Bang!B47:B104,0)+1)</f>
        <v>1.8</v>
      </c>
      <c r="F17" s="20" t="s">
        <v>327</v>
      </c>
      <c r="G17" s="18">
        <f>LOOKUP(E17,Bang!B47:B104,Bang!N47:N104)*10^3</f>
        <v>2709000</v>
      </c>
      <c r="L17" s="20" t="s">
        <v>35</v>
      </c>
      <c r="M17" s="18">
        <f>INDEX(Bang!B47:B104,MATCH('Noi suy'!M16,Bang!B47:B104,0)+1)</f>
        <v>1.8</v>
      </c>
      <c r="N17" s="20" t="s">
        <v>41</v>
      </c>
      <c r="O17" s="18">
        <f>LOOKUP(M17,Bang!B47:B104,Bang!R47:R104)*10^3</f>
        <v>2217000</v>
      </c>
    </row>
    <row r="18" spans="1:16" x14ac:dyDescent="0.25">
      <c r="D18" s="20" t="s">
        <v>318</v>
      </c>
      <c r="E18" s="21">
        <v>1.65</v>
      </c>
      <c r="F18" s="20" t="s">
        <v>328</v>
      </c>
      <c r="G18" s="19">
        <f xml:space="preserve"> (E18-E16)/(E17-E16)*(G17-G16)+G16</f>
        <v>2704500</v>
      </c>
      <c r="L18" s="20" t="s">
        <v>318</v>
      </c>
      <c r="M18" s="21">
        <v>1.65</v>
      </c>
      <c r="N18" s="20" t="s">
        <v>324</v>
      </c>
      <c r="O18" s="19">
        <f xml:space="preserve"> (M18-M16)/(M17-M16)*(O17-O16)+O16</f>
        <v>2224500</v>
      </c>
    </row>
    <row r="19" spans="1:16" x14ac:dyDescent="0.25">
      <c r="M19" s="18">
        <v>1</v>
      </c>
    </row>
    <row r="20" spans="1:16" x14ac:dyDescent="0.25">
      <c r="B20" s="3" t="s">
        <v>329</v>
      </c>
      <c r="D20" s="20" t="s">
        <v>293</v>
      </c>
      <c r="E20" s="18">
        <f>LOOKUP(E22,Bang!C47:C104,Bang!C47:C104)</f>
        <v>112.7</v>
      </c>
      <c r="F20" s="20" t="s">
        <v>326</v>
      </c>
      <c r="G20" s="18">
        <f>LOOKUP(E20,Bang!C47:C104,Bang!N47:N104)*10^3</f>
        <v>2703000</v>
      </c>
      <c r="J20" s="3" t="s">
        <v>330</v>
      </c>
      <c r="L20" s="20" t="s">
        <v>293</v>
      </c>
      <c r="M20" s="18">
        <f>LOOKUP(M22,Bang!C47:C104,Bang!C47:C104)</f>
        <v>112.7</v>
      </c>
      <c r="N20" s="20" t="s">
        <v>39</v>
      </c>
      <c r="O20" s="18">
        <f>LOOKUP(M20,Bang!C47:C104,Bang!R47:R104)*10^3</f>
        <v>2227000</v>
      </c>
    </row>
    <row r="21" spans="1:16" x14ac:dyDescent="0.25">
      <c r="D21" s="20" t="s">
        <v>294</v>
      </c>
      <c r="E21" s="18">
        <f>INDEX(Bang!C47:C104,MATCH('Noi suy'!E20,Bang!C47:C104,0)+1)</f>
        <v>116.3</v>
      </c>
      <c r="F21" s="20" t="s">
        <v>327</v>
      </c>
      <c r="G21" s="18">
        <f>LOOKUP(E21,Bang!C47:C104,Bang!N47:N104)*10^3</f>
        <v>2709000</v>
      </c>
      <c r="L21" s="20" t="s">
        <v>294</v>
      </c>
      <c r="M21" s="18">
        <f>INDEX(Bang!C47:C104,MATCH('Noi suy'!M20,Bang!C47:C104,0)+1)</f>
        <v>116.3</v>
      </c>
      <c r="N21" s="20" t="s">
        <v>41</v>
      </c>
      <c r="O21" s="18">
        <f>LOOKUP(M21,Bang!C47:C104,Bang!R47:R104)*10^3</f>
        <v>2217000</v>
      </c>
    </row>
    <row r="22" spans="1:16" x14ac:dyDescent="0.25">
      <c r="D22" s="20" t="s">
        <v>295</v>
      </c>
      <c r="E22" s="21">
        <v>114.6</v>
      </c>
      <c r="F22" s="20" t="s">
        <v>328</v>
      </c>
      <c r="G22" s="19">
        <f xml:space="preserve"> (E22-E20)/(E21-E20)*(G21-G20)+G20</f>
        <v>2706166.6666666665</v>
      </c>
      <c r="L22" s="20" t="s">
        <v>295</v>
      </c>
      <c r="M22" s="21">
        <v>114.6</v>
      </c>
      <c r="N22" s="20" t="s">
        <v>324</v>
      </c>
      <c r="O22" s="19">
        <f xml:space="preserve"> (M22-M20)/(M21-M20)*(O21-O20)+O20</f>
        <v>2221722.222222222</v>
      </c>
    </row>
    <row r="24" spans="1:16" x14ac:dyDescent="0.25">
      <c r="A24" s="29" t="s">
        <v>331</v>
      </c>
      <c r="B24" s="30"/>
      <c r="C24" s="30"/>
      <c r="D24" s="31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</row>
    <row r="25" spans="1:16" x14ac:dyDescent="0.25">
      <c r="B25" s="3" t="s">
        <v>337</v>
      </c>
      <c r="D25" s="20" t="s">
        <v>293</v>
      </c>
      <c r="E25" s="18">
        <f>LOOKUP(E27,Bang!B12:Q12,Bang!B12:Q12)</f>
        <v>99.09</v>
      </c>
      <c r="F25" s="20" t="s">
        <v>338</v>
      </c>
      <c r="G25" s="18">
        <f>LOOKUP(E25,Bang!B12:Q12,Bang!B13:Q13)*4.1868*10^3</f>
        <v>4228.6679999999997</v>
      </c>
      <c r="H25" s="20" t="s">
        <v>129</v>
      </c>
    </row>
    <row r="26" spans="1:16" x14ac:dyDescent="0.25">
      <c r="D26" s="20" t="s">
        <v>294</v>
      </c>
      <c r="E26" s="18">
        <f>INDEX(Bang!B12:Q12,1,MATCH('Noi suy'!E25,Bang!B12:Q12,0)+1)</f>
        <v>119.62</v>
      </c>
      <c r="F26" s="20" t="s">
        <v>339</v>
      </c>
      <c r="G26" s="18">
        <f>LOOKUP(E26,Bang!B12:Q12,Bang!B13:Q13)*4.1868*10^3</f>
        <v>4245.4152000000004</v>
      </c>
      <c r="H26" s="20" t="s">
        <v>129</v>
      </c>
    </row>
    <row r="27" spans="1:16" x14ac:dyDescent="0.25">
      <c r="D27" s="20" t="s">
        <v>295</v>
      </c>
      <c r="E27" s="21">
        <v>113.6</v>
      </c>
      <c r="F27" s="20" t="s">
        <v>340</v>
      </c>
      <c r="G27" s="19">
        <f xml:space="preserve"> (E27-E25)/(E26-E25)*(G26-G25)+G25</f>
        <v>4240.50442825134</v>
      </c>
      <c r="H27" s="20" t="s">
        <v>129</v>
      </c>
    </row>
    <row r="29" spans="1:16" x14ac:dyDescent="0.25">
      <c r="A29" s="29" t="s">
        <v>343</v>
      </c>
      <c r="B29" s="30"/>
      <c r="C29" s="30"/>
      <c r="D29" s="31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</row>
    <row r="30" spans="1:16" x14ac:dyDescent="0.25">
      <c r="C30" s="22" t="s">
        <v>346</v>
      </c>
      <c r="D30" s="23">
        <v>22</v>
      </c>
      <c r="E30" s="18" t="s">
        <v>197</v>
      </c>
      <c r="I30" s="27" t="s">
        <v>30</v>
      </c>
      <c r="J30" s="28">
        <f>D33</f>
        <v>20</v>
      </c>
      <c r="K30" s="27" t="s">
        <v>293</v>
      </c>
      <c r="L30" s="28">
        <f>LOOKUP(L32,Bang!B17:H17,Bang!B17:H17)</f>
        <v>80</v>
      </c>
      <c r="M30" s="27" t="s">
        <v>80</v>
      </c>
      <c r="N30" s="28">
        <f>INDEX(Bang!B18:H22,MATCH('Noi suy'!J30,Bang!A18:A22,0),MATCH('Noi suy'!L30,Bang!B17:H17,0))</f>
        <v>1183</v>
      </c>
      <c r="O30" s="32" t="s">
        <v>371</v>
      </c>
      <c r="P30" s="32"/>
    </row>
    <row r="31" spans="1:16" x14ac:dyDescent="0.25">
      <c r="C31" s="22" t="s">
        <v>347</v>
      </c>
      <c r="D31" s="23">
        <v>81.84</v>
      </c>
      <c r="E31" s="18" t="s">
        <v>49</v>
      </c>
      <c r="I31" s="28"/>
      <c r="J31" s="28"/>
      <c r="K31" s="27" t="s">
        <v>294</v>
      </c>
      <c r="L31" s="28">
        <f>INDEX(Bang!B17:H17,1,MATCH('Noi suy'!L30,Bang!B17:H17,0)+1)</f>
        <v>100</v>
      </c>
      <c r="M31" s="27" t="s">
        <v>344</v>
      </c>
      <c r="N31" s="28">
        <f>INDEX(Bang!B18:H22,MATCH('Noi suy'!J30,Bang!A18:A22,0),MATCH('Noi suy'!L31,Bang!B17:H17,0))</f>
        <v>1170</v>
      </c>
      <c r="O31" s="32"/>
      <c r="P31" s="32"/>
    </row>
    <row r="32" spans="1:16" x14ac:dyDescent="0.25">
      <c r="I32" s="28"/>
      <c r="J32" s="28"/>
      <c r="K32" s="27" t="s">
        <v>295</v>
      </c>
      <c r="L32" s="28">
        <f>D31</f>
        <v>81.84</v>
      </c>
      <c r="M32" s="27" t="s">
        <v>345</v>
      </c>
      <c r="N32" s="28">
        <f xml:space="preserve"> (L32-L30)/(L31-L30)*(N31-N30)+N30</f>
        <v>1181.8040000000001</v>
      </c>
      <c r="O32" s="32"/>
      <c r="P32" s="32"/>
    </row>
    <row r="33" spans="1:16" x14ac:dyDescent="0.25">
      <c r="C33" s="20" t="s">
        <v>30</v>
      </c>
      <c r="D33" s="18">
        <f>LOOKUP(D30,Bang!A18:A22,Bang!A18:A22)</f>
        <v>20</v>
      </c>
      <c r="E33" s="20" t="s">
        <v>80</v>
      </c>
      <c r="F33" s="18">
        <f>N32</f>
        <v>1181.8040000000001</v>
      </c>
      <c r="I33" s="28"/>
      <c r="J33" s="28"/>
      <c r="K33" s="28"/>
      <c r="L33" s="28"/>
      <c r="M33" s="28"/>
      <c r="N33" s="28"/>
      <c r="O33" s="32"/>
      <c r="P33" s="32"/>
    </row>
    <row r="34" spans="1:16" x14ac:dyDescent="0.25">
      <c r="C34" s="20" t="s">
        <v>215</v>
      </c>
      <c r="D34" s="18">
        <f>INDEX(Bang!A18:A22,MATCH('Noi suy'!J30,Bang!A18:A22,0)+1)</f>
        <v>30</v>
      </c>
      <c r="E34" s="20" t="s">
        <v>344</v>
      </c>
      <c r="F34" s="18">
        <f>N36</f>
        <v>1287.8040000000001</v>
      </c>
      <c r="I34" s="27" t="s">
        <v>215</v>
      </c>
      <c r="J34" s="28">
        <f>D34</f>
        <v>30</v>
      </c>
      <c r="K34" s="27" t="s">
        <v>293</v>
      </c>
      <c r="L34" s="28">
        <f>LOOKUP(L36,Bang!B17:H17,Bang!B17:H17)</f>
        <v>80</v>
      </c>
      <c r="M34" s="27" t="s">
        <v>80</v>
      </c>
      <c r="N34" s="28">
        <f>INDEX(Bang!B18:H22,MATCH('Noi suy'!J34,Bang!A18:A22,0),MATCH('Noi suy'!L34,Bang!B17:H17,0))</f>
        <v>1289</v>
      </c>
      <c r="O34" s="32"/>
      <c r="P34" s="32"/>
    </row>
    <row r="35" spans="1:16" x14ac:dyDescent="0.25">
      <c r="C35" s="20" t="s">
        <v>300</v>
      </c>
      <c r="D35" s="20">
        <f>D30</f>
        <v>22</v>
      </c>
      <c r="E35" s="20" t="s">
        <v>345</v>
      </c>
      <c r="F35" s="19">
        <f xml:space="preserve"> (D35-D33)/(D34-D33)*(F34-F33)+F33</f>
        <v>1203.0040000000001</v>
      </c>
      <c r="I35" s="28"/>
      <c r="J35" s="28"/>
      <c r="K35" s="27" t="s">
        <v>294</v>
      </c>
      <c r="L35" s="28">
        <f>INDEX(Bang!B17:H17,1,MATCH('Noi suy'!L34,Bang!B17:H17,0)+1)</f>
        <v>100</v>
      </c>
      <c r="M35" s="27" t="s">
        <v>344</v>
      </c>
      <c r="N35" s="28">
        <f>INDEX(Bang!B18:H22,MATCH('Noi suy'!J34,Bang!A18:A22,0),MATCH('Noi suy'!L35,Bang!B17:H17,0))</f>
        <v>1276</v>
      </c>
      <c r="O35" s="32"/>
      <c r="P35" s="32"/>
    </row>
    <row r="36" spans="1:16" x14ac:dyDescent="0.25">
      <c r="I36" s="28"/>
      <c r="J36" s="28"/>
      <c r="K36" s="27" t="s">
        <v>295</v>
      </c>
      <c r="L36" s="28">
        <f>D31</f>
        <v>81.84</v>
      </c>
      <c r="M36" s="27" t="s">
        <v>345</v>
      </c>
      <c r="N36" s="28">
        <f xml:space="preserve"> (L36-L34)/(L35-L34)*(N35-N34)+N34</f>
        <v>1287.8040000000001</v>
      </c>
      <c r="O36" s="32"/>
      <c r="P36" s="32"/>
    </row>
    <row r="37" spans="1:16" x14ac:dyDescent="0.25">
      <c r="I37" s="25"/>
      <c r="J37" s="25"/>
      <c r="K37" s="25"/>
      <c r="L37" s="25"/>
      <c r="M37" s="25"/>
      <c r="N37" s="25"/>
    </row>
    <row r="38" spans="1:16" x14ac:dyDescent="0.25">
      <c r="A38" s="29" t="s">
        <v>349</v>
      </c>
      <c r="B38" s="30"/>
      <c r="C38" s="30"/>
      <c r="D38" s="31"/>
      <c r="E38" s="30"/>
      <c r="F38" s="30"/>
      <c r="G38" s="30"/>
      <c r="H38" s="30"/>
      <c r="I38" s="26"/>
      <c r="J38" s="26"/>
      <c r="K38" s="26"/>
      <c r="L38" s="26"/>
      <c r="M38" s="26"/>
      <c r="N38" s="26"/>
      <c r="O38" s="30"/>
      <c r="P38" s="30"/>
    </row>
    <row r="39" spans="1:16" x14ac:dyDescent="0.25">
      <c r="C39" s="22" t="s">
        <v>346</v>
      </c>
      <c r="D39" s="23">
        <v>22</v>
      </c>
      <c r="E39" s="18" t="s">
        <v>197</v>
      </c>
      <c r="I39" s="27" t="s">
        <v>30</v>
      </c>
      <c r="J39" s="28">
        <f>D42</f>
        <v>20</v>
      </c>
      <c r="K39" s="27" t="s">
        <v>293</v>
      </c>
      <c r="L39" s="28">
        <f>LOOKUP(L41,Bang!B25:I25,Bang!B25:I25)</f>
        <v>80</v>
      </c>
      <c r="M39" s="27" t="s">
        <v>350</v>
      </c>
      <c r="N39" s="28">
        <f>INDEX(Bang!B26:I30,MATCH('Noi suy'!J39,Bang!A26:A30,0),MATCH('Noi suy'!L39,Bang!B25:I25,0))</f>
        <v>1.27</v>
      </c>
      <c r="O39" s="32" t="s">
        <v>371</v>
      </c>
      <c r="P39" s="32"/>
    </row>
    <row r="40" spans="1:16" x14ac:dyDescent="0.25">
      <c r="C40" s="22" t="s">
        <v>347</v>
      </c>
      <c r="D40" s="23">
        <v>81.84</v>
      </c>
      <c r="E40" s="18" t="s">
        <v>49</v>
      </c>
      <c r="I40" s="28"/>
      <c r="J40" s="28"/>
      <c r="K40" s="27" t="s">
        <v>294</v>
      </c>
      <c r="L40" s="28">
        <f>INDEX(Bang!B25:I25,1,MATCH('Noi suy'!L39,Bang!B25:I25,0)+1)</f>
        <v>100</v>
      </c>
      <c r="M40" s="27" t="s">
        <v>351</v>
      </c>
      <c r="N40" s="28">
        <f>INDEX(Bang!B26:I30,MATCH('Noi suy'!J39,Bang!A26:A30,0),MATCH('Noi suy'!L40,Bang!B25:I25,0))</f>
        <v>1.1499999999999999</v>
      </c>
      <c r="O40" s="32"/>
      <c r="P40" s="32"/>
    </row>
    <row r="41" spans="1:16" x14ac:dyDescent="0.25">
      <c r="I41" s="28"/>
      <c r="J41" s="28"/>
      <c r="K41" s="27" t="s">
        <v>295</v>
      </c>
      <c r="L41" s="28">
        <f>D40</f>
        <v>81.84</v>
      </c>
      <c r="M41" s="27" t="s">
        <v>352</v>
      </c>
      <c r="N41" s="28">
        <f xml:space="preserve"> (L41-L39)/(L40-L39)*(N40-N39)+N39</f>
        <v>1.2589600000000001</v>
      </c>
      <c r="O41" s="32"/>
      <c r="P41" s="32"/>
    </row>
    <row r="42" spans="1:16" x14ac:dyDescent="0.25">
      <c r="C42" s="20" t="s">
        <v>30</v>
      </c>
      <c r="D42" s="20">
        <f>LOOKUP(D39,Bang!A26:A30,Bang!A26:A30)</f>
        <v>20</v>
      </c>
      <c r="E42" s="20" t="s">
        <v>350</v>
      </c>
      <c r="F42" s="18">
        <f>N41*10^-3</f>
        <v>1.2589600000000002E-3</v>
      </c>
      <c r="I42" s="28"/>
      <c r="J42" s="28"/>
      <c r="K42" s="28"/>
      <c r="L42" s="28"/>
      <c r="M42" s="28"/>
      <c r="N42" s="28"/>
      <c r="O42" s="32"/>
      <c r="P42" s="32"/>
    </row>
    <row r="43" spans="1:16" x14ac:dyDescent="0.25">
      <c r="C43" s="20" t="s">
        <v>215</v>
      </c>
      <c r="D43" s="20">
        <f>INDEX(Bang!A26:A30,MATCH('Noi suy'!D42,Bang!A26:A30,0)+1)</f>
        <v>30</v>
      </c>
      <c r="E43" s="20" t="s">
        <v>351</v>
      </c>
      <c r="F43" s="18">
        <f>N45*10^-3</f>
        <v>2.1287200000000002E-3</v>
      </c>
      <c r="I43" s="27" t="s">
        <v>215</v>
      </c>
      <c r="J43" s="28">
        <f>D43</f>
        <v>30</v>
      </c>
      <c r="K43" s="27" t="s">
        <v>293</v>
      </c>
      <c r="L43" s="28">
        <f>LOOKUP(L45,Bang!B25:I25,Bang!B25:I25)</f>
        <v>80</v>
      </c>
      <c r="M43" s="27" t="s">
        <v>350</v>
      </c>
      <c r="N43" s="28">
        <f>INDEX(Bang!B26:I30,MATCH('Noi suy'!J43,Bang!A26:A30,0),MATCH('Noi suy'!L43,Bang!B25:I25,0))</f>
        <v>2.16</v>
      </c>
      <c r="O43" s="32"/>
      <c r="P43" s="32"/>
    </row>
    <row r="44" spans="1:16" x14ac:dyDescent="0.25">
      <c r="C44" s="20" t="s">
        <v>300</v>
      </c>
      <c r="D44" s="20">
        <f>D39</f>
        <v>22</v>
      </c>
      <c r="E44" s="20" t="s">
        <v>352</v>
      </c>
      <c r="F44" s="19">
        <f xml:space="preserve"> (D44-D42)/(D43-D42)*(F43-F42)+F42</f>
        <v>1.4329120000000002E-3</v>
      </c>
      <c r="I44" s="28"/>
      <c r="J44" s="28"/>
      <c r="K44" s="27" t="s">
        <v>294</v>
      </c>
      <c r="L44" s="28">
        <f>INDEX(Bang!B25:I25,1,MATCH('Noi suy'!L43,Bang!B25:I25,0)+1)</f>
        <v>100</v>
      </c>
      <c r="M44" s="27" t="s">
        <v>351</v>
      </c>
      <c r="N44" s="28">
        <f>INDEX(Bang!B26:I30,MATCH('Noi suy'!J43,Bang!A26:A30,0),MATCH('Noi suy'!L44,Bang!B25:I25,0))</f>
        <v>1.82</v>
      </c>
      <c r="O44" s="32"/>
      <c r="P44" s="32"/>
    </row>
    <row r="45" spans="1:16" x14ac:dyDescent="0.25">
      <c r="I45" s="28"/>
      <c r="J45" s="28"/>
      <c r="K45" s="27" t="s">
        <v>295</v>
      </c>
      <c r="L45" s="28">
        <f>D40</f>
        <v>81.84</v>
      </c>
      <c r="M45" s="27" t="s">
        <v>352</v>
      </c>
      <c r="N45" s="28">
        <f xml:space="preserve"> (L45-L43)/(L44-L43)*(N44-N43)+N43</f>
        <v>2.1287199999999999</v>
      </c>
      <c r="O45" s="32"/>
      <c r="P45" s="32"/>
    </row>
    <row r="46" spans="1:16" x14ac:dyDescent="0.25">
      <c r="A46" s="29" t="s">
        <v>356</v>
      </c>
      <c r="B46" s="30"/>
      <c r="C46" s="30"/>
      <c r="D46" s="31"/>
      <c r="E46" s="30"/>
      <c r="F46" s="30"/>
      <c r="G46" s="30"/>
      <c r="H46" s="30"/>
      <c r="I46" s="26"/>
      <c r="J46" s="26"/>
      <c r="K46" s="26"/>
      <c r="L46" s="26"/>
      <c r="M46" s="26"/>
      <c r="N46" s="26"/>
      <c r="O46" s="30"/>
      <c r="P46" s="30"/>
    </row>
    <row r="47" spans="1:16" x14ac:dyDescent="0.25">
      <c r="C47" s="22" t="s">
        <v>346</v>
      </c>
      <c r="D47" s="23">
        <v>22</v>
      </c>
      <c r="E47" s="18" t="s">
        <v>197</v>
      </c>
      <c r="I47" s="27" t="s">
        <v>30</v>
      </c>
      <c r="J47" s="28">
        <f>D50</f>
        <v>20</v>
      </c>
      <c r="K47" s="27" t="s">
        <v>293</v>
      </c>
      <c r="L47" s="28">
        <f>LOOKUP(L49,Bang!B33:H33,Bang!B33:H33)</f>
        <v>80</v>
      </c>
      <c r="M47" s="27" t="s">
        <v>350</v>
      </c>
      <c r="N47" s="28">
        <f>INDEX(Bang!B34:H38,MATCH('Noi suy'!J47,Bang!A34:A38,0),MATCH(L47,Bang!B33:H33,0))</f>
        <v>3715</v>
      </c>
      <c r="O47" s="32" t="s">
        <v>371</v>
      </c>
      <c r="P47" s="32"/>
    </row>
    <row r="48" spans="1:16" x14ac:dyDescent="0.25">
      <c r="C48" s="22" t="s">
        <v>347</v>
      </c>
      <c r="D48" s="23">
        <v>81.84</v>
      </c>
      <c r="E48" s="18" t="s">
        <v>49</v>
      </c>
      <c r="I48" s="28"/>
      <c r="J48" s="28"/>
      <c r="K48" s="27" t="s">
        <v>294</v>
      </c>
      <c r="L48" s="28">
        <f>INDEX(Bang!B33:H33,1,MATCH('Noi suy'!L47,Bang!B33:H33,0)+1)</f>
        <v>100</v>
      </c>
      <c r="M48" s="27" t="s">
        <v>351</v>
      </c>
      <c r="N48" s="28">
        <f>INDEX(Bang!B34:H38,MATCH('Noi suy'!J47,Bang!A34:A38,0),MATCH(L48,Bang!B33:H33,0))</f>
        <v>3720</v>
      </c>
      <c r="O48" s="32"/>
      <c r="P48" s="32"/>
    </row>
    <row r="49" spans="1:16" x14ac:dyDescent="0.25">
      <c r="I49" s="28"/>
      <c r="J49" s="28"/>
      <c r="K49" s="27" t="s">
        <v>295</v>
      </c>
      <c r="L49" s="28">
        <f>D48</f>
        <v>81.84</v>
      </c>
      <c r="M49" s="27" t="s">
        <v>352</v>
      </c>
      <c r="N49" s="28">
        <f xml:space="preserve"> (L49-L47)/(L48-L47)*(N48-N47)+N47</f>
        <v>3715.46</v>
      </c>
      <c r="O49" s="32"/>
      <c r="P49" s="32"/>
    </row>
    <row r="50" spans="1:16" x14ac:dyDescent="0.25">
      <c r="C50" s="20" t="s">
        <v>30</v>
      </c>
      <c r="D50" s="20">
        <f>LOOKUP(D47,Bang!A34:A38,Bang!A34:A38)</f>
        <v>20</v>
      </c>
      <c r="E50" s="20" t="s">
        <v>350</v>
      </c>
      <c r="F50" s="18">
        <f>N49</f>
        <v>3715.46</v>
      </c>
      <c r="I50" s="28"/>
      <c r="J50" s="28"/>
      <c r="K50" s="28"/>
      <c r="L50" s="28"/>
      <c r="M50" s="28"/>
      <c r="N50" s="28"/>
      <c r="O50" s="32"/>
      <c r="P50" s="32"/>
    </row>
    <row r="51" spans="1:16" x14ac:dyDescent="0.25">
      <c r="C51" s="20" t="s">
        <v>215</v>
      </c>
      <c r="D51" s="20">
        <f>INDEX(Bang!A34:A38,MATCH('Noi suy'!D50,Bang!A34:A38,0)+1)</f>
        <v>30</v>
      </c>
      <c r="E51" s="20" t="s">
        <v>351</v>
      </c>
      <c r="F51" s="18">
        <f>N53</f>
        <v>3640</v>
      </c>
      <c r="I51" s="27" t="s">
        <v>215</v>
      </c>
      <c r="J51" s="28">
        <f>D51</f>
        <v>30</v>
      </c>
      <c r="K51" s="27" t="s">
        <v>293</v>
      </c>
      <c r="L51" s="28">
        <f>LOOKUP(L53,Bang!B33:H33,Bang!B33:H33)</f>
        <v>80</v>
      </c>
      <c r="M51" s="27" t="s">
        <v>350</v>
      </c>
      <c r="N51" s="28">
        <f>INDEX(Bang!B34:H38,MATCH('Noi suy'!J51,Bang!A34:A38,0),MATCH(L51,Bang!B33:H33,0))</f>
        <v>3640</v>
      </c>
      <c r="O51" s="32"/>
      <c r="P51" s="32"/>
    </row>
    <row r="52" spans="1:16" x14ac:dyDescent="0.25">
      <c r="C52" s="20" t="s">
        <v>300</v>
      </c>
      <c r="D52" s="20">
        <f>D47</f>
        <v>22</v>
      </c>
      <c r="E52" s="20" t="s">
        <v>352</v>
      </c>
      <c r="F52" s="19">
        <f xml:space="preserve"> (D52-D50)/(D51-D50)*(F51-F50)+F50</f>
        <v>3700.3679999999999</v>
      </c>
      <c r="I52" s="28"/>
      <c r="J52" s="28"/>
      <c r="K52" s="27" t="s">
        <v>294</v>
      </c>
      <c r="L52" s="28">
        <f>INDEX(Bang!B33:H33,1,MATCH('Noi suy'!L51,Bang!B33:H33,0)+1)</f>
        <v>100</v>
      </c>
      <c r="M52" s="27" t="s">
        <v>351</v>
      </c>
      <c r="N52" s="28">
        <f>INDEX(Bang!B34:H38,MATCH('Noi suy'!J51,Bang!A34:A38,0),MATCH(L52,Bang!B33:H33,0))</f>
        <v>3640</v>
      </c>
      <c r="O52" s="32"/>
      <c r="P52" s="32"/>
    </row>
    <row r="53" spans="1:16" x14ac:dyDescent="0.25">
      <c r="I53" s="28"/>
      <c r="J53" s="28"/>
      <c r="K53" s="27" t="s">
        <v>295</v>
      </c>
      <c r="L53" s="28">
        <f>D48</f>
        <v>81.84</v>
      </c>
      <c r="M53" s="27" t="s">
        <v>352</v>
      </c>
      <c r="N53" s="28">
        <f xml:space="preserve"> (L53-L51)/(L52-L51)*(N52-N51)+N51</f>
        <v>3640</v>
      </c>
      <c r="O53" s="32"/>
      <c r="P53" s="32"/>
    </row>
    <row r="54" spans="1:16" x14ac:dyDescent="0.25">
      <c r="A54" s="29" t="s">
        <v>359</v>
      </c>
      <c r="B54" s="30"/>
      <c r="C54" s="30"/>
      <c r="D54" s="31"/>
      <c r="E54" s="30"/>
      <c r="F54" s="30"/>
      <c r="G54" s="30"/>
      <c r="H54" s="30"/>
      <c r="I54" s="26"/>
      <c r="J54" s="26"/>
      <c r="K54" s="26"/>
      <c r="L54" s="26"/>
      <c r="M54" s="26"/>
      <c r="N54" s="26"/>
      <c r="O54" s="30"/>
      <c r="P54" s="30"/>
    </row>
    <row r="55" spans="1:16" x14ac:dyDescent="0.25">
      <c r="B55" s="3" t="s">
        <v>360</v>
      </c>
      <c r="D55" s="20" t="s">
        <v>293</v>
      </c>
      <c r="E55" s="18" t="e">
        <f>LOOKUP(E57,Bang!B41:W41,Bang!B41:W41)</f>
        <v>#N/A</v>
      </c>
      <c r="F55" s="20" t="s">
        <v>350</v>
      </c>
      <c r="G55" s="18" t="e">
        <f>LOOKUP(E55,Bang!B41:W41,Bang!B42:W42)*10^-3</f>
        <v>#N/A</v>
      </c>
    </row>
    <row r="56" spans="1:16" x14ac:dyDescent="0.25">
      <c r="D56" s="20" t="s">
        <v>294</v>
      </c>
      <c r="E56" s="18" t="e">
        <f>INDEX(Bang!B41:W41,1,MATCH('Noi suy'!E55,Bang!B41:W41,0)+1)</f>
        <v>#N/A</v>
      </c>
      <c r="F56" s="20" t="s">
        <v>351</v>
      </c>
      <c r="G56" s="18" t="e">
        <f>LOOKUP(E56,Bang!B41:W41,Bang!B42:W42)*10^-3</f>
        <v>#N/A</v>
      </c>
    </row>
    <row r="57" spans="1:16" x14ac:dyDescent="0.25">
      <c r="D57" s="20" t="s">
        <v>295</v>
      </c>
      <c r="E57" s="21">
        <v>81.84</v>
      </c>
      <c r="F57" s="20" t="s">
        <v>352</v>
      </c>
      <c r="G57" s="19" t="e">
        <f xml:space="preserve"> (E57-E55)/(E56-E55)*(G56-G55)+G55</f>
        <v>#N/A</v>
      </c>
    </row>
    <row r="59" spans="1:16" x14ac:dyDescent="0.25">
      <c r="A59" s="29" t="s">
        <v>363</v>
      </c>
      <c r="B59" s="30"/>
      <c r="C59" s="30"/>
      <c r="D59" s="31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</row>
    <row r="60" spans="1:16" x14ac:dyDescent="0.25">
      <c r="B60" s="3" t="s">
        <v>364</v>
      </c>
      <c r="D60" s="20" t="s">
        <v>293</v>
      </c>
      <c r="E60" s="18">
        <f>LOOKUP(E62,Bang!A109:A198,Bang!A109:A198)</f>
        <v>80</v>
      </c>
      <c r="F60" s="20" t="s">
        <v>80</v>
      </c>
      <c r="G60" s="18">
        <f>LOOKUP(E60,Bang!A109:A198,Bang!B109:B198)</f>
        <v>971.83</v>
      </c>
    </row>
    <row r="61" spans="1:16" x14ac:dyDescent="0.25">
      <c r="D61" s="20" t="s">
        <v>294</v>
      </c>
      <c r="E61" s="18">
        <f>INDEX(Bang!A109:A198,MATCH('Noi suy'!E60,Bang!A109:A198,0)+1)</f>
        <v>85</v>
      </c>
      <c r="F61" s="20" t="s">
        <v>344</v>
      </c>
      <c r="G61" s="18">
        <f>LOOKUP(E61,Bang!A109:A198,Bang!B109:B198)</f>
        <v>968.65</v>
      </c>
    </row>
    <row r="62" spans="1:16" x14ac:dyDescent="0.25">
      <c r="D62" s="20" t="s">
        <v>295</v>
      </c>
      <c r="E62" s="21">
        <v>81.84</v>
      </c>
      <c r="F62" s="20" t="s">
        <v>345</v>
      </c>
      <c r="G62" s="19">
        <f xml:space="preserve"> (E62-E60)/(E61-E60)*(G61-G60)+G60</f>
        <v>970.65976000000001</v>
      </c>
    </row>
    <row r="64" spans="1:16" x14ac:dyDescent="0.25">
      <c r="A64" s="29" t="s">
        <v>367</v>
      </c>
      <c r="B64" s="30"/>
      <c r="C64" s="30"/>
      <c r="D64" s="31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</row>
    <row r="65" spans="1:16" x14ac:dyDescent="0.25">
      <c r="B65" s="3" t="s">
        <v>368</v>
      </c>
      <c r="D65" s="20" t="s">
        <v>293</v>
      </c>
      <c r="E65" s="18">
        <f>LOOKUP(E67,Bang!F109:F209,Bang!F109:F209)</f>
        <v>81</v>
      </c>
      <c r="F65" s="20" t="s">
        <v>338</v>
      </c>
      <c r="G65" s="18">
        <f>LOOKUP(E65,Bang!F109:F209,Bang!G109:G209)*4.1868*10^3</f>
        <v>4199.9046840000001</v>
      </c>
      <c r="H65" s="18" t="s">
        <v>129</v>
      </c>
    </row>
    <row r="66" spans="1:16" x14ac:dyDescent="0.25">
      <c r="D66" s="20" t="s">
        <v>294</v>
      </c>
      <c r="E66" s="18">
        <f>INDEX(Bang!F109:F209,MATCH('Noi suy'!E65,Bang!F109:F209,0)+1)</f>
        <v>82</v>
      </c>
      <c r="F66" s="20" t="s">
        <v>339</v>
      </c>
      <c r="G66" s="18">
        <f>LOOKUP(E66,Bang!F109:F209,Bang!G109:G209)*4.1868*10^3</f>
        <v>4200.7001759999994</v>
      </c>
      <c r="H66" s="18" t="s">
        <v>129</v>
      </c>
    </row>
    <row r="67" spans="1:16" x14ac:dyDescent="0.25">
      <c r="D67" s="20" t="s">
        <v>295</v>
      </c>
      <c r="E67" s="21">
        <v>81.84</v>
      </c>
      <c r="F67" s="20" t="s">
        <v>340</v>
      </c>
      <c r="G67" s="19">
        <f xml:space="preserve"> (E67-E65)/(E66-E65)*(G66-G65)+G65</f>
        <v>4200.5728972799998</v>
      </c>
    </row>
    <row r="69" spans="1:16" x14ac:dyDescent="0.25">
      <c r="A69" s="29" t="s">
        <v>370</v>
      </c>
      <c r="B69" s="30"/>
      <c r="C69" s="30"/>
      <c r="D69" s="31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</row>
    <row r="70" spans="1:16" x14ac:dyDescent="0.25">
      <c r="B70" s="3" t="s">
        <v>360</v>
      </c>
      <c r="D70" s="20" t="s">
        <v>293</v>
      </c>
      <c r="E70" s="18">
        <f>LOOKUP(E72,Bang!J109:J209,Bang!J109:J209)</f>
        <v>81</v>
      </c>
      <c r="F70" s="20" t="s">
        <v>350</v>
      </c>
      <c r="G70" s="18">
        <f>LOOKUP(E70,Bang!J109:J209,Bang!K109:K209)*10^-3</f>
        <v>3.5210000000000005E-4</v>
      </c>
    </row>
    <row r="71" spans="1:16" x14ac:dyDescent="0.25">
      <c r="D71" s="20" t="s">
        <v>294</v>
      </c>
      <c r="E71" s="18">
        <f>INDEX(Bang!J109:J209,MATCH('Noi suy'!E70,Bang!J109:J209,0)+1)</f>
        <v>82</v>
      </c>
      <c r="F71" s="20" t="s">
        <v>351</v>
      </c>
      <c r="G71" s="18">
        <f>LOOKUP(E71,Bang!J109:J209,Bang!K109:K209)*10^-3</f>
        <v>3.478E-4</v>
      </c>
    </row>
    <row r="72" spans="1:16" x14ac:dyDescent="0.25">
      <c r="D72" s="20" t="s">
        <v>295</v>
      </c>
      <c r="E72" s="21">
        <v>81.84</v>
      </c>
      <c r="F72" s="20" t="s">
        <v>352</v>
      </c>
      <c r="G72" s="19">
        <f xml:space="preserve"> (E72-E70)/(E71-E70)*(G71-G70)+G70</f>
        <v>3.4848799999999999E-4</v>
      </c>
    </row>
  </sheetData>
  <mergeCells count="3">
    <mergeCell ref="O30:P36"/>
    <mergeCell ref="O39:P45"/>
    <mergeCell ref="O47:P5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W209"/>
  <sheetViews>
    <sheetView topLeftCell="A16" workbookViewId="0">
      <selection activeCell="J30" sqref="J30"/>
    </sheetView>
  </sheetViews>
  <sheetFormatPr defaultRowHeight="15" x14ac:dyDescent="0.25"/>
  <cols>
    <col min="1" max="1" width="13.28515625" customWidth="1"/>
    <col min="2" max="2" width="11.140625" customWidth="1"/>
    <col min="6" max="6" width="13.42578125" customWidth="1"/>
    <col min="7" max="7" width="13" customWidth="1"/>
    <col min="10" max="10" width="13.85546875" customWidth="1"/>
  </cols>
  <sheetData>
    <row r="2" spans="1:21" x14ac:dyDescent="0.25">
      <c r="A2" s="3" t="s">
        <v>320</v>
      </c>
      <c r="B2" s="18" t="s">
        <v>302</v>
      </c>
    </row>
    <row r="3" spans="1:21" x14ac:dyDescent="0.25">
      <c r="A3" s="4" t="s">
        <v>70</v>
      </c>
      <c r="B3" s="5">
        <v>3</v>
      </c>
      <c r="C3" s="5">
        <v>5</v>
      </c>
      <c r="D3" s="5">
        <v>10</v>
      </c>
      <c r="E3" s="5">
        <v>15</v>
      </c>
      <c r="F3" s="5">
        <v>20</v>
      </c>
      <c r="G3" s="5">
        <v>25</v>
      </c>
      <c r="H3" s="5">
        <v>30</v>
      </c>
      <c r="I3" s="5">
        <v>35</v>
      </c>
      <c r="J3" s="5">
        <v>40</v>
      </c>
      <c r="K3" s="5">
        <v>45</v>
      </c>
      <c r="L3" s="5">
        <v>50</v>
      </c>
      <c r="M3" s="5">
        <v>55</v>
      </c>
      <c r="N3" s="5">
        <v>60</v>
      </c>
      <c r="O3" s="5">
        <v>65</v>
      </c>
      <c r="P3" s="5">
        <v>70</v>
      </c>
      <c r="Q3" s="5">
        <v>75</v>
      </c>
      <c r="R3" s="5">
        <v>80</v>
      </c>
      <c r="S3" s="5">
        <v>85</v>
      </c>
      <c r="T3" s="5">
        <v>90</v>
      </c>
      <c r="U3" s="5">
        <v>95</v>
      </c>
    </row>
    <row r="4" spans="1:21" x14ac:dyDescent="0.25">
      <c r="A4" s="5"/>
      <c r="B4" s="5">
        <v>0.8</v>
      </c>
      <c r="C4" s="5">
        <v>1</v>
      </c>
      <c r="D4" s="5">
        <v>2.8</v>
      </c>
      <c r="E4" s="5">
        <v>5</v>
      </c>
      <c r="F4" s="5">
        <v>8.1999999999999993</v>
      </c>
      <c r="G4" s="5">
        <v>12.2</v>
      </c>
      <c r="H4" s="5">
        <v>17</v>
      </c>
      <c r="I4" s="5">
        <v>22</v>
      </c>
      <c r="J4" s="5">
        <v>28</v>
      </c>
      <c r="K4" s="5">
        <v>35</v>
      </c>
      <c r="L4" s="5">
        <v>42.2</v>
      </c>
      <c r="M4" s="5">
        <v>50.6</v>
      </c>
      <c r="N4" s="5">
        <v>59.5</v>
      </c>
      <c r="O4" s="5">
        <v>69</v>
      </c>
      <c r="P4" s="5">
        <v>79.599999999999994</v>
      </c>
      <c r="Q4" s="5">
        <v>92</v>
      </c>
      <c r="R4" s="5">
        <v>106.6</v>
      </c>
      <c r="S4" s="5">
        <v>124</v>
      </c>
      <c r="T4" s="5">
        <v>145.5</v>
      </c>
      <c r="U4" s="5">
        <v>147.5</v>
      </c>
    </row>
    <row r="6" spans="1:21" x14ac:dyDescent="0.25">
      <c r="A6" s="3" t="s">
        <v>321</v>
      </c>
    </row>
    <row r="7" spans="1:21" x14ac:dyDescent="0.25">
      <c r="A7" s="4" t="s">
        <v>172</v>
      </c>
      <c r="B7" s="5">
        <v>0</v>
      </c>
      <c r="C7" s="5">
        <v>20</v>
      </c>
      <c r="D7" s="5">
        <v>40</v>
      </c>
      <c r="E7" s="5">
        <v>60</v>
      </c>
      <c r="F7" s="5">
        <v>80</v>
      </c>
      <c r="G7" s="5">
        <v>100</v>
      </c>
      <c r="H7" s="5">
        <v>120</v>
      </c>
      <c r="I7" s="5">
        <v>140</v>
      </c>
      <c r="J7" s="5">
        <v>160</v>
      </c>
      <c r="K7" s="5">
        <v>180</v>
      </c>
      <c r="L7" s="5">
        <v>200</v>
      </c>
    </row>
    <row r="8" spans="1:21" x14ac:dyDescent="0.25">
      <c r="A8" s="4" t="s">
        <v>173</v>
      </c>
      <c r="B8" s="5">
        <v>104</v>
      </c>
      <c r="C8" s="5">
        <v>120</v>
      </c>
      <c r="D8" s="5">
        <v>139</v>
      </c>
      <c r="E8" s="5">
        <v>155</v>
      </c>
      <c r="F8" s="5">
        <v>169</v>
      </c>
      <c r="G8" s="5">
        <v>179</v>
      </c>
      <c r="H8" s="5">
        <v>188</v>
      </c>
      <c r="I8" s="5">
        <v>194</v>
      </c>
      <c r="J8" s="5">
        <v>197</v>
      </c>
      <c r="K8" s="5">
        <v>199</v>
      </c>
      <c r="L8" s="5">
        <v>199</v>
      </c>
    </row>
    <row r="10" spans="1:21" x14ac:dyDescent="0.25">
      <c r="A10" s="3" t="s">
        <v>333</v>
      </c>
    </row>
    <row r="11" spans="1:21" x14ac:dyDescent="0.25">
      <c r="A11" s="5" t="s">
        <v>332</v>
      </c>
      <c r="B11" s="5">
        <v>1</v>
      </c>
      <c r="C11" s="5">
        <v>2</v>
      </c>
      <c r="D11" s="5">
        <v>5</v>
      </c>
      <c r="E11" s="5">
        <v>10</v>
      </c>
      <c r="F11" s="5">
        <v>20</v>
      </c>
      <c r="G11" s="5">
        <v>30</v>
      </c>
      <c r="H11" s="5">
        <v>40</v>
      </c>
      <c r="I11" s="5">
        <v>50</v>
      </c>
      <c r="J11" s="5">
        <v>60</v>
      </c>
      <c r="K11" s="5">
        <v>80</v>
      </c>
      <c r="L11" s="5">
        <v>100</v>
      </c>
      <c r="M11" s="5">
        <v>120</v>
      </c>
      <c r="N11" s="5">
        <v>140</v>
      </c>
      <c r="O11" s="5">
        <v>160</v>
      </c>
      <c r="P11" s="5">
        <v>180</v>
      </c>
      <c r="Q11" s="5">
        <v>200</v>
      </c>
    </row>
    <row r="12" spans="1:21" x14ac:dyDescent="0.25">
      <c r="A12" s="5" t="s">
        <v>304</v>
      </c>
      <c r="B12" s="5">
        <v>99.09</v>
      </c>
      <c r="C12" s="5">
        <v>119.62</v>
      </c>
      <c r="D12" s="5">
        <v>151.11000000000001</v>
      </c>
      <c r="E12" s="5">
        <v>179.04</v>
      </c>
      <c r="F12" s="5">
        <v>211.38</v>
      </c>
      <c r="G12" s="5">
        <v>232.76</v>
      </c>
      <c r="H12" s="5">
        <v>249.18</v>
      </c>
      <c r="I12" s="5">
        <v>262.7</v>
      </c>
      <c r="J12" s="5">
        <v>274.29000000000002</v>
      </c>
      <c r="K12" s="5">
        <v>293.62</v>
      </c>
      <c r="L12" s="5">
        <v>309.52999999999997</v>
      </c>
      <c r="M12" s="5">
        <v>323.14999999999998</v>
      </c>
      <c r="N12" s="5">
        <v>335.09</v>
      </c>
      <c r="O12" s="5">
        <v>345.74</v>
      </c>
      <c r="P12" s="5">
        <v>355.35</v>
      </c>
      <c r="Q12" s="5">
        <v>364.08</v>
      </c>
    </row>
    <row r="13" spans="1:21" x14ac:dyDescent="0.25">
      <c r="A13" s="5" t="s">
        <v>334</v>
      </c>
      <c r="B13" s="5">
        <v>1.01</v>
      </c>
      <c r="C13" s="5">
        <v>1.014</v>
      </c>
      <c r="D13" s="5">
        <v>1.0269999999999999</v>
      </c>
      <c r="E13" s="5">
        <v>1.0469999999999999</v>
      </c>
      <c r="F13" s="5">
        <v>1.083</v>
      </c>
      <c r="G13" s="5">
        <v>1.1200000000000001</v>
      </c>
      <c r="H13" s="5">
        <v>1.155</v>
      </c>
      <c r="I13" s="5">
        <v>1.1950000000000001</v>
      </c>
      <c r="J13" s="5">
        <v>1.2350000000000001</v>
      </c>
      <c r="K13" s="5">
        <v>1.335</v>
      </c>
      <c r="L13" s="5">
        <v>1.45</v>
      </c>
      <c r="M13" s="5">
        <v>1.62</v>
      </c>
      <c r="N13" s="5">
        <v>1.84</v>
      </c>
      <c r="O13" s="5">
        <v>2.1</v>
      </c>
      <c r="P13" s="5">
        <v>2.4</v>
      </c>
      <c r="Q13" s="5">
        <v>2.73</v>
      </c>
      <c r="S13" t="s">
        <v>336</v>
      </c>
    </row>
    <row r="14" spans="1:21" x14ac:dyDescent="0.25">
      <c r="A14" s="5" t="s">
        <v>335</v>
      </c>
      <c r="B14" s="5">
        <v>0.48699999999999999</v>
      </c>
      <c r="C14" s="5">
        <v>0.50600000000000001</v>
      </c>
      <c r="D14" s="5">
        <v>0.54600000000000004</v>
      </c>
      <c r="E14" s="5">
        <v>0.61</v>
      </c>
      <c r="F14" s="5">
        <v>0.70499999999999996</v>
      </c>
      <c r="G14" s="5">
        <v>0.80500000000000005</v>
      </c>
      <c r="H14" s="5">
        <v>0.89500000000000002</v>
      </c>
      <c r="I14" s="5">
        <v>0.98499999999999999</v>
      </c>
      <c r="J14" s="5">
        <v>1.1000000000000001</v>
      </c>
      <c r="K14" s="5">
        <v>1.35</v>
      </c>
      <c r="L14" s="5">
        <v>1.66</v>
      </c>
      <c r="M14" s="5">
        <v>2.0299999999999998</v>
      </c>
      <c r="N14" s="5">
        <v>2.63</v>
      </c>
      <c r="O14" s="5">
        <v>3.42</v>
      </c>
      <c r="P14" s="5">
        <v>4.6399999999999997</v>
      </c>
      <c r="Q14" s="5">
        <v>6.6</v>
      </c>
      <c r="S14" t="s">
        <v>336</v>
      </c>
    </row>
    <row r="16" spans="1:21" x14ac:dyDescent="0.25">
      <c r="A16" s="3" t="s">
        <v>341</v>
      </c>
      <c r="B16" t="s">
        <v>342</v>
      </c>
    </row>
    <row r="17" spans="1:10" x14ac:dyDescent="0.25">
      <c r="A17" s="7" t="s">
        <v>302</v>
      </c>
      <c r="B17" s="5">
        <v>0</v>
      </c>
      <c r="C17" s="5">
        <v>20</v>
      </c>
      <c r="D17" s="5">
        <v>40</v>
      </c>
      <c r="E17" s="5">
        <v>60</v>
      </c>
      <c r="F17" s="5">
        <v>80</v>
      </c>
      <c r="G17" s="5">
        <v>100</v>
      </c>
      <c r="H17" s="5">
        <v>120</v>
      </c>
      <c r="I17" t="s">
        <v>49</v>
      </c>
    </row>
    <row r="18" spans="1:10" x14ac:dyDescent="0.25">
      <c r="A18" s="24">
        <v>10</v>
      </c>
      <c r="B18" s="5">
        <v>1117</v>
      </c>
      <c r="C18" s="5">
        <v>1109</v>
      </c>
      <c r="D18" s="5">
        <v>1100</v>
      </c>
      <c r="E18" s="5">
        <v>1089</v>
      </c>
      <c r="F18" s="5">
        <v>1077</v>
      </c>
      <c r="G18" s="5">
        <v>1064</v>
      </c>
      <c r="H18" s="5">
        <v>1049</v>
      </c>
    </row>
    <row r="19" spans="1:10" x14ac:dyDescent="0.25">
      <c r="A19" s="24">
        <v>20</v>
      </c>
      <c r="B19" s="5">
        <v>1230</v>
      </c>
      <c r="C19" s="5">
        <v>1219</v>
      </c>
      <c r="D19" s="5">
        <v>1208</v>
      </c>
      <c r="E19" s="5">
        <v>1196</v>
      </c>
      <c r="F19" s="5">
        <v>1183</v>
      </c>
      <c r="G19" s="5">
        <v>1170</v>
      </c>
      <c r="H19" s="5">
        <v>1155</v>
      </c>
    </row>
    <row r="20" spans="1:10" x14ac:dyDescent="0.25">
      <c r="A20" s="24">
        <v>30</v>
      </c>
      <c r="B20" s="5">
        <v>1340</v>
      </c>
      <c r="C20" s="5">
        <v>1328</v>
      </c>
      <c r="D20" s="5">
        <v>1316</v>
      </c>
      <c r="E20" s="5">
        <v>1303</v>
      </c>
      <c r="F20" s="5">
        <v>1289</v>
      </c>
      <c r="G20" s="5">
        <v>1276</v>
      </c>
      <c r="H20" s="5">
        <v>1261</v>
      </c>
    </row>
    <row r="21" spans="1:10" x14ac:dyDescent="0.25">
      <c r="A21" s="24">
        <v>40</v>
      </c>
      <c r="B21" s="5">
        <v>1540</v>
      </c>
      <c r="C21" s="5">
        <v>1525</v>
      </c>
      <c r="D21" s="5">
        <v>1511</v>
      </c>
      <c r="E21" s="5">
        <v>1497</v>
      </c>
      <c r="F21" s="5">
        <v>1483</v>
      </c>
      <c r="G21" s="5">
        <v>1469</v>
      </c>
      <c r="H21" s="5">
        <v>1454</v>
      </c>
    </row>
    <row r="22" spans="1:10" x14ac:dyDescent="0.25">
      <c r="A22" s="24">
        <v>50</v>
      </c>
      <c r="B22" s="5">
        <v>1540</v>
      </c>
      <c r="C22" s="5">
        <v>1525</v>
      </c>
      <c r="D22" s="5">
        <v>1511</v>
      </c>
      <c r="E22" s="5">
        <v>1497</v>
      </c>
      <c r="F22" s="5">
        <v>1483</v>
      </c>
      <c r="G22" s="5">
        <v>1469</v>
      </c>
      <c r="H22" s="5">
        <v>1454</v>
      </c>
    </row>
    <row r="24" spans="1:10" x14ac:dyDescent="0.25">
      <c r="A24" s="3" t="s">
        <v>348</v>
      </c>
      <c r="C24" s="2" t="s">
        <v>355</v>
      </c>
    </row>
    <row r="25" spans="1:10" x14ac:dyDescent="0.25">
      <c r="A25" s="8" t="s">
        <v>302</v>
      </c>
      <c r="B25" s="5">
        <v>20</v>
      </c>
      <c r="C25" s="10">
        <v>30</v>
      </c>
      <c r="D25" s="5">
        <v>40</v>
      </c>
      <c r="E25" s="5">
        <v>50</v>
      </c>
      <c r="F25" s="5">
        <v>60</v>
      </c>
      <c r="G25" s="5">
        <v>80</v>
      </c>
      <c r="H25" s="5">
        <v>100</v>
      </c>
      <c r="I25" s="5">
        <v>120</v>
      </c>
      <c r="J25" t="s">
        <v>49</v>
      </c>
    </row>
    <row r="26" spans="1:10" x14ac:dyDescent="0.25">
      <c r="A26" s="24">
        <v>10</v>
      </c>
      <c r="B26" s="5">
        <v>1.86</v>
      </c>
      <c r="C26" s="5">
        <v>1.45</v>
      </c>
      <c r="D26" s="5">
        <v>1.1599999999999999</v>
      </c>
      <c r="E26" s="5">
        <v>0.98</v>
      </c>
      <c r="F26" s="5">
        <v>0.91</v>
      </c>
      <c r="G26" s="5">
        <v>0.7</v>
      </c>
      <c r="H26" s="5">
        <v>0.65</v>
      </c>
      <c r="I26" s="5">
        <v>0.6</v>
      </c>
    </row>
    <row r="27" spans="1:10" x14ac:dyDescent="0.25">
      <c r="A27" s="24">
        <v>20</v>
      </c>
      <c r="B27" s="5">
        <v>4.4800000000000004</v>
      </c>
      <c r="C27" s="5">
        <v>3.3</v>
      </c>
      <c r="D27" s="5">
        <v>2.48</v>
      </c>
      <c r="E27" s="5">
        <v>2.9</v>
      </c>
      <c r="F27" s="5">
        <v>1.62</v>
      </c>
      <c r="G27" s="5">
        <v>1.27</v>
      </c>
      <c r="H27" s="5">
        <v>1.1499999999999999</v>
      </c>
      <c r="I27" s="5">
        <v>1.08</v>
      </c>
    </row>
    <row r="28" spans="1:10" x14ac:dyDescent="0.25">
      <c r="A28" s="24">
        <v>30</v>
      </c>
      <c r="B28" s="5">
        <v>13</v>
      </c>
      <c r="C28" s="5">
        <v>9</v>
      </c>
      <c r="D28" s="5">
        <v>6.3</v>
      </c>
      <c r="E28" s="5">
        <v>4.5999999999999996</v>
      </c>
      <c r="F28" s="5">
        <v>3.4</v>
      </c>
      <c r="G28" s="5">
        <v>2.16</v>
      </c>
      <c r="H28" s="5">
        <v>1.82</v>
      </c>
      <c r="I28" s="5">
        <v>1.71</v>
      </c>
    </row>
    <row r="29" spans="1:10" x14ac:dyDescent="0.25">
      <c r="A29" s="24">
        <v>40</v>
      </c>
      <c r="B29" s="5">
        <v>40</v>
      </c>
      <c r="C29" s="5">
        <v>23</v>
      </c>
      <c r="D29" s="5">
        <v>14</v>
      </c>
      <c r="E29" s="5">
        <v>9.1999999999999993</v>
      </c>
      <c r="F29" s="5">
        <v>5.44</v>
      </c>
      <c r="G29" s="5">
        <v>3.62</v>
      </c>
      <c r="H29" s="5">
        <v>2.72</v>
      </c>
      <c r="I29" s="5">
        <v>2.37</v>
      </c>
    </row>
    <row r="30" spans="1:10" x14ac:dyDescent="0.25">
      <c r="A30" s="24">
        <v>50</v>
      </c>
      <c r="B30" s="5"/>
      <c r="C30" s="5">
        <v>46</v>
      </c>
      <c r="D30" s="5">
        <v>25</v>
      </c>
      <c r="E30" s="5">
        <v>16</v>
      </c>
      <c r="F30" s="5">
        <v>8.0299999999999994</v>
      </c>
      <c r="G30" s="5">
        <v>5.54</v>
      </c>
      <c r="H30" s="5">
        <v>3.97</v>
      </c>
      <c r="I30" s="5">
        <v>3.42</v>
      </c>
    </row>
    <row r="32" spans="1:10" x14ac:dyDescent="0.25">
      <c r="A32" s="3" t="s">
        <v>353</v>
      </c>
      <c r="C32" s="2" t="s">
        <v>354</v>
      </c>
    </row>
    <row r="33" spans="1:23" x14ac:dyDescent="0.25">
      <c r="A33" s="5" t="s">
        <v>302</v>
      </c>
      <c r="B33" s="5">
        <v>0</v>
      </c>
      <c r="C33" s="5">
        <v>20</v>
      </c>
      <c r="D33" s="5">
        <v>40</v>
      </c>
      <c r="E33" s="5">
        <v>60</v>
      </c>
      <c r="F33" s="5">
        <v>80</v>
      </c>
      <c r="G33" s="5">
        <v>100</v>
      </c>
      <c r="H33" s="5">
        <v>120</v>
      </c>
      <c r="I33" t="s">
        <v>49</v>
      </c>
    </row>
    <row r="34" spans="1:23" x14ac:dyDescent="0.25">
      <c r="A34" s="5">
        <v>10</v>
      </c>
      <c r="B34" s="5">
        <v>3700</v>
      </c>
      <c r="C34" s="5">
        <v>3770</v>
      </c>
      <c r="D34" s="5">
        <v>3820</v>
      </c>
      <c r="E34" s="5">
        <v>3845</v>
      </c>
      <c r="F34" s="5">
        <v>3860</v>
      </c>
      <c r="G34" s="5">
        <v>3870</v>
      </c>
      <c r="H34" s="5">
        <v>3880</v>
      </c>
    </row>
    <row r="35" spans="1:23" x14ac:dyDescent="0.25">
      <c r="A35" s="5">
        <v>20</v>
      </c>
      <c r="B35" s="5">
        <v>3530</v>
      </c>
      <c r="C35" s="5">
        <v>3610</v>
      </c>
      <c r="D35" s="5">
        <v>3670</v>
      </c>
      <c r="E35" s="5">
        <v>3700</v>
      </c>
      <c r="F35" s="5">
        <v>3715</v>
      </c>
      <c r="G35" s="5">
        <v>3720</v>
      </c>
      <c r="H35" s="5">
        <v>3720</v>
      </c>
    </row>
    <row r="36" spans="1:23" x14ac:dyDescent="0.25">
      <c r="A36" s="5">
        <v>30</v>
      </c>
      <c r="B36" s="5">
        <v>3450</v>
      </c>
      <c r="C36" s="5">
        <v>3520</v>
      </c>
      <c r="D36" s="5">
        <v>3590</v>
      </c>
      <c r="E36" s="5">
        <v>3630</v>
      </c>
      <c r="F36" s="5">
        <v>3640</v>
      </c>
      <c r="G36" s="5">
        <v>3640</v>
      </c>
      <c r="H36" s="5">
        <v>3640</v>
      </c>
    </row>
    <row r="37" spans="1:23" x14ac:dyDescent="0.25">
      <c r="A37" s="5">
        <v>40</v>
      </c>
      <c r="B37" s="5">
        <v>3380</v>
      </c>
      <c r="C37" s="5">
        <v>3425</v>
      </c>
      <c r="D37" s="5">
        <v>3460</v>
      </c>
      <c r="E37" s="5">
        <v>3480</v>
      </c>
      <c r="F37" s="5">
        <v>3490</v>
      </c>
      <c r="G37" s="5">
        <v>3490</v>
      </c>
      <c r="H37" s="5">
        <v>3490</v>
      </c>
    </row>
    <row r="38" spans="1:23" x14ac:dyDescent="0.25">
      <c r="A38" s="5">
        <v>50</v>
      </c>
      <c r="B38" s="5"/>
      <c r="C38" s="5">
        <v>3240</v>
      </c>
      <c r="D38" s="5">
        <v>3220</v>
      </c>
      <c r="E38" s="5">
        <v>3215</v>
      </c>
      <c r="F38" s="5">
        <v>3205</v>
      </c>
      <c r="G38" s="5">
        <v>2200</v>
      </c>
      <c r="H38" s="5">
        <v>3190</v>
      </c>
    </row>
    <row r="40" spans="1:23" x14ac:dyDescent="0.25">
      <c r="A40" s="3" t="s">
        <v>357</v>
      </c>
    </row>
    <row r="41" spans="1:23" x14ac:dyDescent="0.25">
      <c r="A41" s="5" t="s">
        <v>304</v>
      </c>
      <c r="B41" s="5">
        <v>101</v>
      </c>
      <c r="C41" s="5">
        <v>102</v>
      </c>
      <c r="D41" s="5">
        <v>103</v>
      </c>
      <c r="E41" s="5">
        <v>104</v>
      </c>
      <c r="F41" s="5">
        <v>105</v>
      </c>
      <c r="G41" s="5">
        <v>106</v>
      </c>
      <c r="H41" s="5">
        <v>107</v>
      </c>
      <c r="I41" s="5">
        <v>108</v>
      </c>
      <c r="J41" s="5">
        <v>109</v>
      </c>
      <c r="K41" s="5">
        <v>110</v>
      </c>
      <c r="L41" s="5">
        <v>120</v>
      </c>
      <c r="M41" s="5">
        <v>130</v>
      </c>
      <c r="N41" s="5">
        <v>140</v>
      </c>
      <c r="O41" s="5">
        <v>150</v>
      </c>
      <c r="P41" s="5">
        <v>160</v>
      </c>
      <c r="Q41" s="5">
        <v>170</v>
      </c>
      <c r="R41" s="5">
        <v>180</v>
      </c>
      <c r="S41" s="5">
        <v>190</v>
      </c>
      <c r="T41" s="5">
        <v>200</v>
      </c>
      <c r="U41" s="5">
        <v>210</v>
      </c>
      <c r="V41" s="5">
        <v>220</v>
      </c>
      <c r="W41" s="5">
        <v>225</v>
      </c>
    </row>
    <row r="42" spans="1:23" x14ac:dyDescent="0.25">
      <c r="A42" s="5" t="s">
        <v>358</v>
      </c>
      <c r="B42" s="5">
        <v>0.28199999999999997</v>
      </c>
      <c r="C42" s="5">
        <v>0.27900000000000003</v>
      </c>
      <c r="D42" s="5">
        <v>0.27600000000000002</v>
      </c>
      <c r="E42" s="5">
        <v>0.27300000000000002</v>
      </c>
      <c r="F42" s="5">
        <v>0.27</v>
      </c>
      <c r="G42" s="5">
        <v>0.26700000000000002</v>
      </c>
      <c r="H42" s="5">
        <v>0.26400000000000001</v>
      </c>
      <c r="I42" s="5">
        <v>0.26200000000000001</v>
      </c>
      <c r="J42" s="5">
        <v>0.25900000000000001</v>
      </c>
      <c r="K42" s="5">
        <v>0.25600000000000001</v>
      </c>
      <c r="L42" s="5">
        <v>0.23200000000000001</v>
      </c>
      <c r="M42" s="5">
        <v>0.21199999999999999</v>
      </c>
      <c r="N42" s="5">
        <v>0.19600000000000001</v>
      </c>
      <c r="O42" s="5">
        <v>0.184</v>
      </c>
      <c r="P42" s="5">
        <v>0.17399999999999999</v>
      </c>
      <c r="Q42" s="5">
        <v>0.16600000000000001</v>
      </c>
      <c r="R42" s="5">
        <v>0.115</v>
      </c>
      <c r="S42" s="5">
        <v>0.14599999999999999</v>
      </c>
      <c r="T42" s="5">
        <v>0.13900000000000001</v>
      </c>
      <c r="U42" s="5">
        <v>0.13400000000000001</v>
      </c>
      <c r="V42" s="5">
        <v>0.129</v>
      </c>
      <c r="W42" s="5">
        <v>0.128</v>
      </c>
    </row>
    <row r="44" spans="1:23" x14ac:dyDescent="0.25">
      <c r="A44" s="3" t="s">
        <v>322</v>
      </c>
    </row>
    <row r="45" spans="1:23" x14ac:dyDescent="0.25">
      <c r="A45" s="35" t="s">
        <v>303</v>
      </c>
      <c r="B45" s="35"/>
      <c r="C45" s="35" t="s">
        <v>304</v>
      </c>
      <c r="D45" s="35" t="s">
        <v>305</v>
      </c>
      <c r="E45" s="35"/>
      <c r="F45" s="35"/>
      <c r="G45" s="35" t="s">
        <v>306</v>
      </c>
      <c r="H45" s="35"/>
      <c r="I45" s="35"/>
      <c r="J45" s="33" t="s">
        <v>307</v>
      </c>
      <c r="K45" s="33"/>
      <c r="L45" s="33"/>
      <c r="M45" s="33"/>
      <c r="N45" s="33" t="s">
        <v>308</v>
      </c>
      <c r="O45" s="33"/>
      <c r="P45" s="33"/>
      <c r="Q45" s="33"/>
      <c r="R45" s="9" t="s">
        <v>309</v>
      </c>
      <c r="S45" s="9"/>
      <c r="T45" s="5"/>
      <c r="U45" s="5"/>
    </row>
    <row r="46" spans="1:23" x14ac:dyDescent="0.25">
      <c r="A46" s="35"/>
      <c r="B46" s="35"/>
      <c r="C46" s="35"/>
      <c r="D46" s="35"/>
      <c r="E46" s="35"/>
      <c r="F46" s="35"/>
      <c r="G46" s="35"/>
      <c r="H46" s="35"/>
      <c r="I46" s="35"/>
      <c r="J46" s="33" t="s">
        <v>310</v>
      </c>
      <c r="K46" s="33"/>
      <c r="L46" s="33" t="s">
        <v>311</v>
      </c>
      <c r="M46" s="33"/>
      <c r="N46" s="33" t="s">
        <v>312</v>
      </c>
      <c r="O46" s="33"/>
      <c r="P46" s="33" t="s">
        <v>313</v>
      </c>
      <c r="Q46" s="33"/>
      <c r="R46" s="33" t="s">
        <v>314</v>
      </c>
      <c r="S46" s="33"/>
      <c r="T46" s="33" t="s">
        <v>315</v>
      </c>
      <c r="U46" s="33"/>
    </row>
    <row r="47" spans="1:23" ht="16.5" x14ac:dyDescent="0.25">
      <c r="B47" s="5">
        <v>0.01</v>
      </c>
      <c r="C47" s="10">
        <v>6.6</v>
      </c>
      <c r="E47" s="1"/>
      <c r="J47" s="13">
        <v>27.7</v>
      </c>
      <c r="K47" s="14"/>
      <c r="N47" s="5">
        <v>2506</v>
      </c>
      <c r="O47" s="17"/>
      <c r="R47" s="5">
        <v>2478</v>
      </c>
    </row>
    <row r="48" spans="1:23" x14ac:dyDescent="0.25">
      <c r="B48" s="5">
        <v>1.4999999999999999E-2</v>
      </c>
      <c r="C48" s="5">
        <v>12.7</v>
      </c>
      <c r="J48" s="11">
        <v>53.2</v>
      </c>
      <c r="K48" s="12"/>
      <c r="N48" s="5">
        <v>2518</v>
      </c>
      <c r="O48" s="17"/>
      <c r="R48" s="5">
        <v>2465</v>
      </c>
    </row>
    <row r="49" spans="2:18" x14ac:dyDescent="0.25">
      <c r="B49" s="5">
        <v>0.02</v>
      </c>
      <c r="C49" s="5">
        <v>17.100000000000001</v>
      </c>
      <c r="J49" s="11">
        <v>71.599999999999994</v>
      </c>
      <c r="K49" s="12"/>
      <c r="N49" s="5">
        <v>2526</v>
      </c>
      <c r="O49" s="17"/>
      <c r="R49" s="5">
        <v>2455</v>
      </c>
    </row>
    <row r="50" spans="2:18" x14ac:dyDescent="0.25">
      <c r="B50" s="5">
        <v>2.5000000000000001E-2</v>
      </c>
      <c r="C50" s="5">
        <v>20.7</v>
      </c>
      <c r="J50" s="11">
        <v>86.7</v>
      </c>
      <c r="K50" s="12"/>
      <c r="N50" s="5">
        <v>2533</v>
      </c>
      <c r="O50" s="17"/>
      <c r="R50" s="5">
        <v>2447</v>
      </c>
    </row>
    <row r="51" spans="2:18" x14ac:dyDescent="0.25">
      <c r="B51" s="5">
        <v>0.03</v>
      </c>
      <c r="C51" s="5">
        <v>23.7</v>
      </c>
      <c r="J51" s="11">
        <v>99.3</v>
      </c>
      <c r="K51" s="12"/>
      <c r="N51" s="5">
        <v>2539</v>
      </c>
      <c r="O51" s="17"/>
      <c r="R51" s="5">
        <v>2440</v>
      </c>
    </row>
    <row r="52" spans="2:18" x14ac:dyDescent="0.25">
      <c r="B52" s="5">
        <v>0.04</v>
      </c>
      <c r="C52" s="5">
        <v>28.6</v>
      </c>
      <c r="J52" s="11">
        <v>119.8</v>
      </c>
      <c r="K52" s="12"/>
      <c r="N52" s="5">
        <v>2548</v>
      </c>
      <c r="O52" s="17"/>
      <c r="R52" s="5">
        <v>2429</v>
      </c>
    </row>
    <row r="53" spans="2:18" x14ac:dyDescent="0.25">
      <c r="B53" s="5">
        <v>0.05</v>
      </c>
      <c r="C53" s="5">
        <v>32.5</v>
      </c>
      <c r="J53" s="11">
        <v>136.19999999999999</v>
      </c>
      <c r="K53" s="12"/>
      <c r="N53" s="5">
        <v>2556</v>
      </c>
      <c r="O53" s="17"/>
      <c r="R53" s="5">
        <v>2420</v>
      </c>
    </row>
    <row r="54" spans="2:18" x14ac:dyDescent="0.25">
      <c r="B54" s="5">
        <v>0.06</v>
      </c>
      <c r="C54" s="5">
        <v>35.799999999999997</v>
      </c>
      <c r="J54" s="11">
        <v>150</v>
      </c>
      <c r="K54" s="12"/>
      <c r="N54" s="5">
        <v>2562</v>
      </c>
      <c r="O54" s="17"/>
      <c r="R54" s="5">
        <v>2413</v>
      </c>
    </row>
    <row r="55" spans="2:18" x14ac:dyDescent="0.25">
      <c r="B55" s="5">
        <v>0.08</v>
      </c>
      <c r="C55" s="5">
        <v>41.1</v>
      </c>
      <c r="J55" s="11">
        <v>172.2</v>
      </c>
      <c r="K55" s="12"/>
      <c r="N55" s="5">
        <v>2573</v>
      </c>
      <c r="O55" s="17"/>
      <c r="R55" s="5">
        <v>2400</v>
      </c>
    </row>
    <row r="56" spans="2:18" x14ac:dyDescent="0.25">
      <c r="B56" s="5">
        <v>0.1</v>
      </c>
      <c r="C56" s="5">
        <v>45.4</v>
      </c>
      <c r="J56" s="11">
        <v>190.2</v>
      </c>
      <c r="K56" s="12"/>
      <c r="N56" s="5">
        <v>2581</v>
      </c>
      <c r="O56" s="17"/>
      <c r="R56" s="5">
        <v>2490</v>
      </c>
    </row>
    <row r="57" spans="2:18" x14ac:dyDescent="0.25">
      <c r="B57" s="5">
        <v>0.12</v>
      </c>
      <c r="C57" s="5">
        <v>49</v>
      </c>
      <c r="J57" s="11">
        <v>205.3</v>
      </c>
      <c r="K57" s="12"/>
      <c r="N57" s="5">
        <v>2588</v>
      </c>
      <c r="O57" s="17"/>
      <c r="R57" s="5">
        <v>2382</v>
      </c>
    </row>
    <row r="58" spans="2:18" x14ac:dyDescent="0.25">
      <c r="B58" s="5">
        <v>0.15</v>
      </c>
      <c r="C58" s="5">
        <v>53.6</v>
      </c>
      <c r="J58" s="11">
        <v>224.6</v>
      </c>
      <c r="K58" s="12"/>
      <c r="N58" s="5">
        <v>2596</v>
      </c>
      <c r="O58" s="17"/>
      <c r="R58" s="5">
        <v>2372</v>
      </c>
    </row>
    <row r="59" spans="2:18" x14ac:dyDescent="0.25">
      <c r="B59" s="5">
        <v>0.2</v>
      </c>
      <c r="C59" s="5">
        <v>59.7</v>
      </c>
      <c r="J59" s="11">
        <v>250.1</v>
      </c>
      <c r="K59" s="12"/>
      <c r="N59" s="5">
        <v>2607</v>
      </c>
      <c r="O59" s="17"/>
      <c r="R59" s="5">
        <v>2358</v>
      </c>
    </row>
    <row r="60" spans="2:18" x14ac:dyDescent="0.25">
      <c r="B60" s="5">
        <v>0.3</v>
      </c>
      <c r="C60" s="5">
        <v>68.7</v>
      </c>
      <c r="J60" s="11">
        <v>287.89999999999998</v>
      </c>
      <c r="K60" s="12"/>
      <c r="N60" s="5">
        <v>2620</v>
      </c>
      <c r="O60" s="17"/>
      <c r="R60" s="5">
        <v>2336</v>
      </c>
    </row>
    <row r="61" spans="2:18" x14ac:dyDescent="0.25">
      <c r="B61" s="5">
        <v>0.4</v>
      </c>
      <c r="C61" s="5">
        <v>75.400000000000006</v>
      </c>
      <c r="J61" s="11">
        <v>315.89999999999998</v>
      </c>
      <c r="K61" s="12"/>
      <c r="N61" s="5">
        <v>2632</v>
      </c>
      <c r="O61" s="17"/>
      <c r="R61" s="5">
        <v>2320</v>
      </c>
    </row>
    <row r="62" spans="2:18" x14ac:dyDescent="0.25">
      <c r="B62" s="5">
        <v>0.5</v>
      </c>
      <c r="C62" s="5">
        <v>80.900000000000006</v>
      </c>
      <c r="J62" s="11">
        <v>339</v>
      </c>
      <c r="K62" s="12"/>
      <c r="N62" s="5">
        <v>2642</v>
      </c>
      <c r="O62" s="17"/>
      <c r="R62" s="5">
        <v>2307</v>
      </c>
    </row>
    <row r="63" spans="2:18" x14ac:dyDescent="0.25">
      <c r="B63" s="5">
        <v>0.6</v>
      </c>
      <c r="C63" s="5">
        <v>85.5</v>
      </c>
      <c r="J63" s="11">
        <v>358.2</v>
      </c>
      <c r="K63" s="12"/>
      <c r="N63" s="5">
        <v>2650</v>
      </c>
      <c r="O63" s="17"/>
      <c r="R63" s="5">
        <v>2296</v>
      </c>
    </row>
    <row r="64" spans="2:18" x14ac:dyDescent="0.25">
      <c r="B64" s="5">
        <v>0.7</v>
      </c>
      <c r="C64" s="5">
        <v>89.3</v>
      </c>
      <c r="J64" s="15">
        <v>375</v>
      </c>
      <c r="K64" s="16"/>
      <c r="N64" s="5">
        <v>2657</v>
      </c>
      <c r="O64" s="17"/>
      <c r="R64" s="5">
        <v>2286</v>
      </c>
    </row>
    <row r="65" spans="2:18" x14ac:dyDescent="0.25">
      <c r="B65" s="5">
        <v>0.8</v>
      </c>
      <c r="C65" s="5">
        <v>93</v>
      </c>
      <c r="J65" s="15">
        <v>389.7</v>
      </c>
      <c r="K65" s="16"/>
      <c r="N65" s="5">
        <v>2663</v>
      </c>
      <c r="O65" s="17"/>
      <c r="R65" s="5">
        <v>2278</v>
      </c>
    </row>
    <row r="66" spans="2:18" x14ac:dyDescent="0.25">
      <c r="B66" s="5">
        <v>0.9</v>
      </c>
      <c r="C66" s="5">
        <v>96.2</v>
      </c>
      <c r="J66" s="15">
        <v>403.1</v>
      </c>
      <c r="K66" s="16"/>
      <c r="N66" s="5">
        <v>2668</v>
      </c>
      <c r="O66" s="17"/>
      <c r="R66" s="5">
        <v>2270</v>
      </c>
    </row>
    <row r="67" spans="2:18" x14ac:dyDescent="0.25">
      <c r="B67" s="5">
        <v>1</v>
      </c>
      <c r="C67" s="5">
        <v>99.1</v>
      </c>
      <c r="J67" s="15">
        <v>415.2</v>
      </c>
      <c r="K67" s="16"/>
      <c r="N67" s="5">
        <v>2677</v>
      </c>
      <c r="O67" s="17"/>
      <c r="R67" s="5">
        <v>2264</v>
      </c>
    </row>
    <row r="68" spans="2:18" x14ac:dyDescent="0.25">
      <c r="B68" s="5">
        <v>1.2</v>
      </c>
      <c r="C68" s="5">
        <v>104.2</v>
      </c>
      <c r="J68" s="15">
        <v>437</v>
      </c>
      <c r="K68" s="16"/>
      <c r="N68" s="5">
        <v>2686</v>
      </c>
      <c r="O68" s="17"/>
      <c r="R68" s="5">
        <v>2249</v>
      </c>
    </row>
    <row r="69" spans="2:18" x14ac:dyDescent="0.25">
      <c r="B69" s="5">
        <v>1.4</v>
      </c>
      <c r="C69" s="5">
        <v>108.7</v>
      </c>
      <c r="J69" s="15">
        <v>456.3</v>
      </c>
      <c r="K69" s="16"/>
      <c r="N69" s="5">
        <v>2693</v>
      </c>
      <c r="O69" s="17"/>
      <c r="R69" s="5">
        <v>2237</v>
      </c>
    </row>
    <row r="70" spans="2:18" x14ac:dyDescent="0.25">
      <c r="B70" s="5">
        <v>1.6</v>
      </c>
      <c r="C70" s="5">
        <v>112.7</v>
      </c>
      <c r="J70" s="15">
        <v>473.1</v>
      </c>
      <c r="K70" s="16"/>
      <c r="N70" s="5">
        <v>2703</v>
      </c>
      <c r="O70" s="17"/>
      <c r="R70" s="5">
        <v>2227</v>
      </c>
    </row>
    <row r="71" spans="2:18" x14ac:dyDescent="0.25">
      <c r="B71" s="5">
        <v>1.8</v>
      </c>
      <c r="C71" s="5">
        <v>116.3</v>
      </c>
      <c r="J71" s="15">
        <v>483.6</v>
      </c>
      <c r="K71" s="16"/>
      <c r="N71" s="5">
        <v>2709</v>
      </c>
      <c r="O71" s="17"/>
      <c r="R71" s="5">
        <v>2217</v>
      </c>
    </row>
    <row r="72" spans="2:18" x14ac:dyDescent="0.25">
      <c r="B72" s="5">
        <v>2</v>
      </c>
      <c r="C72" s="5">
        <v>119.6</v>
      </c>
      <c r="J72" s="15">
        <v>502.4</v>
      </c>
      <c r="K72" s="16"/>
      <c r="N72" s="5">
        <v>2710</v>
      </c>
      <c r="O72" s="17"/>
      <c r="R72" s="5">
        <v>2208</v>
      </c>
    </row>
    <row r="73" spans="2:18" x14ac:dyDescent="0.25">
      <c r="B73" s="5">
        <v>3</v>
      </c>
      <c r="C73" s="5">
        <v>132.9</v>
      </c>
      <c r="J73" s="15">
        <v>558.9</v>
      </c>
      <c r="K73" s="16"/>
      <c r="N73" s="5">
        <v>2730</v>
      </c>
      <c r="O73" s="17"/>
      <c r="R73" s="5">
        <v>2171</v>
      </c>
    </row>
    <row r="74" spans="2:18" x14ac:dyDescent="0.25">
      <c r="B74" s="5">
        <v>4</v>
      </c>
      <c r="C74" s="5">
        <v>142.9</v>
      </c>
      <c r="J74" s="15">
        <v>601.1</v>
      </c>
      <c r="K74" s="16"/>
      <c r="N74" s="5">
        <v>2744</v>
      </c>
      <c r="O74" s="17"/>
      <c r="R74" s="5">
        <v>2141</v>
      </c>
    </row>
    <row r="75" spans="2:18" x14ac:dyDescent="0.25">
      <c r="B75" s="5">
        <v>5</v>
      </c>
      <c r="C75" s="5">
        <v>151.1</v>
      </c>
      <c r="J75" s="15">
        <v>637.70000000000005</v>
      </c>
      <c r="K75" s="16"/>
      <c r="N75" s="5">
        <v>2754</v>
      </c>
      <c r="O75" s="17"/>
      <c r="R75" s="5">
        <v>2117</v>
      </c>
    </row>
    <row r="76" spans="2:18" x14ac:dyDescent="0.25">
      <c r="B76" s="5">
        <v>6</v>
      </c>
      <c r="C76" s="5">
        <v>158.1</v>
      </c>
      <c r="J76" s="15">
        <v>667.9</v>
      </c>
      <c r="K76" s="16"/>
      <c r="N76" s="5">
        <v>2768</v>
      </c>
      <c r="O76" s="17"/>
      <c r="R76" s="5">
        <v>2095</v>
      </c>
    </row>
    <row r="77" spans="2:18" x14ac:dyDescent="0.25">
      <c r="B77" s="5">
        <v>7</v>
      </c>
      <c r="C77" s="5">
        <v>164.2</v>
      </c>
      <c r="J77" s="15">
        <v>694.3</v>
      </c>
      <c r="K77" s="16"/>
      <c r="N77" s="5">
        <v>2769</v>
      </c>
      <c r="O77" s="17"/>
      <c r="R77" s="5">
        <v>2075</v>
      </c>
    </row>
    <row r="78" spans="2:18" x14ac:dyDescent="0.25">
      <c r="B78" s="5">
        <v>8</v>
      </c>
      <c r="C78" s="5">
        <v>169.6</v>
      </c>
      <c r="J78" s="15">
        <v>718.4</v>
      </c>
      <c r="K78" s="16"/>
      <c r="N78" s="5">
        <v>2776</v>
      </c>
      <c r="O78" s="17"/>
      <c r="R78" s="5">
        <v>2057</v>
      </c>
    </row>
    <row r="79" spans="2:18" x14ac:dyDescent="0.25">
      <c r="B79" s="5">
        <v>9</v>
      </c>
      <c r="C79" s="5">
        <v>174.5</v>
      </c>
      <c r="J79" s="15">
        <v>740</v>
      </c>
      <c r="K79" s="16"/>
      <c r="N79" s="5">
        <v>2780</v>
      </c>
      <c r="O79" s="17"/>
      <c r="R79" s="5">
        <v>2040</v>
      </c>
    </row>
    <row r="80" spans="2:18" x14ac:dyDescent="0.25">
      <c r="B80" s="5">
        <v>10</v>
      </c>
      <c r="C80" s="5">
        <v>179</v>
      </c>
      <c r="J80" s="15">
        <v>759.6</v>
      </c>
      <c r="K80" s="16"/>
      <c r="N80" s="5">
        <v>2784</v>
      </c>
      <c r="O80" s="17"/>
      <c r="R80" s="5">
        <v>2024</v>
      </c>
    </row>
    <row r="81" spans="2:18" x14ac:dyDescent="0.25">
      <c r="B81" s="5">
        <v>11</v>
      </c>
      <c r="C81" s="5">
        <v>183.2</v>
      </c>
      <c r="J81" s="15">
        <v>778.1</v>
      </c>
      <c r="K81" s="16"/>
      <c r="N81" s="5">
        <v>2787</v>
      </c>
      <c r="O81" s="17"/>
      <c r="R81" s="5">
        <v>2009</v>
      </c>
    </row>
    <row r="82" spans="2:18" x14ac:dyDescent="0.25">
      <c r="B82" s="5">
        <v>12</v>
      </c>
      <c r="C82" s="5">
        <v>187.1</v>
      </c>
      <c r="J82" s="15">
        <v>795.3</v>
      </c>
      <c r="K82" s="16"/>
      <c r="N82" s="5">
        <v>2790</v>
      </c>
      <c r="O82" s="17"/>
      <c r="R82" s="5">
        <v>1995</v>
      </c>
    </row>
    <row r="83" spans="2:18" x14ac:dyDescent="0.25">
      <c r="B83" s="5">
        <v>13</v>
      </c>
      <c r="C83" s="5">
        <v>190.7</v>
      </c>
      <c r="J83" s="15">
        <v>811.2</v>
      </c>
      <c r="K83" s="16"/>
      <c r="N83" s="5">
        <v>2793</v>
      </c>
      <c r="O83" s="17"/>
      <c r="R83" s="5">
        <v>1984</v>
      </c>
    </row>
    <row r="84" spans="2:18" x14ac:dyDescent="0.25">
      <c r="B84" s="5">
        <v>14</v>
      </c>
      <c r="C84" s="5">
        <v>194.1</v>
      </c>
      <c r="J84" s="15">
        <v>826.7</v>
      </c>
      <c r="K84" s="16"/>
      <c r="N84" s="5">
        <v>2795</v>
      </c>
      <c r="O84" s="17"/>
      <c r="R84" s="5">
        <v>1968</v>
      </c>
    </row>
    <row r="85" spans="2:18" x14ac:dyDescent="0.25">
      <c r="B85" s="5">
        <v>15</v>
      </c>
      <c r="C85" s="5">
        <v>197.4</v>
      </c>
      <c r="J85" s="15">
        <v>840.9</v>
      </c>
      <c r="K85" s="16"/>
      <c r="N85" s="5">
        <v>2796</v>
      </c>
      <c r="O85" s="17"/>
      <c r="R85" s="5">
        <v>1956</v>
      </c>
    </row>
    <row r="86" spans="2:18" x14ac:dyDescent="0.25">
      <c r="B86" s="5">
        <v>16</v>
      </c>
      <c r="C86" s="5">
        <v>200.4</v>
      </c>
      <c r="J86" s="15">
        <v>854.8</v>
      </c>
      <c r="K86" s="16"/>
      <c r="N86" s="5">
        <v>2798</v>
      </c>
      <c r="O86" s="17"/>
      <c r="R86" s="5">
        <v>1943</v>
      </c>
    </row>
    <row r="87" spans="2:18" x14ac:dyDescent="0.25">
      <c r="B87" s="5">
        <v>17</v>
      </c>
      <c r="C87" s="5">
        <v>203.4</v>
      </c>
      <c r="J87" s="15">
        <v>867.7</v>
      </c>
      <c r="K87" s="16"/>
      <c r="N87" s="5">
        <v>2799</v>
      </c>
      <c r="O87" s="17"/>
      <c r="R87" s="5">
        <v>1931</v>
      </c>
    </row>
    <row r="88" spans="2:18" x14ac:dyDescent="0.25">
      <c r="B88" s="5">
        <v>18</v>
      </c>
      <c r="C88" s="5">
        <v>206.2</v>
      </c>
      <c r="J88" s="15">
        <v>880.3</v>
      </c>
      <c r="K88" s="16"/>
      <c r="N88" s="5">
        <v>2800</v>
      </c>
      <c r="O88" s="17"/>
      <c r="R88" s="5">
        <v>1920</v>
      </c>
    </row>
    <row r="89" spans="2:18" x14ac:dyDescent="0.25">
      <c r="B89" s="5">
        <v>19</v>
      </c>
      <c r="C89" s="5">
        <v>208.8</v>
      </c>
      <c r="J89" s="15">
        <v>892.5</v>
      </c>
      <c r="K89" s="16"/>
      <c r="N89" s="5">
        <v>2801</v>
      </c>
      <c r="O89" s="17"/>
      <c r="R89" s="5">
        <v>1909</v>
      </c>
    </row>
    <row r="90" spans="2:18" x14ac:dyDescent="0.25">
      <c r="B90" s="5">
        <v>20</v>
      </c>
      <c r="C90" s="5">
        <v>211.4</v>
      </c>
      <c r="J90" s="15">
        <v>904.2</v>
      </c>
      <c r="K90" s="16"/>
      <c r="N90" s="5">
        <v>2802</v>
      </c>
      <c r="O90" s="17"/>
      <c r="R90" s="5">
        <v>1898</v>
      </c>
    </row>
    <row r="91" spans="2:18" x14ac:dyDescent="0.25">
      <c r="B91" s="5">
        <v>30</v>
      </c>
      <c r="C91" s="5">
        <v>232.8</v>
      </c>
      <c r="J91" s="15">
        <v>1002</v>
      </c>
      <c r="K91" s="16"/>
      <c r="N91" s="5">
        <v>2801</v>
      </c>
      <c r="O91" s="17"/>
      <c r="R91" s="5">
        <v>1800</v>
      </c>
    </row>
    <row r="92" spans="2:18" x14ac:dyDescent="0.25">
      <c r="B92" s="5">
        <v>40</v>
      </c>
      <c r="C92" s="5">
        <v>249.2</v>
      </c>
      <c r="J92" s="15">
        <v>1079</v>
      </c>
      <c r="K92" s="16"/>
      <c r="N92" s="5">
        <v>2793</v>
      </c>
      <c r="O92" s="17"/>
      <c r="R92" s="5">
        <v>1715</v>
      </c>
    </row>
    <row r="93" spans="2:18" x14ac:dyDescent="0.25">
      <c r="B93" s="5">
        <v>50</v>
      </c>
      <c r="C93" s="5">
        <v>262.7</v>
      </c>
      <c r="J93" s="15">
        <v>1143</v>
      </c>
      <c r="K93" s="16"/>
      <c r="N93" s="5">
        <v>2780</v>
      </c>
      <c r="O93" s="17"/>
      <c r="R93" s="5">
        <v>1637</v>
      </c>
    </row>
    <row r="94" spans="2:18" x14ac:dyDescent="0.25">
      <c r="B94" s="5">
        <v>60</v>
      </c>
      <c r="C94" s="5">
        <v>274.3</v>
      </c>
      <c r="J94" s="15">
        <v>1199</v>
      </c>
      <c r="K94" s="16"/>
      <c r="N94" s="5">
        <v>2763</v>
      </c>
      <c r="O94" s="17"/>
      <c r="R94" s="5">
        <v>1565</v>
      </c>
    </row>
    <row r="95" spans="2:18" x14ac:dyDescent="0.25">
      <c r="B95" s="5">
        <v>70</v>
      </c>
      <c r="C95" s="5">
        <v>284.5</v>
      </c>
      <c r="J95" s="15">
        <v>1249</v>
      </c>
      <c r="K95" s="16"/>
      <c r="N95" s="5">
        <v>2746</v>
      </c>
      <c r="O95" s="17"/>
      <c r="R95" s="5">
        <v>1497</v>
      </c>
    </row>
    <row r="96" spans="2:18" x14ac:dyDescent="0.25">
      <c r="B96" s="5">
        <v>80</v>
      </c>
      <c r="C96" s="5">
        <v>293.60000000000002</v>
      </c>
      <c r="J96" s="15">
        <v>1294</v>
      </c>
      <c r="K96" s="16"/>
      <c r="N96" s="5">
        <v>2726</v>
      </c>
      <c r="O96" s="17"/>
      <c r="R96" s="5">
        <v>1432</v>
      </c>
    </row>
    <row r="97" spans="1:18" x14ac:dyDescent="0.25">
      <c r="B97" s="5">
        <v>90</v>
      </c>
      <c r="C97" s="5">
        <v>301.89999999999998</v>
      </c>
      <c r="J97" s="15">
        <v>1337</v>
      </c>
      <c r="K97" s="16"/>
      <c r="N97" s="5">
        <v>2705</v>
      </c>
      <c r="O97" s="17"/>
      <c r="R97" s="5">
        <v>1369</v>
      </c>
    </row>
    <row r="98" spans="1:18" x14ac:dyDescent="0.25">
      <c r="B98" s="5">
        <v>100</v>
      </c>
      <c r="C98" s="5">
        <v>309.5</v>
      </c>
      <c r="J98" s="15">
        <v>1377</v>
      </c>
      <c r="K98" s="16"/>
      <c r="N98" s="5">
        <v>2684</v>
      </c>
      <c r="O98" s="17"/>
      <c r="R98" s="5">
        <v>1306</v>
      </c>
    </row>
    <row r="99" spans="1:18" x14ac:dyDescent="0.25">
      <c r="B99" s="5">
        <v>120</v>
      </c>
      <c r="C99" s="5">
        <v>323.10000000000002</v>
      </c>
      <c r="J99" s="15">
        <v>1455</v>
      </c>
      <c r="K99" s="16"/>
      <c r="N99" s="5">
        <v>2638</v>
      </c>
      <c r="O99" s="17"/>
      <c r="R99" s="5">
        <v>1183</v>
      </c>
    </row>
    <row r="100" spans="1:18" x14ac:dyDescent="0.25">
      <c r="B100" s="5">
        <v>140</v>
      </c>
      <c r="C100" s="5">
        <v>335</v>
      </c>
      <c r="J100" s="15">
        <v>1531</v>
      </c>
      <c r="K100" s="16"/>
      <c r="N100" s="5">
        <v>2592</v>
      </c>
      <c r="O100" s="17"/>
      <c r="R100" s="5">
        <v>1061</v>
      </c>
    </row>
    <row r="101" spans="1:18" x14ac:dyDescent="0.25">
      <c r="B101" s="5">
        <v>160</v>
      </c>
      <c r="C101" s="5">
        <v>345.7</v>
      </c>
      <c r="J101" s="15">
        <v>1606</v>
      </c>
      <c r="K101" s="16"/>
      <c r="N101" s="5">
        <v>2540</v>
      </c>
      <c r="O101" s="17"/>
      <c r="R101" s="5">
        <v>934</v>
      </c>
    </row>
    <row r="102" spans="1:18" x14ac:dyDescent="0.25">
      <c r="B102" s="5">
        <v>180</v>
      </c>
      <c r="C102" s="5">
        <v>355.4</v>
      </c>
      <c r="J102" s="15">
        <v>1684</v>
      </c>
      <c r="K102" s="16"/>
      <c r="N102" s="5">
        <v>2483</v>
      </c>
      <c r="O102" s="17"/>
      <c r="R102" s="5">
        <v>799</v>
      </c>
    </row>
    <row r="103" spans="1:18" x14ac:dyDescent="0.25">
      <c r="B103" s="5">
        <v>200</v>
      </c>
      <c r="C103" s="5">
        <v>364.2</v>
      </c>
      <c r="J103" s="15">
        <v>1783</v>
      </c>
      <c r="K103" s="16"/>
      <c r="N103" s="5">
        <v>2400</v>
      </c>
      <c r="O103" s="17"/>
      <c r="R103" s="5">
        <v>617</v>
      </c>
    </row>
    <row r="104" spans="1:18" x14ac:dyDescent="0.25">
      <c r="B104" s="5">
        <v>225</v>
      </c>
      <c r="C104" s="5">
        <v>374</v>
      </c>
      <c r="J104" s="15">
        <v>2100</v>
      </c>
      <c r="K104" s="16"/>
      <c r="N104" s="5">
        <v>2100</v>
      </c>
      <c r="O104" s="17"/>
      <c r="R104" s="5">
        <v>0</v>
      </c>
    </row>
    <row r="105" spans="1:18" x14ac:dyDescent="0.25">
      <c r="J105" s="6"/>
      <c r="K105" s="6"/>
    </row>
    <row r="106" spans="1:18" x14ac:dyDescent="0.25">
      <c r="J106" s="34"/>
      <c r="K106" s="34"/>
    </row>
    <row r="107" spans="1:18" x14ac:dyDescent="0.25">
      <c r="A107" s="3" t="s">
        <v>361</v>
      </c>
      <c r="F107" s="3" t="s">
        <v>365</v>
      </c>
      <c r="J107" s="3" t="s">
        <v>369</v>
      </c>
    </row>
    <row r="108" spans="1:18" x14ac:dyDescent="0.25">
      <c r="A108" s="5" t="s">
        <v>362</v>
      </c>
      <c r="B108" s="5" t="s">
        <v>306</v>
      </c>
      <c r="F108" s="5" t="s">
        <v>362</v>
      </c>
      <c r="G108" s="5" t="s">
        <v>366</v>
      </c>
      <c r="J108" s="5" t="s">
        <v>362</v>
      </c>
      <c r="K108" s="5" t="s">
        <v>358</v>
      </c>
    </row>
    <row r="109" spans="1:18" x14ac:dyDescent="0.25">
      <c r="A109" s="5">
        <v>-10</v>
      </c>
      <c r="B109" s="5">
        <v>998.15</v>
      </c>
      <c r="F109" s="5">
        <v>0</v>
      </c>
      <c r="G109" s="5">
        <v>1.00803</v>
      </c>
      <c r="J109" s="5">
        <v>0</v>
      </c>
      <c r="K109" s="5">
        <v>1.792</v>
      </c>
    </row>
    <row r="110" spans="1:18" x14ac:dyDescent="0.25">
      <c r="A110" s="5">
        <v>-9</v>
      </c>
      <c r="B110" s="5">
        <v>998.43</v>
      </c>
      <c r="F110" s="5">
        <v>1</v>
      </c>
      <c r="G110" s="5">
        <v>1.0071699999999999</v>
      </c>
      <c r="J110" s="5">
        <v>1</v>
      </c>
      <c r="K110" s="5">
        <v>1.7310000000000001</v>
      </c>
    </row>
    <row r="111" spans="1:18" x14ac:dyDescent="0.25">
      <c r="A111" s="5">
        <v>-8</v>
      </c>
      <c r="B111" s="5">
        <v>998.69</v>
      </c>
      <c r="F111" s="5">
        <v>2</v>
      </c>
      <c r="G111" s="5">
        <v>1.0063599999999999</v>
      </c>
      <c r="J111" s="5">
        <v>2</v>
      </c>
      <c r="K111" s="5">
        <v>1.673</v>
      </c>
    </row>
    <row r="112" spans="1:18" x14ac:dyDescent="0.25">
      <c r="A112" s="5">
        <v>-7</v>
      </c>
      <c r="B112" s="5">
        <v>998.92</v>
      </c>
      <c r="F112" s="5">
        <v>3</v>
      </c>
      <c r="G112" s="5">
        <v>1.0056400000000001</v>
      </c>
      <c r="J112" s="5">
        <v>3</v>
      </c>
      <c r="K112" s="5">
        <v>1.619</v>
      </c>
    </row>
    <row r="113" spans="1:11" x14ac:dyDescent="0.25">
      <c r="A113" s="5">
        <v>-6</v>
      </c>
      <c r="B113" s="5">
        <v>999.12</v>
      </c>
      <c r="F113" s="5">
        <v>4</v>
      </c>
      <c r="G113" s="5">
        <v>1.00495</v>
      </c>
      <c r="J113" s="5">
        <v>4</v>
      </c>
      <c r="K113" s="5">
        <v>1.5669999999999999</v>
      </c>
    </row>
    <row r="114" spans="1:11" x14ac:dyDescent="0.25">
      <c r="A114" s="5">
        <v>-5</v>
      </c>
      <c r="B114" s="5">
        <v>999.3</v>
      </c>
      <c r="F114" s="5">
        <v>5</v>
      </c>
      <c r="G114" s="5">
        <v>1.0043299999999999</v>
      </c>
      <c r="J114" s="5">
        <v>5</v>
      </c>
      <c r="K114" s="5">
        <v>1.5189999999999999</v>
      </c>
    </row>
    <row r="115" spans="1:11" x14ac:dyDescent="0.25">
      <c r="A115" s="5">
        <v>-4</v>
      </c>
      <c r="B115" s="5">
        <v>999.45</v>
      </c>
      <c r="F115" s="5">
        <v>6</v>
      </c>
      <c r="G115" s="5">
        <v>1.0037799999999999</v>
      </c>
      <c r="J115" s="5">
        <v>6</v>
      </c>
      <c r="K115" s="5">
        <v>1.4730000000000001</v>
      </c>
    </row>
    <row r="116" spans="1:11" x14ac:dyDescent="0.25">
      <c r="A116" s="5">
        <v>-3</v>
      </c>
      <c r="B116" s="5">
        <v>999.58</v>
      </c>
      <c r="F116" s="5">
        <v>7</v>
      </c>
      <c r="G116" s="5">
        <v>1.00325</v>
      </c>
      <c r="J116" s="5">
        <v>7</v>
      </c>
      <c r="K116" s="5">
        <v>1.4279999999999999</v>
      </c>
    </row>
    <row r="117" spans="1:11" x14ac:dyDescent="0.25">
      <c r="A117" s="5">
        <v>-2</v>
      </c>
      <c r="B117" s="5">
        <v>999.7</v>
      </c>
      <c r="F117" s="5">
        <v>8</v>
      </c>
      <c r="G117" s="5">
        <v>1.0027699999999999</v>
      </c>
      <c r="J117" s="5">
        <v>8</v>
      </c>
      <c r="K117" s="5">
        <v>1.3859999999999999</v>
      </c>
    </row>
    <row r="118" spans="1:11" x14ac:dyDescent="0.25">
      <c r="A118" s="5">
        <v>-1</v>
      </c>
      <c r="B118" s="5">
        <v>999.79</v>
      </c>
      <c r="F118" s="5">
        <v>9</v>
      </c>
      <c r="G118" s="5">
        <v>1.00234</v>
      </c>
      <c r="J118" s="5">
        <v>9</v>
      </c>
      <c r="K118" s="5">
        <v>1.3460000000000001</v>
      </c>
    </row>
    <row r="119" spans="1:11" x14ac:dyDescent="0.25">
      <c r="A119" s="5">
        <v>0</v>
      </c>
      <c r="B119" s="5">
        <v>999.87</v>
      </c>
      <c r="F119" s="5">
        <v>10</v>
      </c>
      <c r="G119" s="5">
        <v>1.0019400000000001</v>
      </c>
      <c r="J119" s="5">
        <v>10</v>
      </c>
      <c r="K119" s="5">
        <v>1.3080000000000001</v>
      </c>
    </row>
    <row r="120" spans="1:11" x14ac:dyDescent="0.25">
      <c r="A120" s="5">
        <v>1</v>
      </c>
      <c r="B120" s="5">
        <v>999.93</v>
      </c>
      <c r="F120" s="5">
        <v>11</v>
      </c>
      <c r="G120" s="5">
        <v>1.0015799999999999</v>
      </c>
      <c r="J120" s="5">
        <v>11</v>
      </c>
      <c r="K120" s="5">
        <v>1.2709999999999999</v>
      </c>
    </row>
    <row r="121" spans="1:11" x14ac:dyDescent="0.25">
      <c r="A121" s="5">
        <v>2</v>
      </c>
      <c r="B121" s="5">
        <v>999.97</v>
      </c>
      <c r="F121" s="5">
        <v>12</v>
      </c>
      <c r="G121" s="5">
        <v>1.0012399999999999</v>
      </c>
      <c r="J121" s="5">
        <v>12</v>
      </c>
      <c r="K121" s="5">
        <v>1.236</v>
      </c>
    </row>
    <row r="122" spans="1:11" x14ac:dyDescent="0.25">
      <c r="A122" s="5">
        <v>3</v>
      </c>
      <c r="B122" s="5">
        <v>999.99</v>
      </c>
      <c r="F122" s="5">
        <v>13</v>
      </c>
      <c r="G122" s="5">
        <v>1.0009300000000001</v>
      </c>
      <c r="J122" s="5">
        <v>13</v>
      </c>
      <c r="K122" s="5">
        <v>1.2030000000000001</v>
      </c>
    </row>
    <row r="123" spans="1:11" x14ac:dyDescent="0.25">
      <c r="A123" s="5">
        <v>4</v>
      </c>
      <c r="B123" s="5">
        <v>1000</v>
      </c>
      <c r="F123" s="5">
        <v>14</v>
      </c>
      <c r="G123" s="5">
        <v>1.0006699999999999</v>
      </c>
      <c r="J123" s="5">
        <v>14</v>
      </c>
      <c r="K123" s="5">
        <v>1.171</v>
      </c>
    </row>
    <row r="124" spans="1:11" x14ac:dyDescent="0.25">
      <c r="A124" s="5">
        <v>5</v>
      </c>
      <c r="B124" s="5">
        <v>999.99</v>
      </c>
      <c r="F124" s="5">
        <v>15</v>
      </c>
      <c r="G124" s="5">
        <v>1.00041</v>
      </c>
      <c r="J124" s="5">
        <v>15</v>
      </c>
      <c r="K124" s="5">
        <v>1.1399999999999999</v>
      </c>
    </row>
    <row r="125" spans="1:11" x14ac:dyDescent="0.25">
      <c r="A125" s="5">
        <v>6</v>
      </c>
      <c r="B125" s="5">
        <v>999.97</v>
      </c>
      <c r="F125" s="5">
        <v>16</v>
      </c>
      <c r="G125" s="5">
        <v>1.0001899999999999</v>
      </c>
      <c r="J125" s="5">
        <v>16</v>
      </c>
      <c r="K125" s="5">
        <v>1.111</v>
      </c>
    </row>
    <row r="126" spans="1:11" x14ac:dyDescent="0.25">
      <c r="A126" s="5">
        <v>7</v>
      </c>
      <c r="B126" s="5">
        <v>999.93</v>
      </c>
      <c r="F126" s="5">
        <v>17</v>
      </c>
      <c r="G126" s="5">
        <v>0.99997999999999998</v>
      </c>
      <c r="J126" s="5">
        <v>17</v>
      </c>
      <c r="K126" s="5">
        <v>1.083</v>
      </c>
    </row>
    <row r="127" spans="1:11" x14ac:dyDescent="0.25">
      <c r="A127" s="5">
        <v>8</v>
      </c>
      <c r="B127" s="5">
        <v>999.88</v>
      </c>
      <c r="F127" s="5">
        <v>18</v>
      </c>
      <c r="G127" s="5">
        <v>0.99978</v>
      </c>
      <c r="J127" s="5">
        <v>18</v>
      </c>
      <c r="K127" s="5">
        <v>1.0649999999999999</v>
      </c>
    </row>
    <row r="128" spans="1:11" x14ac:dyDescent="0.25">
      <c r="A128" s="5">
        <v>9</v>
      </c>
      <c r="B128" s="5">
        <v>999.81</v>
      </c>
      <c r="F128" s="5">
        <v>19</v>
      </c>
      <c r="G128" s="5">
        <v>0.99961999999999995</v>
      </c>
      <c r="J128" s="5">
        <v>19</v>
      </c>
      <c r="K128" s="5">
        <v>1.03</v>
      </c>
    </row>
    <row r="129" spans="1:11" x14ac:dyDescent="0.25">
      <c r="A129" s="5">
        <v>10</v>
      </c>
      <c r="B129" s="5">
        <v>999.73</v>
      </c>
      <c r="F129" s="5">
        <v>20</v>
      </c>
      <c r="G129" s="5">
        <v>0.99946999999999997</v>
      </c>
      <c r="J129" s="5">
        <v>20</v>
      </c>
      <c r="K129" s="5">
        <v>1.0049999999999999</v>
      </c>
    </row>
    <row r="130" spans="1:11" x14ac:dyDescent="0.25">
      <c r="A130" s="5">
        <v>11</v>
      </c>
      <c r="B130" s="5">
        <v>999.63</v>
      </c>
      <c r="F130" s="5">
        <v>21</v>
      </c>
      <c r="G130" s="5">
        <v>0.99933000000000005</v>
      </c>
      <c r="J130" s="5">
        <v>21</v>
      </c>
      <c r="K130" s="5">
        <v>1</v>
      </c>
    </row>
    <row r="131" spans="1:11" x14ac:dyDescent="0.25">
      <c r="A131" s="5">
        <v>12</v>
      </c>
      <c r="B131" s="5">
        <v>999.52</v>
      </c>
      <c r="F131" s="5">
        <v>22</v>
      </c>
      <c r="G131" s="5">
        <v>0.99921000000000004</v>
      </c>
      <c r="J131" s="5">
        <v>22</v>
      </c>
      <c r="K131" s="5">
        <v>0.95789999999999997</v>
      </c>
    </row>
    <row r="132" spans="1:11" x14ac:dyDescent="0.25">
      <c r="A132" s="5">
        <v>13</v>
      </c>
      <c r="B132" s="5">
        <v>999.4</v>
      </c>
      <c r="F132" s="5">
        <v>23</v>
      </c>
      <c r="G132" s="5">
        <v>0.99912000000000001</v>
      </c>
      <c r="J132" s="5">
        <v>23</v>
      </c>
      <c r="K132" s="5">
        <v>0.9385</v>
      </c>
    </row>
    <row r="133" spans="1:11" x14ac:dyDescent="0.25">
      <c r="A133" s="5">
        <v>14</v>
      </c>
      <c r="B133" s="5">
        <v>999.27</v>
      </c>
      <c r="F133" s="5">
        <v>24</v>
      </c>
      <c r="G133" s="5">
        <v>0.99902000000000002</v>
      </c>
      <c r="J133" s="5">
        <v>24</v>
      </c>
      <c r="K133" s="5">
        <v>0.91420000000000001</v>
      </c>
    </row>
    <row r="134" spans="1:11" x14ac:dyDescent="0.25">
      <c r="A134" s="5">
        <v>15</v>
      </c>
      <c r="B134" s="5">
        <v>999.13</v>
      </c>
      <c r="F134" s="5">
        <v>25</v>
      </c>
      <c r="G134" s="5">
        <v>0.99892000000000003</v>
      </c>
      <c r="J134" s="5">
        <v>25</v>
      </c>
      <c r="K134" s="5">
        <v>0.89370000000000005</v>
      </c>
    </row>
    <row r="135" spans="1:11" x14ac:dyDescent="0.25">
      <c r="A135" s="5">
        <v>16</v>
      </c>
      <c r="B135" s="5">
        <v>998.97</v>
      </c>
      <c r="F135" s="5">
        <v>26</v>
      </c>
      <c r="G135" s="5">
        <v>0.99885000000000002</v>
      </c>
      <c r="J135" s="5">
        <v>26</v>
      </c>
      <c r="K135" s="5">
        <v>0.87390000000000001</v>
      </c>
    </row>
    <row r="136" spans="1:11" x14ac:dyDescent="0.25">
      <c r="A136" s="5">
        <v>17</v>
      </c>
      <c r="B136" s="5">
        <v>998.8</v>
      </c>
      <c r="F136" s="5">
        <v>27</v>
      </c>
      <c r="G136" s="5">
        <v>0.99878</v>
      </c>
      <c r="J136" s="5">
        <v>27</v>
      </c>
      <c r="K136" s="5">
        <v>0.85450000000000004</v>
      </c>
    </row>
    <row r="137" spans="1:11" x14ac:dyDescent="0.25">
      <c r="A137" s="5">
        <v>18</v>
      </c>
      <c r="B137" s="5">
        <v>998.62</v>
      </c>
      <c r="F137" s="5">
        <v>28</v>
      </c>
      <c r="G137" s="5">
        <v>0.99873000000000001</v>
      </c>
      <c r="J137" s="5">
        <v>28</v>
      </c>
      <c r="K137" s="5">
        <v>0.83599999999999997</v>
      </c>
    </row>
    <row r="138" spans="1:11" x14ac:dyDescent="0.25">
      <c r="A138" s="5">
        <v>19</v>
      </c>
      <c r="B138" s="5">
        <v>998.43</v>
      </c>
      <c r="F138" s="5">
        <v>29</v>
      </c>
      <c r="G138" s="5">
        <v>0.99868999999999997</v>
      </c>
      <c r="J138" s="5">
        <v>29</v>
      </c>
      <c r="K138" s="5">
        <v>0.81799999999999995</v>
      </c>
    </row>
    <row r="139" spans="1:11" x14ac:dyDescent="0.25">
      <c r="A139" s="5">
        <v>20</v>
      </c>
      <c r="B139" s="5">
        <v>998.23</v>
      </c>
      <c r="F139" s="5">
        <v>30</v>
      </c>
      <c r="G139" s="5">
        <v>0.99865999999999999</v>
      </c>
      <c r="J139" s="5">
        <v>30</v>
      </c>
      <c r="K139" s="5">
        <v>0.80069999999999997</v>
      </c>
    </row>
    <row r="140" spans="1:11" x14ac:dyDescent="0.25">
      <c r="A140" s="5">
        <v>21</v>
      </c>
      <c r="B140" s="5">
        <v>998.02</v>
      </c>
      <c r="F140" s="5">
        <v>31</v>
      </c>
      <c r="G140" s="5">
        <v>0.99863999999999997</v>
      </c>
      <c r="J140" s="5">
        <v>31</v>
      </c>
      <c r="K140" s="5">
        <v>0.78400000000000003</v>
      </c>
    </row>
    <row r="141" spans="1:11" x14ac:dyDescent="0.25">
      <c r="A141" s="5">
        <v>22</v>
      </c>
      <c r="B141" s="5">
        <v>997.8</v>
      </c>
      <c r="F141" s="5">
        <v>32</v>
      </c>
      <c r="G141" s="5">
        <v>0.99861</v>
      </c>
      <c r="J141" s="5">
        <v>32</v>
      </c>
      <c r="K141" s="5">
        <v>0.76790000000000003</v>
      </c>
    </row>
    <row r="142" spans="1:11" x14ac:dyDescent="0.25">
      <c r="A142" s="5">
        <v>23</v>
      </c>
      <c r="B142" s="5">
        <v>997.57</v>
      </c>
      <c r="F142" s="5">
        <v>33</v>
      </c>
      <c r="G142" s="5">
        <v>0.99861</v>
      </c>
      <c r="J142" s="5">
        <v>33</v>
      </c>
      <c r="K142" s="5">
        <v>0.75229999999999997</v>
      </c>
    </row>
    <row r="143" spans="1:11" x14ac:dyDescent="0.25">
      <c r="A143" s="5">
        <v>24</v>
      </c>
      <c r="B143" s="5">
        <v>997.33</v>
      </c>
      <c r="F143" s="5">
        <v>34</v>
      </c>
      <c r="G143" s="5">
        <v>0.99858999999999998</v>
      </c>
      <c r="J143" s="5">
        <v>34</v>
      </c>
      <c r="K143" s="5">
        <v>0.73709999999999998</v>
      </c>
    </row>
    <row r="144" spans="1:11" x14ac:dyDescent="0.25">
      <c r="A144" s="5">
        <v>25</v>
      </c>
      <c r="B144" s="5">
        <v>997.08</v>
      </c>
      <c r="F144" s="5">
        <v>35</v>
      </c>
      <c r="G144" s="5">
        <v>0.99858999999999998</v>
      </c>
      <c r="J144" s="5">
        <v>35</v>
      </c>
      <c r="K144" s="5">
        <v>0.72250000000000003</v>
      </c>
    </row>
    <row r="145" spans="1:11" x14ac:dyDescent="0.25">
      <c r="A145" s="5">
        <v>26</v>
      </c>
      <c r="B145" s="5">
        <v>996.82</v>
      </c>
      <c r="F145" s="5">
        <v>36</v>
      </c>
      <c r="G145" s="5">
        <v>0.99861</v>
      </c>
      <c r="J145" s="5">
        <v>36</v>
      </c>
      <c r="K145" s="5">
        <v>0.70850000000000002</v>
      </c>
    </row>
    <row r="146" spans="1:11" x14ac:dyDescent="0.25">
      <c r="A146" s="5">
        <v>27</v>
      </c>
      <c r="B146" s="5">
        <v>996.55</v>
      </c>
      <c r="F146" s="5">
        <v>37</v>
      </c>
      <c r="G146" s="5">
        <v>0.99861</v>
      </c>
      <c r="J146" s="5">
        <v>37</v>
      </c>
      <c r="K146" s="5">
        <v>0.69469999999999998</v>
      </c>
    </row>
    <row r="147" spans="1:11" x14ac:dyDescent="0.25">
      <c r="A147" s="5">
        <v>28</v>
      </c>
      <c r="B147" s="5">
        <v>996.27</v>
      </c>
      <c r="F147" s="5">
        <v>38</v>
      </c>
      <c r="G147" s="5">
        <v>0.99863999999999997</v>
      </c>
      <c r="J147" s="5">
        <v>38</v>
      </c>
      <c r="K147" s="5">
        <v>0.68140000000000001</v>
      </c>
    </row>
    <row r="148" spans="1:11" x14ac:dyDescent="0.25">
      <c r="A148" s="5">
        <v>29</v>
      </c>
      <c r="B148" s="5">
        <v>995.98</v>
      </c>
      <c r="F148" s="5">
        <v>39</v>
      </c>
      <c r="G148" s="5">
        <v>0.99865999999999999</v>
      </c>
      <c r="J148" s="5">
        <v>39</v>
      </c>
      <c r="K148" s="5">
        <v>0.66849999999999998</v>
      </c>
    </row>
    <row r="149" spans="1:11" x14ac:dyDescent="0.25">
      <c r="A149" s="5">
        <v>30</v>
      </c>
      <c r="B149" s="5">
        <v>995.68</v>
      </c>
      <c r="F149" s="5">
        <v>40</v>
      </c>
      <c r="G149" s="5">
        <v>0.99868999999999997</v>
      </c>
      <c r="J149" s="5">
        <v>40</v>
      </c>
      <c r="K149" s="5">
        <v>0.65600000000000003</v>
      </c>
    </row>
    <row r="150" spans="1:11" x14ac:dyDescent="0.25">
      <c r="A150" s="5">
        <v>31</v>
      </c>
      <c r="B150" s="5">
        <v>995.37</v>
      </c>
      <c r="F150" s="5">
        <v>41</v>
      </c>
      <c r="G150" s="5">
        <v>0.99870999999999999</v>
      </c>
      <c r="J150" s="5">
        <v>41</v>
      </c>
      <c r="K150" s="5">
        <v>0.64390000000000003</v>
      </c>
    </row>
    <row r="151" spans="1:11" x14ac:dyDescent="0.25">
      <c r="A151" s="5">
        <v>32</v>
      </c>
      <c r="B151" s="5">
        <v>995.06</v>
      </c>
      <c r="F151" s="5">
        <v>42</v>
      </c>
      <c r="G151" s="5">
        <v>0.99875999999999998</v>
      </c>
      <c r="J151" s="5">
        <v>42</v>
      </c>
      <c r="K151" s="5">
        <v>0.6321</v>
      </c>
    </row>
    <row r="152" spans="1:11" x14ac:dyDescent="0.25">
      <c r="A152" s="5">
        <v>33</v>
      </c>
      <c r="B152" s="5">
        <v>994.73</v>
      </c>
      <c r="F152" s="5">
        <v>43</v>
      </c>
      <c r="G152" s="5">
        <v>0.99880000000000002</v>
      </c>
      <c r="J152" s="5">
        <v>43</v>
      </c>
      <c r="K152" s="5">
        <v>0.62070000000000003</v>
      </c>
    </row>
    <row r="153" spans="1:11" x14ac:dyDescent="0.25">
      <c r="A153" s="5">
        <v>34</v>
      </c>
      <c r="B153" s="5">
        <v>994.4</v>
      </c>
      <c r="F153" s="5">
        <v>44</v>
      </c>
      <c r="G153" s="5">
        <v>0.99883</v>
      </c>
      <c r="J153" s="5">
        <v>44</v>
      </c>
      <c r="K153" s="5">
        <v>0.60970000000000002</v>
      </c>
    </row>
    <row r="154" spans="1:11" x14ac:dyDescent="0.25">
      <c r="A154" s="5">
        <v>35</v>
      </c>
      <c r="B154" s="5">
        <v>994.06</v>
      </c>
      <c r="F154" s="5">
        <v>45</v>
      </c>
      <c r="G154" s="5">
        <v>0.99890000000000001</v>
      </c>
      <c r="J154" s="5">
        <v>45</v>
      </c>
      <c r="K154" s="5">
        <v>0.5988</v>
      </c>
    </row>
    <row r="155" spans="1:11" x14ac:dyDescent="0.25">
      <c r="A155" s="5">
        <v>36</v>
      </c>
      <c r="B155" s="5">
        <v>993.71</v>
      </c>
      <c r="F155" s="5">
        <v>46</v>
      </c>
      <c r="G155" s="5">
        <v>0.99895</v>
      </c>
      <c r="J155" s="5">
        <v>46</v>
      </c>
      <c r="K155" s="5">
        <v>0.58830000000000005</v>
      </c>
    </row>
    <row r="156" spans="1:11" x14ac:dyDescent="0.25">
      <c r="A156" s="5">
        <v>37</v>
      </c>
      <c r="B156" s="5">
        <v>993.36</v>
      </c>
      <c r="F156" s="5">
        <v>47</v>
      </c>
      <c r="G156" s="5">
        <v>0.999</v>
      </c>
      <c r="J156" s="5">
        <v>47</v>
      </c>
      <c r="K156" s="5">
        <v>0.57820000000000005</v>
      </c>
    </row>
    <row r="157" spans="1:11" x14ac:dyDescent="0.25">
      <c r="A157" s="5">
        <v>38</v>
      </c>
      <c r="B157" s="5">
        <v>993</v>
      </c>
      <c r="F157" s="5">
        <v>48</v>
      </c>
      <c r="G157" s="5">
        <v>0.99907000000000001</v>
      </c>
      <c r="J157" s="5">
        <v>48</v>
      </c>
      <c r="K157" s="5">
        <v>0.56830000000000003</v>
      </c>
    </row>
    <row r="158" spans="1:11" x14ac:dyDescent="0.25">
      <c r="A158" s="5">
        <v>39</v>
      </c>
      <c r="B158" s="5">
        <v>992.63</v>
      </c>
      <c r="F158" s="5">
        <v>49</v>
      </c>
      <c r="G158" s="5">
        <v>0.99912000000000001</v>
      </c>
      <c r="J158" s="5">
        <v>49</v>
      </c>
      <c r="K158" s="5">
        <v>0.55879999999999996</v>
      </c>
    </row>
    <row r="159" spans="1:11" x14ac:dyDescent="0.25">
      <c r="A159" s="5">
        <v>40</v>
      </c>
      <c r="B159" s="5">
        <v>992.25</v>
      </c>
      <c r="F159" s="5">
        <v>50</v>
      </c>
      <c r="G159" s="5">
        <v>0.99919000000000002</v>
      </c>
      <c r="J159" s="5">
        <v>50</v>
      </c>
      <c r="K159" s="5">
        <v>0.5494</v>
      </c>
    </row>
    <row r="160" spans="1:11" x14ac:dyDescent="0.25">
      <c r="A160" s="5">
        <v>41</v>
      </c>
      <c r="B160" s="5">
        <v>991.87</v>
      </c>
      <c r="F160" s="5">
        <v>51</v>
      </c>
      <c r="G160" s="5">
        <v>0.99926000000000004</v>
      </c>
      <c r="J160" s="5">
        <v>51</v>
      </c>
      <c r="K160" s="5">
        <v>0.54039999999999999</v>
      </c>
    </row>
    <row r="161" spans="1:11" x14ac:dyDescent="0.25">
      <c r="A161" s="5">
        <v>42</v>
      </c>
      <c r="B161" s="5">
        <v>991.47</v>
      </c>
      <c r="F161" s="5">
        <v>52</v>
      </c>
      <c r="G161" s="5">
        <v>0.99934999999999996</v>
      </c>
      <c r="J161" s="5">
        <v>52</v>
      </c>
      <c r="K161" s="5">
        <v>0.53149999999999997</v>
      </c>
    </row>
    <row r="162" spans="1:11" x14ac:dyDescent="0.25">
      <c r="A162" s="5">
        <v>43</v>
      </c>
      <c r="B162" s="5">
        <v>991.07</v>
      </c>
      <c r="F162" s="5">
        <v>53</v>
      </c>
      <c r="G162" s="5">
        <v>0.99943000000000004</v>
      </c>
      <c r="J162" s="5">
        <v>53</v>
      </c>
      <c r="K162" s="5">
        <v>0.52290000000000003</v>
      </c>
    </row>
    <row r="163" spans="1:11" x14ac:dyDescent="0.25">
      <c r="A163" s="5">
        <v>44</v>
      </c>
      <c r="B163" s="5">
        <v>990.66</v>
      </c>
      <c r="F163" s="5">
        <v>54</v>
      </c>
      <c r="G163" s="5">
        <v>0.99950000000000006</v>
      </c>
      <c r="J163" s="5">
        <v>54</v>
      </c>
      <c r="K163" s="5">
        <v>0.51459999999999995</v>
      </c>
    </row>
    <row r="164" spans="1:11" x14ac:dyDescent="0.25">
      <c r="A164" s="5">
        <v>45</v>
      </c>
      <c r="B164" s="5">
        <v>990.25</v>
      </c>
      <c r="F164" s="5">
        <v>55</v>
      </c>
      <c r="G164" s="5">
        <v>0.99958999999999998</v>
      </c>
      <c r="J164" s="5">
        <v>55</v>
      </c>
      <c r="K164" s="5">
        <v>0.50639999999999996</v>
      </c>
    </row>
    <row r="165" spans="1:11" x14ac:dyDescent="0.25">
      <c r="A165" s="5">
        <v>46</v>
      </c>
      <c r="B165" s="5">
        <v>989.82</v>
      </c>
      <c r="F165" s="5">
        <v>56</v>
      </c>
      <c r="G165" s="5">
        <v>0.99968999999999997</v>
      </c>
      <c r="J165" s="5">
        <v>56</v>
      </c>
      <c r="K165" s="5">
        <v>0.4985</v>
      </c>
    </row>
    <row r="166" spans="1:11" x14ac:dyDescent="0.25">
      <c r="A166" s="5">
        <v>47</v>
      </c>
      <c r="B166" s="5">
        <v>989.4</v>
      </c>
      <c r="F166" s="5">
        <v>57</v>
      </c>
      <c r="G166" s="5">
        <v>0.99978</v>
      </c>
      <c r="J166" s="5">
        <v>57</v>
      </c>
      <c r="K166" s="5">
        <v>0.49070000000000003</v>
      </c>
    </row>
    <row r="167" spans="1:11" x14ac:dyDescent="0.25">
      <c r="A167" s="5">
        <v>48</v>
      </c>
      <c r="B167" s="5">
        <v>988.96</v>
      </c>
      <c r="F167" s="5">
        <v>58</v>
      </c>
      <c r="G167" s="5">
        <v>0.99987999999999999</v>
      </c>
      <c r="J167" s="5">
        <v>58</v>
      </c>
      <c r="K167" s="5">
        <v>0.48320000000000002</v>
      </c>
    </row>
    <row r="168" spans="1:11" x14ac:dyDescent="0.25">
      <c r="A168" s="5">
        <v>49</v>
      </c>
      <c r="B168" s="5">
        <v>988.52</v>
      </c>
      <c r="F168" s="5">
        <v>59</v>
      </c>
      <c r="G168" s="5">
        <v>0.99997999999999998</v>
      </c>
      <c r="J168" s="5">
        <v>59</v>
      </c>
      <c r="K168" s="5">
        <v>0.47589999999999999</v>
      </c>
    </row>
    <row r="169" spans="1:11" x14ac:dyDescent="0.25">
      <c r="A169" s="5">
        <v>50</v>
      </c>
      <c r="B169" s="5">
        <v>998.07</v>
      </c>
      <c r="F169" s="5">
        <v>60</v>
      </c>
      <c r="G169" s="5">
        <v>1.00007</v>
      </c>
      <c r="J169" s="5">
        <v>60</v>
      </c>
      <c r="K169" s="5">
        <v>0.46879999999999999</v>
      </c>
    </row>
    <row r="170" spans="1:11" x14ac:dyDescent="0.25">
      <c r="A170" s="5">
        <v>51</v>
      </c>
      <c r="B170" s="5">
        <v>998.62</v>
      </c>
      <c r="F170" s="5">
        <v>61</v>
      </c>
      <c r="G170" s="5">
        <v>1.0001899999999999</v>
      </c>
      <c r="J170" s="5">
        <v>61</v>
      </c>
      <c r="K170" s="5">
        <v>0.46179999999999999</v>
      </c>
    </row>
    <row r="171" spans="1:11" x14ac:dyDescent="0.25">
      <c r="A171" s="5">
        <v>52</v>
      </c>
      <c r="B171" s="5">
        <v>987.15</v>
      </c>
      <c r="F171" s="5">
        <v>62</v>
      </c>
      <c r="G171" s="5">
        <v>1.0002899999999999</v>
      </c>
      <c r="J171" s="5">
        <v>62</v>
      </c>
      <c r="K171" s="5">
        <v>0.45500000000000002</v>
      </c>
    </row>
    <row r="172" spans="1:11" x14ac:dyDescent="0.25">
      <c r="A172" s="5">
        <v>53</v>
      </c>
      <c r="B172" s="5">
        <v>986.69</v>
      </c>
      <c r="F172" s="5">
        <v>63</v>
      </c>
      <c r="G172" s="5">
        <v>1.00041</v>
      </c>
      <c r="J172" s="5">
        <v>63</v>
      </c>
      <c r="K172" s="5">
        <v>0.44829999999999998</v>
      </c>
    </row>
    <row r="173" spans="1:11" x14ac:dyDescent="0.25">
      <c r="A173" s="5">
        <v>54</v>
      </c>
      <c r="B173" s="5">
        <v>986.21</v>
      </c>
      <c r="F173" s="5">
        <v>64</v>
      </c>
      <c r="G173" s="5">
        <v>1.0005299999999999</v>
      </c>
      <c r="J173" s="5">
        <v>64</v>
      </c>
      <c r="K173" s="5">
        <v>0.44180000000000003</v>
      </c>
    </row>
    <row r="174" spans="1:11" x14ac:dyDescent="0.25">
      <c r="A174" s="5">
        <v>55</v>
      </c>
      <c r="B174" s="5">
        <v>985.73</v>
      </c>
      <c r="F174" s="5">
        <v>65</v>
      </c>
      <c r="G174" s="5">
        <v>1.00065</v>
      </c>
      <c r="J174" s="5">
        <v>65</v>
      </c>
      <c r="K174" s="5">
        <v>0.4355</v>
      </c>
    </row>
    <row r="175" spans="1:11" x14ac:dyDescent="0.25">
      <c r="A175" s="5">
        <v>60</v>
      </c>
      <c r="B175" s="5">
        <v>983.24</v>
      </c>
      <c r="F175" s="5">
        <v>66</v>
      </c>
      <c r="G175" s="5">
        <v>1.0007900000000001</v>
      </c>
      <c r="J175" s="5">
        <v>66</v>
      </c>
      <c r="K175" s="5">
        <v>0.42930000000000001</v>
      </c>
    </row>
    <row r="176" spans="1:11" x14ac:dyDescent="0.25">
      <c r="A176" s="5">
        <v>65</v>
      </c>
      <c r="B176" s="5">
        <v>980.59</v>
      </c>
      <c r="F176" s="5">
        <v>67</v>
      </c>
      <c r="G176" s="5">
        <v>1.00091</v>
      </c>
      <c r="J176" s="5">
        <v>67</v>
      </c>
      <c r="K176" s="5">
        <v>0.42330000000000001</v>
      </c>
    </row>
    <row r="177" spans="1:11" x14ac:dyDescent="0.25">
      <c r="A177" s="5">
        <v>70</v>
      </c>
      <c r="B177" s="5">
        <v>977.81</v>
      </c>
      <c r="F177" s="5">
        <v>68</v>
      </c>
      <c r="G177" s="5">
        <v>1.00105</v>
      </c>
      <c r="J177" s="5">
        <v>68</v>
      </c>
      <c r="K177" s="5">
        <v>0.41739999999999999</v>
      </c>
    </row>
    <row r="178" spans="1:11" x14ac:dyDescent="0.25">
      <c r="A178" s="5">
        <v>75</v>
      </c>
      <c r="B178" s="5">
        <v>974.89</v>
      </c>
      <c r="F178" s="5">
        <v>69</v>
      </c>
      <c r="G178" s="5">
        <v>1.0011699999999999</v>
      </c>
      <c r="J178" s="5">
        <v>69</v>
      </c>
      <c r="K178" s="5">
        <v>0.41170000000000001</v>
      </c>
    </row>
    <row r="179" spans="1:11" x14ac:dyDescent="0.25">
      <c r="A179" s="5">
        <v>80</v>
      </c>
      <c r="B179" s="5">
        <v>971.83</v>
      </c>
      <c r="F179" s="5">
        <v>70</v>
      </c>
      <c r="G179" s="5">
        <v>1.0013099999999999</v>
      </c>
      <c r="J179" s="5">
        <v>70</v>
      </c>
      <c r="K179" s="5">
        <v>0.40610000000000002</v>
      </c>
    </row>
    <row r="180" spans="1:11" x14ac:dyDescent="0.25">
      <c r="A180" s="5">
        <v>85</v>
      </c>
      <c r="B180" s="5">
        <v>968.65</v>
      </c>
      <c r="F180" s="5">
        <v>71</v>
      </c>
      <c r="G180" s="5">
        <v>1.00146</v>
      </c>
      <c r="J180" s="5">
        <v>71</v>
      </c>
      <c r="K180" s="5">
        <v>0.40060000000000001</v>
      </c>
    </row>
    <row r="181" spans="1:11" x14ac:dyDescent="0.25">
      <c r="A181" s="5">
        <v>90</v>
      </c>
      <c r="B181" s="5">
        <v>965.34</v>
      </c>
      <c r="F181" s="5">
        <v>72</v>
      </c>
      <c r="G181" s="5">
        <v>1.0016</v>
      </c>
      <c r="J181" s="5">
        <v>72</v>
      </c>
      <c r="K181" s="5">
        <v>0.3952</v>
      </c>
    </row>
    <row r="182" spans="1:11" x14ac:dyDescent="0.25">
      <c r="A182" s="5">
        <v>95</v>
      </c>
      <c r="B182" s="5">
        <v>961.92</v>
      </c>
      <c r="F182" s="5">
        <v>73</v>
      </c>
      <c r="G182" s="5">
        <v>1.00177</v>
      </c>
      <c r="J182" s="5">
        <v>73</v>
      </c>
      <c r="K182" s="5">
        <v>0.39</v>
      </c>
    </row>
    <row r="183" spans="1:11" x14ac:dyDescent="0.25">
      <c r="A183" s="5">
        <v>100</v>
      </c>
      <c r="B183" s="5">
        <v>958.38</v>
      </c>
      <c r="F183" s="5">
        <v>74</v>
      </c>
      <c r="G183" s="5">
        <v>1.0019100000000001</v>
      </c>
      <c r="J183" s="5">
        <v>74</v>
      </c>
      <c r="K183" s="5">
        <v>0.38490000000000002</v>
      </c>
    </row>
    <row r="184" spans="1:11" x14ac:dyDescent="0.25">
      <c r="A184" s="5">
        <v>110</v>
      </c>
      <c r="B184" s="5">
        <v>951</v>
      </c>
      <c r="F184" s="5">
        <v>75</v>
      </c>
      <c r="G184" s="5">
        <v>1.0020800000000001</v>
      </c>
      <c r="J184" s="5">
        <v>75</v>
      </c>
      <c r="K184" s="5">
        <v>0.37990000000000002</v>
      </c>
    </row>
    <row r="185" spans="1:11" x14ac:dyDescent="0.25">
      <c r="A185" s="5">
        <v>120</v>
      </c>
      <c r="B185" s="5">
        <v>943.4</v>
      </c>
      <c r="F185" s="5">
        <v>76</v>
      </c>
      <c r="G185" s="5">
        <v>1.0022500000000001</v>
      </c>
      <c r="J185" s="5">
        <v>76</v>
      </c>
      <c r="K185" s="5">
        <v>0.375</v>
      </c>
    </row>
    <row r="186" spans="1:11" x14ac:dyDescent="0.25">
      <c r="A186" s="5">
        <v>130</v>
      </c>
      <c r="B186" s="5">
        <v>935.2</v>
      </c>
      <c r="F186" s="5">
        <v>77</v>
      </c>
      <c r="G186" s="5">
        <v>1.00241</v>
      </c>
      <c r="J186" s="5">
        <v>77</v>
      </c>
      <c r="K186" s="5">
        <v>0.37019999999999997</v>
      </c>
    </row>
    <row r="187" spans="1:11" x14ac:dyDescent="0.25">
      <c r="A187" s="5">
        <v>140</v>
      </c>
      <c r="B187" s="5">
        <v>926.4</v>
      </c>
      <c r="F187" s="5">
        <v>78</v>
      </c>
      <c r="G187" s="5">
        <v>1.00258</v>
      </c>
      <c r="J187" s="5">
        <v>78</v>
      </c>
      <c r="K187" s="5">
        <v>0.36549999999999999</v>
      </c>
    </row>
    <row r="188" spans="1:11" x14ac:dyDescent="0.25">
      <c r="A188" s="5">
        <v>150</v>
      </c>
      <c r="B188" s="5">
        <v>917.3</v>
      </c>
      <c r="F188" s="5">
        <v>79</v>
      </c>
      <c r="G188" s="5">
        <v>1.0027699999999999</v>
      </c>
      <c r="J188" s="5">
        <v>79</v>
      </c>
      <c r="K188" s="5">
        <v>0.36099999999999999</v>
      </c>
    </row>
    <row r="189" spans="1:11" x14ac:dyDescent="0.25">
      <c r="A189" s="5">
        <v>160</v>
      </c>
      <c r="B189" s="5">
        <v>907.5</v>
      </c>
      <c r="F189" s="5">
        <v>80</v>
      </c>
      <c r="G189" s="5">
        <v>1.0029399999999999</v>
      </c>
      <c r="J189" s="5">
        <v>80</v>
      </c>
      <c r="K189" s="5">
        <v>0.35649999999999998</v>
      </c>
    </row>
    <row r="190" spans="1:11" x14ac:dyDescent="0.25">
      <c r="A190" s="5">
        <v>170</v>
      </c>
      <c r="B190" s="5">
        <v>897.3</v>
      </c>
      <c r="F190" s="5">
        <v>81</v>
      </c>
      <c r="G190" s="5">
        <v>1.0031300000000001</v>
      </c>
      <c r="J190" s="5">
        <v>81</v>
      </c>
      <c r="K190" s="5">
        <v>0.35210000000000002</v>
      </c>
    </row>
    <row r="191" spans="1:11" x14ac:dyDescent="0.25">
      <c r="A191" s="5">
        <v>180</v>
      </c>
      <c r="B191" s="5">
        <v>886.6</v>
      </c>
      <c r="F191" s="5">
        <v>82</v>
      </c>
      <c r="G191" s="5">
        <v>1.00332</v>
      </c>
      <c r="J191" s="5">
        <v>82</v>
      </c>
      <c r="K191" s="5">
        <v>0.3478</v>
      </c>
    </row>
    <row r="192" spans="1:11" x14ac:dyDescent="0.25">
      <c r="A192" s="5">
        <v>190</v>
      </c>
      <c r="B192" s="5">
        <v>875</v>
      </c>
      <c r="F192" s="5">
        <v>83</v>
      </c>
      <c r="G192" s="5">
        <v>1.0035099999999999</v>
      </c>
      <c r="J192" s="5">
        <v>83</v>
      </c>
      <c r="K192" s="5">
        <v>0.34360000000000002</v>
      </c>
    </row>
    <row r="193" spans="1:11" x14ac:dyDescent="0.25">
      <c r="A193" s="5">
        <v>200</v>
      </c>
      <c r="B193" s="5">
        <v>862.8</v>
      </c>
      <c r="F193" s="5">
        <v>84</v>
      </c>
      <c r="G193" s="5">
        <v>1.00373</v>
      </c>
      <c r="J193" s="5">
        <v>84</v>
      </c>
      <c r="K193" s="5">
        <v>0.33950000000000002</v>
      </c>
    </row>
    <row r="194" spans="1:11" x14ac:dyDescent="0.25">
      <c r="A194" s="5">
        <v>210</v>
      </c>
      <c r="B194" s="5">
        <v>850</v>
      </c>
      <c r="F194" s="5">
        <v>85</v>
      </c>
      <c r="G194" s="5">
        <v>1.0039199999999999</v>
      </c>
      <c r="J194" s="5">
        <v>85</v>
      </c>
      <c r="K194" s="5">
        <v>0.33550000000000002</v>
      </c>
    </row>
    <row r="195" spans="1:11" x14ac:dyDescent="0.25">
      <c r="A195" s="5">
        <v>220</v>
      </c>
      <c r="B195" s="5">
        <v>837</v>
      </c>
      <c r="F195" s="5">
        <v>86</v>
      </c>
      <c r="G195" s="5">
        <v>1.00414</v>
      </c>
      <c r="J195" s="5">
        <v>86</v>
      </c>
      <c r="K195" s="5">
        <v>0.33150000000000002</v>
      </c>
    </row>
    <row r="196" spans="1:11" x14ac:dyDescent="0.25">
      <c r="A196" s="5">
        <v>230</v>
      </c>
      <c r="B196" s="5">
        <v>823</v>
      </c>
      <c r="F196" s="5">
        <v>87</v>
      </c>
      <c r="G196" s="5">
        <v>1.0043500000000001</v>
      </c>
      <c r="J196" s="5">
        <v>87</v>
      </c>
      <c r="K196" s="5">
        <v>0.3276</v>
      </c>
    </row>
    <row r="197" spans="1:11" x14ac:dyDescent="0.25">
      <c r="A197" s="5">
        <v>240</v>
      </c>
      <c r="B197" s="5">
        <v>809</v>
      </c>
      <c r="F197" s="5">
        <v>88</v>
      </c>
      <c r="G197" s="5">
        <v>1.00457</v>
      </c>
      <c r="J197" s="5">
        <v>88</v>
      </c>
      <c r="K197" s="5">
        <v>0.32390000000000002</v>
      </c>
    </row>
    <row r="198" spans="1:11" x14ac:dyDescent="0.25">
      <c r="A198" s="5">
        <v>250</v>
      </c>
      <c r="B198" s="5">
        <v>794</v>
      </c>
      <c r="F198" s="5">
        <v>89</v>
      </c>
      <c r="G198" s="5">
        <v>1.0047999999999999</v>
      </c>
      <c r="J198" s="5">
        <v>89</v>
      </c>
      <c r="K198" s="5">
        <v>0.32019999999999998</v>
      </c>
    </row>
    <row r="199" spans="1:11" x14ac:dyDescent="0.25">
      <c r="F199" s="5">
        <v>90</v>
      </c>
      <c r="G199" s="5">
        <v>1.00502</v>
      </c>
      <c r="J199" s="5">
        <v>90</v>
      </c>
      <c r="K199" s="5">
        <v>0.3165</v>
      </c>
    </row>
    <row r="200" spans="1:11" x14ac:dyDescent="0.25">
      <c r="F200" s="5">
        <v>91</v>
      </c>
      <c r="G200" s="5">
        <v>1.00526</v>
      </c>
      <c r="J200" s="5">
        <v>91</v>
      </c>
      <c r="K200" s="5">
        <v>0.313</v>
      </c>
    </row>
    <row r="201" spans="1:11" x14ac:dyDescent="0.25">
      <c r="F201" s="5">
        <v>92</v>
      </c>
      <c r="G201" s="5">
        <v>1.0055000000000001</v>
      </c>
      <c r="J201" s="5">
        <v>92</v>
      </c>
      <c r="K201" s="5">
        <v>0.3095</v>
      </c>
    </row>
    <row r="202" spans="1:11" x14ac:dyDescent="0.25">
      <c r="F202" s="5">
        <v>93</v>
      </c>
      <c r="G202" s="5">
        <v>1.0057400000000001</v>
      </c>
      <c r="J202" s="5">
        <v>93</v>
      </c>
      <c r="K202" s="5">
        <v>0.30599999999999999</v>
      </c>
    </row>
    <row r="203" spans="1:11" x14ac:dyDescent="0.25">
      <c r="F203" s="5">
        <v>94</v>
      </c>
      <c r="G203" s="5">
        <v>1.006</v>
      </c>
      <c r="J203" s="5">
        <v>94</v>
      </c>
      <c r="K203" s="5">
        <v>0.30270000000000002</v>
      </c>
    </row>
    <row r="204" spans="1:11" x14ac:dyDescent="0.25">
      <c r="F204" s="5">
        <v>95</v>
      </c>
      <c r="G204" s="5">
        <v>1.0062599999999999</v>
      </c>
      <c r="J204" s="5">
        <v>95</v>
      </c>
      <c r="K204" s="5">
        <v>0.2994</v>
      </c>
    </row>
    <row r="205" spans="1:11" x14ac:dyDescent="0.25">
      <c r="F205" s="5">
        <v>96</v>
      </c>
      <c r="G205" s="5">
        <v>1.0065299999999999</v>
      </c>
      <c r="J205" s="5">
        <v>96</v>
      </c>
      <c r="K205" s="5">
        <v>0.29620000000000002</v>
      </c>
    </row>
    <row r="206" spans="1:11" x14ac:dyDescent="0.25">
      <c r="F206" s="5">
        <v>97</v>
      </c>
      <c r="G206" s="5">
        <v>1.00684</v>
      </c>
      <c r="J206" s="5">
        <v>97</v>
      </c>
      <c r="K206" s="5">
        <v>0.29299999999999998</v>
      </c>
    </row>
    <row r="207" spans="1:11" x14ac:dyDescent="0.25">
      <c r="F207" s="5">
        <v>98</v>
      </c>
      <c r="G207" s="5">
        <v>1.00705</v>
      </c>
      <c r="J207" s="5">
        <v>98</v>
      </c>
      <c r="K207" s="5">
        <v>0.28989999999999999</v>
      </c>
    </row>
    <row r="208" spans="1:11" x14ac:dyDescent="0.25">
      <c r="F208" s="5">
        <v>99</v>
      </c>
      <c r="G208" s="5">
        <v>1.0073399999999999</v>
      </c>
      <c r="J208" s="5">
        <v>99</v>
      </c>
      <c r="K208" s="5">
        <v>0.2868</v>
      </c>
    </row>
    <row r="209" spans="6:11" x14ac:dyDescent="0.25">
      <c r="F209" s="5">
        <v>100</v>
      </c>
      <c r="G209" s="5">
        <v>1.00763</v>
      </c>
      <c r="J209" s="5">
        <v>100</v>
      </c>
      <c r="K209" s="5">
        <v>0.2838</v>
      </c>
    </row>
  </sheetData>
  <sheetProtection password="AF06" sheet="1" scenarios="1"/>
  <mergeCells count="13">
    <mergeCell ref="J45:M45"/>
    <mergeCell ref="N45:Q45"/>
    <mergeCell ref="J106:K106"/>
    <mergeCell ref="T46:U46"/>
    <mergeCell ref="A45:B46"/>
    <mergeCell ref="C45:C46"/>
    <mergeCell ref="D45:F46"/>
    <mergeCell ref="G45:I46"/>
    <mergeCell ref="J46:K46"/>
    <mergeCell ref="N46:O46"/>
    <mergeCell ref="R46:S46"/>
    <mergeCell ref="L46:M46"/>
    <mergeCell ref="P46:Q46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Tinh toan</vt:lpstr>
      <vt:lpstr>Noi suy</vt:lpstr>
      <vt:lpstr>Bang</vt:lpstr>
      <vt:lpstr>'Tinh toan'!_GoBack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FireInSky</dc:creator>
  <cp:lastModifiedBy>hbjh</cp:lastModifiedBy>
  <dcterms:created xsi:type="dcterms:W3CDTF">2012-09-20T03:27:42Z</dcterms:created>
  <dcterms:modified xsi:type="dcterms:W3CDTF">2017-09-21T08:09:25Z</dcterms:modified>
  <cp:version>1.0</cp:version>
</cp:coreProperties>
</file>