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3920" windowHeight="10725" firstSheet="1" activeTab="4"/>
  </bookViews>
  <sheets>
    <sheet name="UserGuide" sheetId="14" r:id="rId1"/>
    <sheet name="Ambient Conditions" sheetId="17" r:id="rId2"/>
    <sheet name="5 A data" sheetId="2" r:id="rId3"/>
    <sheet name="5 A calc" sheetId="6" r:id="rId4"/>
    <sheet name="ForPython" sheetId="21" r:id="rId5"/>
    <sheet name="5 A Tables" sheetId="7" r:id="rId6"/>
    <sheet name="100%points" sheetId="19" r:id="rId7"/>
    <sheet name="Uncertainties" sheetId="8" r:id="rId8"/>
    <sheet name="TwoStageCT" sheetId="16" r:id="rId9"/>
    <sheet name="844400" sheetId="9" r:id="rId10"/>
    <sheet name="Arnold" sheetId="15" r:id="rId11"/>
    <sheet name="Changes" sheetId="10" r:id="rId12"/>
    <sheet name="V2.0 Validation" sheetId="18" r:id="rId13"/>
    <sheet name="Cf Previous results" sheetId="13" r:id="rId14"/>
    <sheet name="Notes" sheetId="20" r:id="rId15"/>
    <sheet name="Python_fits" sheetId="22" r:id="rId16"/>
  </sheets>
  <functionGroups builtInGroupCount="17"/>
  <externalReferences>
    <externalReference r:id="rId17"/>
  </externalReferences>
  <definedNames>
    <definedName name="_xlnm._FilterDatabase" localSheetId="4" hidden="1">ForPython!$B$5:$K$343</definedName>
    <definedName name="aux_CT_phase">Uncertainties!$C$9</definedName>
    <definedName name="aux_CT_ratio">Uncertainties!$C$8</definedName>
    <definedName name="B5A0VA">'5 A data'!$N$92</definedName>
    <definedName name="B5A5.0VA">'5 A data'!$N$91</definedName>
    <definedName name="BurdenUnc">Uncertainties!$G$3</definedName>
    <definedName name="config_Im">Uncertainties!$J$5</definedName>
    <definedName name="config_Re">Uncertainties!$G$5</definedName>
    <definedName name="current_coef">Uncertainties!$G$5</definedName>
    <definedName name="earthing_Im">Uncertainties!$J$7</definedName>
    <definedName name="earthing_Re">Uncertainties!$G$7</definedName>
    <definedName name="high_burden">'5 A calc'!$N$3</definedName>
    <definedName name="low__burden">'5 A calc'!$N$4</definedName>
    <definedName name="mutual_ind">Uncertainties!$C$6</definedName>
    <definedName name="phase_factor">Uncertainties!$M$6</definedName>
    <definedName name="ratio_factor">Uncertainties!$M$5</definedName>
    <definedName name="slidewire_res">Uncertainties!$C$5</definedName>
    <definedName name="TestSetPhaseCor">'5 A calc'!$R$3</definedName>
    <definedName name="TestSetRatioCor">'5 A calc'!$R$2</definedName>
    <definedName name="twentyfivepercent__burden">'5 A calc'!$N$5</definedName>
  </definedNames>
  <calcPr calcId="145621"/>
</workbook>
</file>

<file path=xl/calcChain.xml><?xml version="1.0" encoding="utf-8"?>
<calcChain xmlns="http://schemas.openxmlformats.org/spreadsheetml/2006/main">
  <c r="M343" i="21" l="1"/>
  <c r="M342" i="21"/>
  <c r="M341" i="21"/>
  <c r="M340" i="21"/>
  <c r="M339" i="21"/>
  <c r="M338" i="21"/>
  <c r="M337" i="21"/>
  <c r="M335" i="21"/>
  <c r="M334" i="21"/>
  <c r="M333" i="21"/>
  <c r="M332" i="21"/>
  <c r="M331" i="21"/>
  <c r="M330" i="21"/>
  <c r="M329" i="21"/>
  <c r="M326" i="21"/>
  <c r="M325" i="21"/>
  <c r="M324" i="21"/>
  <c r="M323" i="21"/>
  <c r="M322" i="21"/>
  <c r="M321" i="21"/>
  <c r="M320" i="21"/>
  <c r="M318" i="21"/>
  <c r="M317" i="21"/>
  <c r="M316" i="21"/>
  <c r="M315" i="21"/>
  <c r="M314" i="21"/>
  <c r="M313" i="21"/>
  <c r="M312" i="21"/>
  <c r="M309" i="21"/>
  <c r="M308" i="21"/>
  <c r="M307" i="21"/>
  <c r="M306" i="21"/>
  <c r="M305" i="21"/>
  <c r="M304" i="21"/>
  <c r="M303" i="21"/>
  <c r="M301" i="21"/>
  <c r="M300" i="21"/>
  <c r="M299" i="21"/>
  <c r="M298" i="21"/>
  <c r="M297" i="21"/>
  <c r="M296" i="21"/>
  <c r="M295" i="21"/>
  <c r="M292" i="21"/>
  <c r="M291" i="21"/>
  <c r="M290" i="21"/>
  <c r="M289" i="21"/>
  <c r="M288" i="21"/>
  <c r="M287" i="21"/>
  <c r="M286" i="21"/>
  <c r="M284" i="21"/>
  <c r="M283" i="21"/>
  <c r="M282" i="21"/>
  <c r="M281" i="21"/>
  <c r="M280" i="21"/>
  <c r="M279" i="21"/>
  <c r="M278" i="21"/>
  <c r="M275" i="21"/>
  <c r="M274" i="21"/>
  <c r="M273" i="21"/>
  <c r="M272" i="21"/>
  <c r="M271" i="21"/>
  <c r="M270" i="21"/>
  <c r="M269" i="21"/>
  <c r="M267" i="21"/>
  <c r="M266" i="21"/>
  <c r="M265" i="21"/>
  <c r="M264" i="21"/>
  <c r="M263" i="21"/>
  <c r="M262" i="21"/>
  <c r="M261" i="21"/>
  <c r="M258" i="21"/>
  <c r="M257" i="21"/>
  <c r="M256" i="21"/>
  <c r="M255" i="21"/>
  <c r="M254" i="21"/>
  <c r="M253" i="21"/>
  <c r="M252" i="21"/>
  <c r="M250" i="21"/>
  <c r="M249" i="21"/>
  <c r="M248" i="21"/>
  <c r="M247" i="21"/>
  <c r="M246" i="21"/>
  <c r="M245" i="21"/>
  <c r="M244" i="21"/>
  <c r="M241" i="21"/>
  <c r="M240" i="21"/>
  <c r="M239" i="21"/>
  <c r="M238" i="21"/>
  <c r="M237" i="21"/>
  <c r="M236" i="21"/>
  <c r="M235" i="21"/>
  <c r="M233" i="21"/>
  <c r="M232" i="21"/>
  <c r="M231" i="21"/>
  <c r="M230" i="21"/>
  <c r="M229" i="21"/>
  <c r="M228" i="21"/>
  <c r="M227" i="21"/>
  <c r="M224" i="21"/>
  <c r="M223" i="21"/>
  <c r="M222" i="21"/>
  <c r="M221" i="21"/>
  <c r="M220" i="21"/>
  <c r="M219" i="21"/>
  <c r="M218" i="21"/>
  <c r="M216" i="21"/>
  <c r="M215" i="21"/>
  <c r="M214" i="21"/>
  <c r="M213" i="21"/>
  <c r="M212" i="21"/>
  <c r="M211" i="21"/>
  <c r="M210" i="21"/>
  <c r="M207" i="21"/>
  <c r="M206" i="21"/>
  <c r="M205" i="21"/>
  <c r="M204" i="21"/>
  <c r="M203" i="21"/>
  <c r="M202" i="21"/>
  <c r="M201" i="21"/>
  <c r="M199" i="21"/>
  <c r="M198" i="21"/>
  <c r="M197" i="21"/>
  <c r="M196" i="21"/>
  <c r="M195" i="21"/>
  <c r="M194" i="21"/>
  <c r="M193" i="21"/>
  <c r="M190" i="21"/>
  <c r="M189" i="21"/>
  <c r="M188" i="21"/>
  <c r="M187" i="21"/>
  <c r="M186" i="21"/>
  <c r="M185" i="21"/>
  <c r="M184" i="21"/>
  <c r="M182" i="21"/>
  <c r="M181" i="21"/>
  <c r="M180" i="21"/>
  <c r="M179" i="21"/>
  <c r="M178" i="21"/>
  <c r="M177" i="21"/>
  <c r="M176" i="21"/>
  <c r="M173" i="21"/>
  <c r="M172" i="21"/>
  <c r="M171" i="21"/>
  <c r="M170" i="21"/>
  <c r="M169" i="21"/>
  <c r="M168" i="21"/>
  <c r="M167" i="21"/>
  <c r="M165" i="21"/>
  <c r="M164" i="21"/>
  <c r="M163" i="21"/>
  <c r="M162" i="21"/>
  <c r="M161" i="21"/>
  <c r="M160" i="21"/>
  <c r="M159" i="21"/>
  <c r="M156" i="21"/>
  <c r="M155" i="21"/>
  <c r="M154" i="21"/>
  <c r="M153" i="21"/>
  <c r="M152" i="21"/>
  <c r="M151" i="21"/>
  <c r="M150" i="21"/>
  <c r="M148" i="21"/>
  <c r="M147" i="21"/>
  <c r="M146" i="21"/>
  <c r="M145" i="21"/>
  <c r="M144" i="21"/>
  <c r="M143" i="21"/>
  <c r="M142" i="21"/>
  <c r="M139" i="21"/>
  <c r="M138" i="21"/>
  <c r="M137" i="21"/>
  <c r="M136" i="21"/>
  <c r="M135" i="21"/>
  <c r="M134" i="21"/>
  <c r="M133" i="21"/>
  <c r="M131" i="21"/>
  <c r="M130" i="21"/>
  <c r="M129" i="21"/>
  <c r="M128" i="21"/>
  <c r="M127" i="21"/>
  <c r="M126" i="21"/>
  <c r="M125" i="21"/>
  <c r="M122" i="21"/>
  <c r="M121" i="21"/>
  <c r="M120" i="21"/>
  <c r="M119" i="21"/>
  <c r="M118" i="21"/>
  <c r="M117" i="21"/>
  <c r="M116" i="21"/>
  <c r="M114" i="21"/>
  <c r="M113" i="21"/>
  <c r="M112" i="21"/>
  <c r="M111" i="21"/>
  <c r="M110" i="21"/>
  <c r="M109" i="21"/>
  <c r="M108" i="21"/>
  <c r="M105" i="21"/>
  <c r="M104" i="21"/>
  <c r="M103" i="21"/>
  <c r="M102" i="21"/>
  <c r="M101" i="21"/>
  <c r="M100" i="21"/>
  <c r="M99" i="21"/>
  <c r="M97" i="21"/>
  <c r="M96" i="21"/>
  <c r="M95" i="21"/>
  <c r="M94" i="21"/>
  <c r="M93" i="21"/>
  <c r="M92" i="21"/>
  <c r="M91" i="21"/>
  <c r="M88" i="21"/>
  <c r="M87" i="21"/>
  <c r="M86" i="21"/>
  <c r="M85" i="21"/>
  <c r="M84" i="21"/>
  <c r="M83" i="21"/>
  <c r="M82" i="21"/>
  <c r="M80" i="21"/>
  <c r="M79" i="21"/>
  <c r="M78" i="21"/>
  <c r="M77" i="21"/>
  <c r="M76" i="21"/>
  <c r="M75" i="21"/>
  <c r="M74" i="21"/>
  <c r="M71" i="21"/>
  <c r="M70" i="21"/>
  <c r="M69" i="21"/>
  <c r="M68" i="21"/>
  <c r="M67" i="21"/>
  <c r="M66" i="21"/>
  <c r="M65" i="21"/>
  <c r="M63" i="21"/>
  <c r="M62" i="21"/>
  <c r="M61" i="21"/>
  <c r="M60" i="21"/>
  <c r="M59" i="21"/>
  <c r="M58" i="21"/>
  <c r="M57" i="21"/>
  <c r="M54" i="21"/>
  <c r="M53" i="21"/>
  <c r="M52" i="21"/>
  <c r="M51" i="21"/>
  <c r="M50" i="21"/>
  <c r="M49" i="21"/>
  <c r="M48" i="21"/>
  <c r="M46" i="21"/>
  <c r="M45" i="21"/>
  <c r="M44" i="21"/>
  <c r="M43" i="21"/>
  <c r="M42" i="21"/>
  <c r="M41" i="21"/>
  <c r="M40" i="21"/>
  <c r="M37" i="21"/>
  <c r="M36" i="21"/>
  <c r="M35" i="21"/>
  <c r="M34" i="21"/>
  <c r="M33" i="21"/>
  <c r="M32" i="21"/>
  <c r="M31" i="21"/>
  <c r="M29" i="21"/>
  <c r="M28" i="21"/>
  <c r="M27" i="21"/>
  <c r="M26" i="21"/>
  <c r="M25" i="21"/>
  <c r="M24" i="21"/>
  <c r="M23" i="21"/>
  <c r="M20" i="21"/>
  <c r="M19" i="21"/>
  <c r="M18" i="21"/>
  <c r="M17" i="21"/>
  <c r="M16" i="21"/>
  <c r="M15" i="21"/>
  <c r="M14" i="21"/>
  <c r="K343" i="21"/>
  <c r="K342" i="21"/>
  <c r="K341" i="21"/>
  <c r="K340" i="21"/>
  <c r="K339" i="21"/>
  <c r="K338" i="21"/>
  <c r="K337" i="21"/>
  <c r="K335" i="21"/>
  <c r="K334" i="21"/>
  <c r="K333" i="21"/>
  <c r="K332" i="21"/>
  <c r="K331" i="21"/>
  <c r="K330" i="21"/>
  <c r="K329" i="21"/>
  <c r="K326" i="21"/>
  <c r="K325" i="21"/>
  <c r="K324" i="21"/>
  <c r="K323" i="21"/>
  <c r="K322" i="21"/>
  <c r="K321" i="21"/>
  <c r="K320" i="21"/>
  <c r="K318" i="21"/>
  <c r="K317" i="21"/>
  <c r="K316" i="21"/>
  <c r="K315" i="21"/>
  <c r="K314" i="21"/>
  <c r="K313" i="21"/>
  <c r="K312" i="21"/>
  <c r="K309" i="21"/>
  <c r="K308" i="21"/>
  <c r="K307" i="21"/>
  <c r="K306" i="21"/>
  <c r="K305" i="21"/>
  <c r="K304" i="21"/>
  <c r="K303" i="21"/>
  <c r="K301" i="21"/>
  <c r="K300" i="21"/>
  <c r="K299" i="21"/>
  <c r="K298" i="21"/>
  <c r="K297" i="21"/>
  <c r="K296" i="21"/>
  <c r="K295" i="21"/>
  <c r="K292" i="21"/>
  <c r="K291" i="21"/>
  <c r="K290" i="21"/>
  <c r="K289" i="21"/>
  <c r="K288" i="21"/>
  <c r="K287" i="21"/>
  <c r="K286" i="21"/>
  <c r="K284" i="21"/>
  <c r="K283" i="21"/>
  <c r="K282" i="21"/>
  <c r="K281" i="21"/>
  <c r="K280" i="21"/>
  <c r="K279" i="21"/>
  <c r="K278" i="21"/>
  <c r="K275" i="21"/>
  <c r="K274" i="21"/>
  <c r="K273" i="21"/>
  <c r="K272" i="21"/>
  <c r="K271" i="21"/>
  <c r="K270" i="21"/>
  <c r="K269" i="21"/>
  <c r="K267" i="21"/>
  <c r="K266" i="21"/>
  <c r="K265" i="21"/>
  <c r="K264" i="21"/>
  <c r="K263" i="21"/>
  <c r="K262" i="21"/>
  <c r="K261" i="21"/>
  <c r="K258" i="21"/>
  <c r="K257" i="21"/>
  <c r="K256" i="21"/>
  <c r="K255" i="21"/>
  <c r="K254" i="21"/>
  <c r="K253" i="21"/>
  <c r="K252" i="21"/>
  <c r="K250" i="21"/>
  <c r="K249" i="21"/>
  <c r="K248" i="21"/>
  <c r="K247" i="21"/>
  <c r="K246" i="21"/>
  <c r="K245" i="21"/>
  <c r="K244" i="21"/>
  <c r="K241" i="21"/>
  <c r="K240" i="21"/>
  <c r="K239" i="21"/>
  <c r="K238" i="21"/>
  <c r="K237" i="21"/>
  <c r="K236" i="21"/>
  <c r="K235" i="21"/>
  <c r="K233" i="21"/>
  <c r="K232" i="21"/>
  <c r="K231" i="21"/>
  <c r="K230" i="21"/>
  <c r="K229" i="21"/>
  <c r="K228" i="21"/>
  <c r="K227" i="21"/>
  <c r="K224" i="21"/>
  <c r="K223" i="21"/>
  <c r="K222" i="21"/>
  <c r="K221" i="21"/>
  <c r="K220" i="21"/>
  <c r="K219" i="21"/>
  <c r="K218" i="21"/>
  <c r="K216" i="21"/>
  <c r="K215" i="21"/>
  <c r="K214" i="21"/>
  <c r="K213" i="21"/>
  <c r="K212" i="21"/>
  <c r="K211" i="21"/>
  <c r="K210" i="21"/>
  <c r="K207" i="21"/>
  <c r="K206" i="21"/>
  <c r="K205" i="21"/>
  <c r="K204" i="21"/>
  <c r="K203" i="21"/>
  <c r="K202" i="21"/>
  <c r="K201" i="21"/>
  <c r="K199" i="21"/>
  <c r="K198" i="21"/>
  <c r="K197" i="21"/>
  <c r="K196" i="21"/>
  <c r="K195" i="21"/>
  <c r="K194" i="21"/>
  <c r="K193" i="21"/>
  <c r="K190" i="21"/>
  <c r="K189" i="21"/>
  <c r="K188" i="21"/>
  <c r="K187" i="21"/>
  <c r="K186" i="21"/>
  <c r="K185" i="21"/>
  <c r="K184" i="21"/>
  <c r="K182" i="21"/>
  <c r="K181" i="21"/>
  <c r="K180" i="21"/>
  <c r="K179" i="21"/>
  <c r="K178" i="21"/>
  <c r="K177" i="21"/>
  <c r="K176" i="21"/>
  <c r="K173" i="21"/>
  <c r="K172" i="21"/>
  <c r="K171" i="21"/>
  <c r="K170" i="21"/>
  <c r="K169" i="21"/>
  <c r="K168" i="21"/>
  <c r="K167" i="21"/>
  <c r="K165" i="21"/>
  <c r="K164" i="21"/>
  <c r="K163" i="21"/>
  <c r="K162" i="21"/>
  <c r="K161" i="21"/>
  <c r="K160" i="21"/>
  <c r="K159" i="21"/>
  <c r="K156" i="21"/>
  <c r="K155" i="21"/>
  <c r="K154" i="21"/>
  <c r="K153" i="21"/>
  <c r="K152" i="21"/>
  <c r="K151" i="21"/>
  <c r="K150" i="21"/>
  <c r="K148" i="21"/>
  <c r="K147" i="21"/>
  <c r="K146" i="21"/>
  <c r="K145" i="21"/>
  <c r="K144" i="21"/>
  <c r="K143" i="21"/>
  <c r="K142" i="21"/>
  <c r="K139" i="21"/>
  <c r="K138" i="21"/>
  <c r="K137" i="21"/>
  <c r="K136" i="21"/>
  <c r="K135" i="21"/>
  <c r="K134" i="21"/>
  <c r="K133" i="21"/>
  <c r="K131" i="21"/>
  <c r="K130" i="21"/>
  <c r="K129" i="21"/>
  <c r="K128" i="21"/>
  <c r="K127" i="21"/>
  <c r="K126" i="21"/>
  <c r="K125" i="21"/>
  <c r="K122" i="21"/>
  <c r="K121" i="21"/>
  <c r="K120" i="21"/>
  <c r="K119" i="21"/>
  <c r="K118" i="21"/>
  <c r="K117" i="21"/>
  <c r="K116" i="21"/>
  <c r="K114" i="21"/>
  <c r="K113" i="21"/>
  <c r="K112" i="21"/>
  <c r="K111" i="21"/>
  <c r="K110" i="21"/>
  <c r="K109" i="21"/>
  <c r="K108" i="21"/>
  <c r="K105" i="21"/>
  <c r="K104" i="21"/>
  <c r="K103" i="21"/>
  <c r="K102" i="21"/>
  <c r="K101" i="21"/>
  <c r="K100" i="21"/>
  <c r="K99" i="21"/>
  <c r="K97" i="21"/>
  <c r="K96" i="21"/>
  <c r="K95" i="21"/>
  <c r="K94" i="21"/>
  <c r="K93" i="21"/>
  <c r="K92" i="21"/>
  <c r="K91" i="21"/>
  <c r="K88" i="21"/>
  <c r="K87" i="21"/>
  <c r="K86" i="21"/>
  <c r="K85" i="21"/>
  <c r="K84" i="21"/>
  <c r="K83" i="21"/>
  <c r="K82" i="21"/>
  <c r="K80" i="21"/>
  <c r="K79" i="21"/>
  <c r="K78" i="21"/>
  <c r="K77" i="21"/>
  <c r="K76" i="21"/>
  <c r="K75" i="21"/>
  <c r="K74" i="21"/>
  <c r="K71" i="21"/>
  <c r="K70" i="21"/>
  <c r="K69" i="21"/>
  <c r="K68" i="21"/>
  <c r="K67" i="21"/>
  <c r="K66" i="21"/>
  <c r="K65" i="21"/>
  <c r="K63" i="21"/>
  <c r="K62" i="21"/>
  <c r="K61" i="21"/>
  <c r="K60" i="21"/>
  <c r="K59" i="21"/>
  <c r="K58" i="21"/>
  <c r="K57" i="21"/>
  <c r="K54" i="21"/>
  <c r="K53" i="21"/>
  <c r="K52" i="21"/>
  <c r="K51" i="21"/>
  <c r="K50" i="21"/>
  <c r="K49" i="21"/>
  <c r="K48" i="21"/>
  <c r="K46" i="21"/>
  <c r="K45" i="21"/>
  <c r="K44" i="21"/>
  <c r="K43" i="21"/>
  <c r="K42" i="21"/>
  <c r="K41" i="21"/>
  <c r="K40" i="21"/>
  <c r="K37" i="21"/>
  <c r="K36" i="21"/>
  <c r="K35" i="21"/>
  <c r="K34" i="21"/>
  <c r="K33" i="21"/>
  <c r="K32" i="21"/>
  <c r="K31" i="21"/>
  <c r="K29" i="21"/>
  <c r="K28" i="21"/>
  <c r="K27" i="21"/>
  <c r="K26" i="21"/>
  <c r="K25" i="21"/>
  <c r="K24" i="21"/>
  <c r="K23" i="21"/>
  <c r="K20" i="21"/>
  <c r="K19" i="21"/>
  <c r="K18" i="21"/>
  <c r="K17" i="21"/>
  <c r="K16" i="21"/>
  <c r="K15" i="21"/>
  <c r="K14" i="21"/>
  <c r="M7" i="21"/>
  <c r="M8" i="21"/>
  <c r="M9" i="21"/>
  <c r="M10" i="21"/>
  <c r="M11" i="21"/>
  <c r="M12" i="21"/>
  <c r="K7" i="21"/>
  <c r="K8" i="21"/>
  <c r="K9" i="21"/>
  <c r="K10" i="21"/>
  <c r="K11" i="21"/>
  <c r="K12" i="21"/>
  <c r="M6" i="21"/>
  <c r="K6" i="21"/>
  <c r="J6" i="21"/>
  <c r="AT365" i="6"/>
  <c r="AS365" i="6"/>
  <c r="AT364" i="6"/>
  <c r="AS364" i="6"/>
  <c r="AT363" i="6"/>
  <c r="AS363" i="6"/>
  <c r="AT362" i="6"/>
  <c r="AS362" i="6"/>
  <c r="AT361" i="6"/>
  <c r="AS361" i="6"/>
  <c r="AT360" i="6"/>
  <c r="AS360" i="6"/>
  <c r="AT359" i="6"/>
  <c r="AS359" i="6"/>
  <c r="AT357" i="6"/>
  <c r="AS357" i="6"/>
  <c r="AT356" i="6"/>
  <c r="AS356" i="6"/>
  <c r="AT355" i="6"/>
  <c r="AS355" i="6"/>
  <c r="AT354" i="6"/>
  <c r="AS354" i="6"/>
  <c r="AT353" i="6"/>
  <c r="AS353" i="6"/>
  <c r="AT352" i="6"/>
  <c r="AS352" i="6"/>
  <c r="AT351" i="6"/>
  <c r="AS351" i="6"/>
  <c r="AT347" i="6"/>
  <c r="AS347" i="6"/>
  <c r="AT346" i="6"/>
  <c r="AS346" i="6"/>
  <c r="AT345" i="6"/>
  <c r="AS345" i="6"/>
  <c r="AT344" i="6"/>
  <c r="AS344" i="6"/>
  <c r="AT343" i="6"/>
  <c r="AS343" i="6"/>
  <c r="AT342" i="6"/>
  <c r="AS342" i="6"/>
  <c r="AT341" i="6"/>
  <c r="AS341" i="6"/>
  <c r="AT339" i="6"/>
  <c r="AS339" i="6"/>
  <c r="AT338" i="6"/>
  <c r="AS338" i="6"/>
  <c r="AT337" i="6"/>
  <c r="AS337" i="6"/>
  <c r="AT336" i="6"/>
  <c r="AS336" i="6"/>
  <c r="AT335" i="6"/>
  <c r="AS335" i="6"/>
  <c r="AT334" i="6"/>
  <c r="AS334" i="6"/>
  <c r="AT333" i="6"/>
  <c r="AS333" i="6"/>
  <c r="AT329" i="6"/>
  <c r="AS329" i="6"/>
  <c r="AT328" i="6"/>
  <c r="AS328" i="6"/>
  <c r="AT327" i="6"/>
  <c r="AS327" i="6"/>
  <c r="AT326" i="6"/>
  <c r="AS326" i="6"/>
  <c r="AT325" i="6"/>
  <c r="AS325" i="6"/>
  <c r="AT324" i="6"/>
  <c r="AS324" i="6"/>
  <c r="AT323" i="6"/>
  <c r="AS323" i="6"/>
  <c r="AT321" i="6"/>
  <c r="AS321" i="6"/>
  <c r="AT320" i="6"/>
  <c r="AS320" i="6"/>
  <c r="AT319" i="6"/>
  <c r="AS319" i="6"/>
  <c r="AT318" i="6"/>
  <c r="AS318" i="6"/>
  <c r="AT317" i="6"/>
  <c r="AS317" i="6"/>
  <c r="AT316" i="6"/>
  <c r="AS316" i="6"/>
  <c r="AT315" i="6"/>
  <c r="AS315" i="6"/>
  <c r="AT311" i="6"/>
  <c r="AS311" i="6"/>
  <c r="AT310" i="6"/>
  <c r="AS310" i="6"/>
  <c r="AT309" i="6"/>
  <c r="AS309" i="6"/>
  <c r="AT308" i="6"/>
  <c r="AS308" i="6"/>
  <c r="AT307" i="6"/>
  <c r="AS307" i="6"/>
  <c r="AT306" i="6"/>
  <c r="AS306" i="6"/>
  <c r="AT305" i="6"/>
  <c r="AS305" i="6"/>
  <c r="AT303" i="6"/>
  <c r="AS303" i="6"/>
  <c r="AT302" i="6"/>
  <c r="AS302" i="6"/>
  <c r="AT301" i="6"/>
  <c r="AS301" i="6"/>
  <c r="AT300" i="6"/>
  <c r="AS300" i="6"/>
  <c r="AT299" i="6"/>
  <c r="AS299" i="6"/>
  <c r="AT298" i="6"/>
  <c r="AS298" i="6"/>
  <c r="AT297" i="6"/>
  <c r="AS297" i="6"/>
  <c r="AT293" i="6"/>
  <c r="AS293" i="6"/>
  <c r="AT292" i="6"/>
  <c r="AS292" i="6"/>
  <c r="AT291" i="6"/>
  <c r="AS291" i="6"/>
  <c r="AT290" i="6"/>
  <c r="AS290" i="6"/>
  <c r="AT289" i="6"/>
  <c r="AS289" i="6"/>
  <c r="AT288" i="6"/>
  <c r="AS288" i="6"/>
  <c r="AT287" i="6"/>
  <c r="AS287" i="6"/>
  <c r="AT285" i="6"/>
  <c r="AS285" i="6"/>
  <c r="AT284" i="6"/>
  <c r="AS284" i="6"/>
  <c r="AT283" i="6"/>
  <c r="AS283" i="6"/>
  <c r="AT282" i="6"/>
  <c r="AS282" i="6"/>
  <c r="AT281" i="6"/>
  <c r="AS281" i="6"/>
  <c r="AT280" i="6"/>
  <c r="AS280" i="6"/>
  <c r="AT279" i="6"/>
  <c r="AS279" i="6"/>
  <c r="AT275" i="6"/>
  <c r="AS275" i="6"/>
  <c r="AT274" i="6"/>
  <c r="AS274" i="6"/>
  <c r="AT273" i="6"/>
  <c r="AS273" i="6"/>
  <c r="AT272" i="6"/>
  <c r="AS272" i="6"/>
  <c r="AT271" i="6"/>
  <c r="AS271" i="6"/>
  <c r="AT270" i="6"/>
  <c r="AS270" i="6"/>
  <c r="AT269" i="6"/>
  <c r="AS269" i="6"/>
  <c r="AT267" i="6"/>
  <c r="AS267" i="6"/>
  <c r="AT266" i="6"/>
  <c r="AS266" i="6"/>
  <c r="AT265" i="6"/>
  <c r="AS265" i="6"/>
  <c r="AT264" i="6"/>
  <c r="AS264" i="6"/>
  <c r="AT263" i="6"/>
  <c r="AS263" i="6"/>
  <c r="AT262" i="6"/>
  <c r="AS262" i="6"/>
  <c r="AT261" i="6"/>
  <c r="AS261" i="6"/>
  <c r="AT257" i="6"/>
  <c r="AS257" i="6"/>
  <c r="AT256" i="6"/>
  <c r="AS256" i="6"/>
  <c r="AT255" i="6"/>
  <c r="AS255" i="6"/>
  <c r="AT254" i="6"/>
  <c r="AS254" i="6"/>
  <c r="AT253" i="6"/>
  <c r="AS253" i="6"/>
  <c r="AT252" i="6"/>
  <c r="AS252" i="6"/>
  <c r="AT251" i="6"/>
  <c r="AS251" i="6"/>
  <c r="AT249" i="6"/>
  <c r="AS249" i="6"/>
  <c r="AT248" i="6"/>
  <c r="AS248" i="6"/>
  <c r="AT247" i="6"/>
  <c r="AS247" i="6"/>
  <c r="AT246" i="6"/>
  <c r="AS246" i="6"/>
  <c r="AT245" i="6"/>
  <c r="AS245" i="6"/>
  <c r="AT244" i="6"/>
  <c r="AS244" i="6"/>
  <c r="AT243" i="6"/>
  <c r="AS243" i="6"/>
  <c r="AT239" i="6"/>
  <c r="AS239" i="6"/>
  <c r="AT238" i="6"/>
  <c r="AS238" i="6"/>
  <c r="AT237" i="6"/>
  <c r="AS237" i="6"/>
  <c r="AT236" i="6"/>
  <c r="AS236" i="6"/>
  <c r="AT235" i="6"/>
  <c r="AS235" i="6"/>
  <c r="AT234" i="6"/>
  <c r="AS234" i="6"/>
  <c r="AT233" i="6"/>
  <c r="AS233" i="6"/>
  <c r="AT231" i="6"/>
  <c r="AS231" i="6"/>
  <c r="AT230" i="6"/>
  <c r="AS230" i="6"/>
  <c r="AT229" i="6"/>
  <c r="AS229" i="6"/>
  <c r="AT228" i="6"/>
  <c r="AS228" i="6"/>
  <c r="AT227" i="6"/>
  <c r="AS227" i="6"/>
  <c r="AT226" i="6"/>
  <c r="AS226" i="6"/>
  <c r="AT225" i="6"/>
  <c r="AS225" i="6"/>
  <c r="AT221" i="6"/>
  <c r="AS221" i="6"/>
  <c r="AT220" i="6"/>
  <c r="AS220" i="6"/>
  <c r="AT219" i="6"/>
  <c r="AS219" i="6"/>
  <c r="AT218" i="6"/>
  <c r="AS218" i="6"/>
  <c r="AT217" i="6"/>
  <c r="AS217" i="6"/>
  <c r="AT216" i="6"/>
  <c r="AS216" i="6"/>
  <c r="AT215" i="6"/>
  <c r="AS215" i="6"/>
  <c r="AT213" i="6"/>
  <c r="AS213" i="6"/>
  <c r="AT212" i="6"/>
  <c r="AS212" i="6"/>
  <c r="AT211" i="6"/>
  <c r="AS211" i="6"/>
  <c r="AT210" i="6"/>
  <c r="AS210" i="6"/>
  <c r="AT209" i="6"/>
  <c r="AS209" i="6"/>
  <c r="AT208" i="6"/>
  <c r="AS208" i="6"/>
  <c r="AT207" i="6"/>
  <c r="AS207" i="6"/>
  <c r="AT203" i="6"/>
  <c r="AS203" i="6"/>
  <c r="AT202" i="6"/>
  <c r="AS202" i="6"/>
  <c r="AT201" i="6"/>
  <c r="AS201" i="6"/>
  <c r="AT200" i="6"/>
  <c r="AS200" i="6"/>
  <c r="AT199" i="6"/>
  <c r="AS199" i="6"/>
  <c r="AT198" i="6"/>
  <c r="AS198" i="6"/>
  <c r="AT197" i="6"/>
  <c r="AS197" i="6"/>
  <c r="AT195" i="6"/>
  <c r="AS195" i="6"/>
  <c r="AT194" i="6"/>
  <c r="AS194" i="6"/>
  <c r="AT193" i="6"/>
  <c r="AS193" i="6"/>
  <c r="AT192" i="6"/>
  <c r="AS192" i="6"/>
  <c r="AT191" i="6"/>
  <c r="AS191" i="6"/>
  <c r="AT190" i="6"/>
  <c r="AS190" i="6"/>
  <c r="AT189" i="6"/>
  <c r="AS189" i="6"/>
  <c r="AT185" i="6"/>
  <c r="AS185" i="6"/>
  <c r="AT184" i="6"/>
  <c r="AS184" i="6"/>
  <c r="AT183" i="6"/>
  <c r="AS183" i="6"/>
  <c r="AT182" i="6"/>
  <c r="AS182" i="6"/>
  <c r="AT181" i="6"/>
  <c r="AS181" i="6"/>
  <c r="AT180" i="6"/>
  <c r="AS180" i="6"/>
  <c r="AT179" i="6"/>
  <c r="AS179" i="6"/>
  <c r="AT177" i="6"/>
  <c r="AS177" i="6"/>
  <c r="AT176" i="6"/>
  <c r="AS176" i="6"/>
  <c r="AT175" i="6"/>
  <c r="AS175" i="6"/>
  <c r="AT174" i="6"/>
  <c r="AS174" i="6"/>
  <c r="AT173" i="6"/>
  <c r="AS173" i="6"/>
  <c r="AT172" i="6"/>
  <c r="AS172" i="6"/>
  <c r="AT171" i="6"/>
  <c r="AS171" i="6"/>
  <c r="AT167" i="6"/>
  <c r="AS167" i="6"/>
  <c r="AT166" i="6"/>
  <c r="AS166" i="6"/>
  <c r="AT165" i="6"/>
  <c r="AS165" i="6"/>
  <c r="AT164" i="6"/>
  <c r="AS164" i="6"/>
  <c r="AT163" i="6"/>
  <c r="AS163" i="6"/>
  <c r="AT162" i="6"/>
  <c r="AS162" i="6"/>
  <c r="AT161" i="6"/>
  <c r="AS161" i="6"/>
  <c r="AT159" i="6"/>
  <c r="AS159" i="6"/>
  <c r="AT158" i="6"/>
  <c r="AS158" i="6"/>
  <c r="AT157" i="6"/>
  <c r="AS157" i="6"/>
  <c r="AT156" i="6"/>
  <c r="AS156" i="6"/>
  <c r="AT155" i="6"/>
  <c r="AS155" i="6"/>
  <c r="AT154" i="6"/>
  <c r="AS154" i="6"/>
  <c r="AT153" i="6"/>
  <c r="AS153" i="6"/>
  <c r="AT149" i="6"/>
  <c r="AS149" i="6"/>
  <c r="AT148" i="6"/>
  <c r="AS148" i="6"/>
  <c r="AT147" i="6"/>
  <c r="AS147" i="6"/>
  <c r="AT146" i="6"/>
  <c r="AS146" i="6"/>
  <c r="AT145" i="6"/>
  <c r="AS145" i="6"/>
  <c r="AT144" i="6"/>
  <c r="AS144" i="6"/>
  <c r="AT143" i="6"/>
  <c r="AS143" i="6"/>
  <c r="AT141" i="6"/>
  <c r="AS141" i="6"/>
  <c r="AT140" i="6"/>
  <c r="AS140" i="6"/>
  <c r="AT139" i="6"/>
  <c r="AS139" i="6"/>
  <c r="AT138" i="6"/>
  <c r="AS138" i="6"/>
  <c r="AT137" i="6"/>
  <c r="AS137" i="6"/>
  <c r="AT136" i="6"/>
  <c r="AS136" i="6"/>
  <c r="AT135" i="6"/>
  <c r="AS135" i="6"/>
  <c r="AT131" i="6"/>
  <c r="AS131" i="6"/>
  <c r="AT130" i="6"/>
  <c r="AS130" i="6"/>
  <c r="AT129" i="6"/>
  <c r="AS129" i="6"/>
  <c r="AT128" i="6"/>
  <c r="AS128" i="6"/>
  <c r="AT127" i="6"/>
  <c r="AS127" i="6"/>
  <c r="AT126" i="6"/>
  <c r="AS126" i="6"/>
  <c r="AT125" i="6"/>
  <c r="AS125" i="6"/>
  <c r="AT123" i="6"/>
  <c r="AS123" i="6"/>
  <c r="AT122" i="6"/>
  <c r="AS122" i="6"/>
  <c r="AT121" i="6"/>
  <c r="AS121" i="6"/>
  <c r="AT120" i="6"/>
  <c r="AS120" i="6"/>
  <c r="AT119" i="6"/>
  <c r="AS119" i="6"/>
  <c r="AT118" i="6"/>
  <c r="AS118" i="6"/>
  <c r="AT117" i="6"/>
  <c r="AS117" i="6"/>
  <c r="AT113" i="6"/>
  <c r="AS113" i="6"/>
  <c r="AT112" i="6"/>
  <c r="AS112" i="6"/>
  <c r="AT111" i="6"/>
  <c r="AS111" i="6"/>
  <c r="AT110" i="6"/>
  <c r="AS110" i="6"/>
  <c r="AT109" i="6"/>
  <c r="AS109" i="6"/>
  <c r="AT108" i="6"/>
  <c r="AS108" i="6"/>
  <c r="AT107" i="6"/>
  <c r="AS107" i="6"/>
  <c r="AT105" i="6"/>
  <c r="AS105" i="6"/>
  <c r="AT104" i="6"/>
  <c r="AS104" i="6"/>
  <c r="AT103" i="6"/>
  <c r="AS103" i="6"/>
  <c r="AT102" i="6"/>
  <c r="AS102" i="6"/>
  <c r="AT101" i="6"/>
  <c r="AS101" i="6"/>
  <c r="AT100" i="6"/>
  <c r="AS100" i="6"/>
  <c r="AT99" i="6"/>
  <c r="AS99" i="6"/>
  <c r="AT95" i="6"/>
  <c r="AS95" i="6"/>
  <c r="AT94" i="6"/>
  <c r="AS94" i="6"/>
  <c r="AT93" i="6"/>
  <c r="AS93" i="6"/>
  <c r="AT92" i="6"/>
  <c r="AS92" i="6"/>
  <c r="AT91" i="6"/>
  <c r="AS91" i="6"/>
  <c r="AT90" i="6"/>
  <c r="AS90" i="6"/>
  <c r="AT89" i="6"/>
  <c r="AS89" i="6"/>
  <c r="AT87" i="6"/>
  <c r="AS87" i="6"/>
  <c r="AT86" i="6"/>
  <c r="AS86" i="6"/>
  <c r="AT85" i="6"/>
  <c r="AS85" i="6"/>
  <c r="AT84" i="6"/>
  <c r="AS84" i="6"/>
  <c r="AT83" i="6"/>
  <c r="AS83" i="6"/>
  <c r="AT82" i="6"/>
  <c r="AS82" i="6"/>
  <c r="AT81" i="6"/>
  <c r="AS81" i="6"/>
  <c r="AT77" i="6"/>
  <c r="AS77" i="6"/>
  <c r="AT76" i="6"/>
  <c r="AS76" i="6"/>
  <c r="AT75" i="6"/>
  <c r="AS75" i="6"/>
  <c r="AT74" i="6"/>
  <c r="AS74" i="6"/>
  <c r="AT73" i="6"/>
  <c r="AS73" i="6"/>
  <c r="AT72" i="6"/>
  <c r="AS72" i="6"/>
  <c r="AT71" i="6"/>
  <c r="AS71" i="6"/>
  <c r="AT69" i="6"/>
  <c r="AS69" i="6"/>
  <c r="AT68" i="6"/>
  <c r="AS68" i="6"/>
  <c r="AT67" i="6"/>
  <c r="AS67" i="6"/>
  <c r="AT66" i="6"/>
  <c r="AS66" i="6"/>
  <c r="AT65" i="6"/>
  <c r="AS65" i="6"/>
  <c r="AT64" i="6"/>
  <c r="AS64" i="6"/>
  <c r="AT63" i="6"/>
  <c r="AS63" i="6"/>
  <c r="AT59" i="6"/>
  <c r="AS59" i="6"/>
  <c r="AT58" i="6"/>
  <c r="AS58" i="6"/>
  <c r="AT57" i="6"/>
  <c r="AS57" i="6"/>
  <c r="AT56" i="6"/>
  <c r="AS56" i="6"/>
  <c r="AT55" i="6"/>
  <c r="AS55" i="6"/>
  <c r="AT54" i="6"/>
  <c r="AS54" i="6"/>
  <c r="AT53" i="6"/>
  <c r="AS53" i="6"/>
  <c r="AT51" i="6"/>
  <c r="AS51" i="6"/>
  <c r="AT50" i="6"/>
  <c r="AS50" i="6"/>
  <c r="AT49" i="6"/>
  <c r="AS49" i="6"/>
  <c r="AT48" i="6"/>
  <c r="AS48" i="6"/>
  <c r="AT47" i="6"/>
  <c r="AS47" i="6"/>
  <c r="AT46" i="6"/>
  <c r="AS46" i="6"/>
  <c r="AT45" i="6"/>
  <c r="AS45" i="6"/>
  <c r="AS9" i="6"/>
  <c r="AT9" i="6"/>
  <c r="AS10" i="6"/>
  <c r="AT10" i="6"/>
  <c r="AS11" i="6"/>
  <c r="AT11" i="6"/>
  <c r="AS12" i="6"/>
  <c r="AT12" i="6"/>
  <c r="AS13" i="6"/>
  <c r="AT13" i="6"/>
  <c r="AS14" i="6"/>
  <c r="AT14" i="6"/>
  <c r="AS15" i="6"/>
  <c r="AT15" i="6"/>
  <c r="AS17" i="6"/>
  <c r="AT17" i="6"/>
  <c r="AS18" i="6"/>
  <c r="AT18" i="6"/>
  <c r="AS19" i="6"/>
  <c r="AT19" i="6"/>
  <c r="AS20" i="6"/>
  <c r="AT20" i="6"/>
  <c r="AS21" i="6"/>
  <c r="AT21" i="6"/>
  <c r="AS22" i="6"/>
  <c r="AT22" i="6"/>
  <c r="AS23" i="6"/>
  <c r="AT23" i="6"/>
  <c r="AT41" i="6"/>
  <c r="AS41" i="6"/>
  <c r="AT40" i="6"/>
  <c r="AS40" i="6"/>
  <c r="AT39" i="6"/>
  <c r="AS39" i="6"/>
  <c r="AT38" i="6"/>
  <c r="AS38" i="6"/>
  <c r="AT37" i="6"/>
  <c r="AS37" i="6"/>
  <c r="AT36" i="6"/>
  <c r="AS36" i="6"/>
  <c r="AT35" i="6"/>
  <c r="AS35" i="6"/>
  <c r="AT33" i="6"/>
  <c r="AS33" i="6"/>
  <c r="AT32" i="6"/>
  <c r="AS32" i="6"/>
  <c r="AT31" i="6"/>
  <c r="AS31" i="6"/>
  <c r="AT30" i="6"/>
  <c r="AS30" i="6"/>
  <c r="AT29" i="6"/>
  <c r="AS29" i="6"/>
  <c r="AT28" i="6"/>
  <c r="AS28" i="6"/>
  <c r="AT27" i="6"/>
  <c r="AS27" i="6"/>
  <c r="L16" i="21"/>
  <c r="L173" i="21"/>
  <c r="L172" i="21"/>
  <c r="L171" i="21"/>
  <c r="L170" i="21"/>
  <c r="L169" i="21"/>
  <c r="L168" i="21"/>
  <c r="L167" i="21"/>
  <c r="L165" i="21"/>
  <c r="L164" i="21"/>
  <c r="L163" i="21"/>
  <c r="L162" i="21"/>
  <c r="L161" i="21"/>
  <c r="L160" i="21"/>
  <c r="L159" i="21"/>
  <c r="L343" i="21"/>
  <c r="L342" i="21"/>
  <c r="L341" i="21"/>
  <c r="L340" i="21"/>
  <c r="L339" i="21"/>
  <c r="L338" i="21"/>
  <c r="L337" i="21"/>
  <c r="L335" i="21"/>
  <c r="L334" i="21"/>
  <c r="L333" i="21"/>
  <c r="L332" i="21"/>
  <c r="L331" i="21"/>
  <c r="L330" i="21"/>
  <c r="L329" i="21"/>
  <c r="L326" i="21"/>
  <c r="L325" i="21"/>
  <c r="L324" i="21"/>
  <c r="L323" i="21"/>
  <c r="L322" i="21"/>
  <c r="L321" i="21"/>
  <c r="L320" i="21"/>
  <c r="L318" i="21"/>
  <c r="L317" i="21"/>
  <c r="L316" i="21"/>
  <c r="L315" i="21"/>
  <c r="L314" i="21"/>
  <c r="L313" i="21"/>
  <c r="L312" i="21"/>
  <c r="L309" i="21"/>
  <c r="L308" i="21"/>
  <c r="L307" i="21"/>
  <c r="L306" i="21"/>
  <c r="L305" i="21"/>
  <c r="L304" i="21"/>
  <c r="L303" i="21"/>
  <c r="L301" i="21"/>
  <c r="L300" i="21"/>
  <c r="L299" i="21"/>
  <c r="L298" i="21"/>
  <c r="L297" i="21"/>
  <c r="L296" i="21"/>
  <c r="L295" i="21"/>
  <c r="L292" i="21"/>
  <c r="L291" i="21"/>
  <c r="L290" i="21"/>
  <c r="L289" i="21"/>
  <c r="L288" i="21"/>
  <c r="L287" i="21"/>
  <c r="L286" i="21"/>
  <c r="L284" i="21"/>
  <c r="L283" i="21"/>
  <c r="L282" i="21"/>
  <c r="L281" i="21"/>
  <c r="L280" i="21"/>
  <c r="L279" i="21"/>
  <c r="L278" i="21"/>
  <c r="L275" i="21"/>
  <c r="L274" i="21"/>
  <c r="L273" i="21"/>
  <c r="L272" i="21"/>
  <c r="L271" i="21"/>
  <c r="L270" i="21"/>
  <c r="L269" i="21"/>
  <c r="L267" i="21"/>
  <c r="L266" i="21"/>
  <c r="L265" i="21"/>
  <c r="L264" i="21"/>
  <c r="L263" i="21"/>
  <c r="L262" i="21"/>
  <c r="L261" i="21"/>
  <c r="L258" i="21"/>
  <c r="L257" i="21"/>
  <c r="L256" i="21"/>
  <c r="L255" i="21"/>
  <c r="L254" i="21"/>
  <c r="L253" i="21"/>
  <c r="L252" i="21"/>
  <c r="L250" i="21"/>
  <c r="L249" i="21"/>
  <c r="L248" i="21"/>
  <c r="L247" i="21"/>
  <c r="L246" i="21"/>
  <c r="L245" i="21"/>
  <c r="L244" i="21"/>
  <c r="L241" i="21"/>
  <c r="L240" i="21"/>
  <c r="L239" i="21"/>
  <c r="L238" i="21"/>
  <c r="L237" i="21"/>
  <c r="L236" i="21"/>
  <c r="L235" i="21"/>
  <c r="L233" i="21"/>
  <c r="L232" i="21"/>
  <c r="L231" i="21"/>
  <c r="L230" i="21"/>
  <c r="L229" i="21"/>
  <c r="L228" i="21"/>
  <c r="L227" i="21"/>
  <c r="L224" i="21"/>
  <c r="L223" i="21"/>
  <c r="L222" i="21"/>
  <c r="L221" i="21"/>
  <c r="L220" i="21"/>
  <c r="L219" i="21"/>
  <c r="L218" i="21"/>
  <c r="L216" i="21"/>
  <c r="L215" i="21"/>
  <c r="L214" i="21"/>
  <c r="L213" i="21"/>
  <c r="L212" i="21"/>
  <c r="L211" i="21"/>
  <c r="L210" i="21"/>
  <c r="L207" i="21"/>
  <c r="L206" i="21"/>
  <c r="L205" i="21"/>
  <c r="L204" i="21"/>
  <c r="L203" i="21"/>
  <c r="L202" i="21"/>
  <c r="L201" i="21"/>
  <c r="L199" i="21"/>
  <c r="L198" i="21"/>
  <c r="L197" i="21"/>
  <c r="L196" i="21"/>
  <c r="L195" i="21"/>
  <c r="L194" i="21"/>
  <c r="L193" i="21"/>
  <c r="L190" i="21"/>
  <c r="L189" i="21"/>
  <c r="L188" i="21"/>
  <c r="L187" i="21"/>
  <c r="L186" i="21"/>
  <c r="L185" i="21"/>
  <c r="L184" i="21"/>
  <c r="L182" i="21"/>
  <c r="L181" i="21"/>
  <c r="L180" i="21"/>
  <c r="L179" i="21"/>
  <c r="L178" i="21"/>
  <c r="L177" i="21"/>
  <c r="L176" i="21"/>
  <c r="L156" i="21"/>
  <c r="L155" i="21"/>
  <c r="L154" i="21"/>
  <c r="L153" i="21"/>
  <c r="L152" i="21"/>
  <c r="L151" i="21"/>
  <c r="L150" i="21"/>
  <c r="L148" i="21"/>
  <c r="L147" i="21"/>
  <c r="L146" i="21"/>
  <c r="L145" i="21"/>
  <c r="L144" i="21"/>
  <c r="L143" i="21"/>
  <c r="L142" i="21"/>
  <c r="L139" i="21"/>
  <c r="L138" i="21"/>
  <c r="L137" i="21"/>
  <c r="L136" i="21"/>
  <c r="L135" i="21"/>
  <c r="L134" i="21"/>
  <c r="L133" i="21"/>
  <c r="L131" i="21"/>
  <c r="L130" i="21"/>
  <c r="L129" i="21"/>
  <c r="L128" i="21"/>
  <c r="L127" i="21"/>
  <c r="L126" i="21"/>
  <c r="L125" i="21"/>
  <c r="L122" i="21"/>
  <c r="L121" i="21"/>
  <c r="L120" i="21"/>
  <c r="L119" i="21"/>
  <c r="L118" i="21"/>
  <c r="L117" i="21"/>
  <c r="L116" i="21"/>
  <c r="L114" i="21"/>
  <c r="L113" i="21"/>
  <c r="L112" i="21"/>
  <c r="L111" i="21"/>
  <c r="L110" i="21"/>
  <c r="L109" i="21"/>
  <c r="L108" i="21"/>
  <c r="L105" i="21"/>
  <c r="L104" i="21"/>
  <c r="L103" i="21"/>
  <c r="L102" i="21"/>
  <c r="L101" i="21"/>
  <c r="L100" i="21"/>
  <c r="L99" i="21"/>
  <c r="L97" i="21"/>
  <c r="L96" i="21"/>
  <c r="L95" i="21"/>
  <c r="L94" i="21"/>
  <c r="L93" i="21"/>
  <c r="L92" i="21"/>
  <c r="L91" i="21"/>
  <c r="L88" i="21"/>
  <c r="L87" i="21"/>
  <c r="L86" i="21"/>
  <c r="L85" i="21"/>
  <c r="L84" i="21"/>
  <c r="L83" i="21"/>
  <c r="L82" i="21"/>
  <c r="L80" i="21"/>
  <c r="L79" i="21"/>
  <c r="L78" i="21"/>
  <c r="L77" i="21"/>
  <c r="L76" i="21"/>
  <c r="L75" i="21"/>
  <c r="L74" i="21"/>
  <c r="L71" i="21"/>
  <c r="L70" i="21"/>
  <c r="L69" i="21"/>
  <c r="L68" i="21"/>
  <c r="L67" i="21"/>
  <c r="L66" i="21"/>
  <c r="L65" i="21"/>
  <c r="L63" i="21"/>
  <c r="L62" i="21"/>
  <c r="L61" i="21"/>
  <c r="L60" i="21"/>
  <c r="L59" i="21"/>
  <c r="L58" i="21"/>
  <c r="L57" i="21"/>
  <c r="L54" i="21"/>
  <c r="L53" i="21"/>
  <c r="L52" i="21"/>
  <c r="L51" i="21"/>
  <c r="L50" i="21"/>
  <c r="L49" i="21"/>
  <c r="L48" i="21"/>
  <c r="L46" i="21"/>
  <c r="L45" i="21"/>
  <c r="L44" i="21"/>
  <c r="L43" i="21"/>
  <c r="L42" i="21"/>
  <c r="L41" i="21"/>
  <c r="L40" i="21"/>
  <c r="L37" i="21"/>
  <c r="L36" i="21"/>
  <c r="L35" i="21"/>
  <c r="L34" i="21"/>
  <c r="L33" i="21"/>
  <c r="L32" i="21"/>
  <c r="L31" i="21"/>
  <c r="L29" i="21"/>
  <c r="L28" i="21"/>
  <c r="L27" i="21"/>
  <c r="L26" i="21"/>
  <c r="L25" i="21"/>
  <c r="L24" i="21"/>
  <c r="L23" i="21"/>
  <c r="L20" i="21"/>
  <c r="L19" i="21"/>
  <c r="L18" i="21"/>
  <c r="L17" i="21"/>
  <c r="L15" i="21"/>
  <c r="L14" i="21"/>
  <c r="L12" i="21"/>
  <c r="L11" i="21"/>
  <c r="L10" i="21"/>
  <c r="L9" i="21"/>
  <c r="L8" i="21"/>
  <c r="L7" i="21"/>
  <c r="L6" i="21"/>
  <c r="J343" i="21"/>
  <c r="J342" i="21"/>
  <c r="J341" i="21"/>
  <c r="J340" i="21"/>
  <c r="J339" i="21"/>
  <c r="J338" i="21"/>
  <c r="J337" i="21"/>
  <c r="J335" i="21"/>
  <c r="J334" i="21"/>
  <c r="J333" i="21"/>
  <c r="J332" i="21"/>
  <c r="J331" i="21"/>
  <c r="J330" i="21"/>
  <c r="J329" i="21"/>
  <c r="J326" i="21"/>
  <c r="J325" i="21"/>
  <c r="J324" i="21"/>
  <c r="J323" i="21"/>
  <c r="J322" i="21"/>
  <c r="J321" i="21"/>
  <c r="J320" i="21"/>
  <c r="J318" i="21"/>
  <c r="J317" i="21"/>
  <c r="J316" i="21"/>
  <c r="J315" i="21"/>
  <c r="J314" i="21"/>
  <c r="J313" i="21"/>
  <c r="J312" i="21"/>
  <c r="J309" i="21"/>
  <c r="J308" i="21"/>
  <c r="J307" i="21"/>
  <c r="J306" i="21"/>
  <c r="J305" i="21"/>
  <c r="J304" i="21"/>
  <c r="J303" i="21"/>
  <c r="J301" i="21"/>
  <c r="J300" i="21"/>
  <c r="J299" i="21"/>
  <c r="J298" i="21"/>
  <c r="J297" i="21"/>
  <c r="J296" i="21"/>
  <c r="J295" i="21"/>
  <c r="J292" i="21"/>
  <c r="J291" i="21"/>
  <c r="J290" i="21"/>
  <c r="J289" i="21"/>
  <c r="J288" i="21"/>
  <c r="J287" i="21"/>
  <c r="J286" i="21"/>
  <c r="J284" i="21"/>
  <c r="J283" i="21"/>
  <c r="J282" i="21"/>
  <c r="J281" i="21"/>
  <c r="J280" i="21"/>
  <c r="J279" i="21"/>
  <c r="J278" i="21"/>
  <c r="J275" i="21"/>
  <c r="J274" i="21"/>
  <c r="J273" i="21"/>
  <c r="J272" i="21"/>
  <c r="J271" i="21"/>
  <c r="J270" i="21"/>
  <c r="J269" i="21"/>
  <c r="J267" i="21"/>
  <c r="J266" i="21"/>
  <c r="J265" i="21"/>
  <c r="J264" i="21"/>
  <c r="J263" i="21"/>
  <c r="J262" i="21"/>
  <c r="J261" i="21"/>
  <c r="J258" i="21"/>
  <c r="J257" i="21"/>
  <c r="J256" i="21"/>
  <c r="J255" i="21"/>
  <c r="J254" i="21"/>
  <c r="J253" i="21"/>
  <c r="J252" i="21"/>
  <c r="J250" i="21"/>
  <c r="J249" i="21"/>
  <c r="J248" i="21"/>
  <c r="J247" i="21"/>
  <c r="J246" i="21"/>
  <c r="J245" i="21"/>
  <c r="J244" i="21"/>
  <c r="J241" i="21"/>
  <c r="J240" i="21"/>
  <c r="J239" i="21"/>
  <c r="J238" i="21"/>
  <c r="J237" i="21"/>
  <c r="J236" i="21"/>
  <c r="J235" i="21"/>
  <c r="J233" i="21"/>
  <c r="J232" i="21"/>
  <c r="J231" i="21"/>
  <c r="J230" i="21"/>
  <c r="J229" i="21"/>
  <c r="J228" i="21"/>
  <c r="J227" i="21"/>
  <c r="J224" i="21"/>
  <c r="J223" i="21"/>
  <c r="J222" i="21"/>
  <c r="J221" i="21"/>
  <c r="J220" i="21"/>
  <c r="J219" i="21"/>
  <c r="J218" i="21"/>
  <c r="J216" i="21"/>
  <c r="J215" i="21"/>
  <c r="J214" i="21"/>
  <c r="J213" i="21"/>
  <c r="J212" i="21"/>
  <c r="J211" i="21"/>
  <c r="J210" i="21"/>
  <c r="J207" i="21"/>
  <c r="J206" i="21"/>
  <c r="J205" i="21"/>
  <c r="J204" i="21"/>
  <c r="J203" i="21"/>
  <c r="J202" i="21"/>
  <c r="J201" i="21"/>
  <c r="J194" i="21"/>
  <c r="J195" i="21"/>
  <c r="J196" i="21"/>
  <c r="J197" i="21"/>
  <c r="J198" i="21"/>
  <c r="J199" i="21"/>
  <c r="J193" i="21"/>
  <c r="J190" i="21"/>
  <c r="J189" i="21"/>
  <c r="J188" i="21"/>
  <c r="J187" i="21"/>
  <c r="J186" i="21"/>
  <c r="J185" i="21"/>
  <c r="J184" i="21"/>
  <c r="J182" i="21"/>
  <c r="J181" i="21"/>
  <c r="J180" i="21"/>
  <c r="J179" i="21"/>
  <c r="J178" i="21"/>
  <c r="J177" i="21"/>
  <c r="J176" i="21"/>
  <c r="J173" i="21"/>
  <c r="J172" i="21"/>
  <c r="J171" i="21"/>
  <c r="J170" i="21"/>
  <c r="J169" i="21"/>
  <c r="J168" i="21"/>
  <c r="J167" i="21"/>
  <c r="J165" i="21"/>
  <c r="J164" i="21"/>
  <c r="J163" i="21"/>
  <c r="J162" i="21"/>
  <c r="J161" i="21"/>
  <c r="J160" i="21"/>
  <c r="J159" i="21"/>
  <c r="J156" i="21"/>
  <c r="J155" i="21"/>
  <c r="J154" i="21"/>
  <c r="J153" i="21"/>
  <c r="J152" i="21"/>
  <c r="J151" i="21"/>
  <c r="J150" i="21"/>
  <c r="J148" i="21"/>
  <c r="J147" i="21"/>
  <c r="J146" i="21"/>
  <c r="J145" i="21"/>
  <c r="J144" i="21"/>
  <c r="J143" i="21"/>
  <c r="J142" i="21"/>
  <c r="J139" i="21"/>
  <c r="J138" i="21"/>
  <c r="J137" i="21"/>
  <c r="J136" i="21"/>
  <c r="J135" i="21"/>
  <c r="J134" i="21"/>
  <c r="J133" i="21"/>
  <c r="J131" i="21"/>
  <c r="J130" i="21"/>
  <c r="J129" i="21"/>
  <c r="J128" i="21"/>
  <c r="J127" i="21"/>
  <c r="J126" i="21"/>
  <c r="J125" i="21"/>
  <c r="J122" i="21"/>
  <c r="J121" i="21"/>
  <c r="J120" i="21"/>
  <c r="J119" i="21"/>
  <c r="J118" i="21"/>
  <c r="J117" i="21"/>
  <c r="J116" i="21"/>
  <c r="J114" i="21"/>
  <c r="J113" i="21"/>
  <c r="J112" i="21"/>
  <c r="J111" i="21"/>
  <c r="J110" i="21"/>
  <c r="J109" i="21"/>
  <c r="J108" i="21"/>
  <c r="J105" i="21"/>
  <c r="J104" i="21"/>
  <c r="J103" i="21"/>
  <c r="J102" i="21"/>
  <c r="J101" i="21"/>
  <c r="J100" i="21"/>
  <c r="J99" i="21"/>
  <c r="J97" i="21"/>
  <c r="J96" i="21"/>
  <c r="J95" i="21"/>
  <c r="J94" i="21"/>
  <c r="J93" i="21"/>
  <c r="J92" i="21"/>
  <c r="J91" i="21"/>
  <c r="J88" i="21"/>
  <c r="J87" i="21"/>
  <c r="J86" i="21"/>
  <c r="J85" i="21"/>
  <c r="J84" i="21"/>
  <c r="J83" i="21"/>
  <c r="J82" i="21"/>
  <c r="J80" i="21"/>
  <c r="J79" i="21"/>
  <c r="J78" i="21"/>
  <c r="J77" i="21"/>
  <c r="J76" i="21"/>
  <c r="J75" i="21"/>
  <c r="J74" i="21"/>
  <c r="J71" i="21"/>
  <c r="J70" i="21"/>
  <c r="J69" i="21"/>
  <c r="J68" i="21"/>
  <c r="J67" i="21"/>
  <c r="J66" i="21"/>
  <c r="J65" i="21"/>
  <c r="J63" i="21"/>
  <c r="J62" i="21"/>
  <c r="J61" i="21"/>
  <c r="J60" i="21"/>
  <c r="J59" i="21"/>
  <c r="J58" i="21"/>
  <c r="J57" i="21"/>
  <c r="J54" i="21"/>
  <c r="J53" i="21"/>
  <c r="J52" i="21"/>
  <c r="J51" i="21"/>
  <c r="J50" i="21"/>
  <c r="J49" i="21"/>
  <c r="J48" i="21"/>
  <c r="J46" i="21"/>
  <c r="J45" i="21"/>
  <c r="J44" i="21"/>
  <c r="J43" i="21"/>
  <c r="J42" i="21"/>
  <c r="J41" i="21"/>
  <c r="J40" i="21"/>
  <c r="J37" i="21"/>
  <c r="J36" i="21"/>
  <c r="J35" i="21"/>
  <c r="J34" i="21"/>
  <c r="J33" i="21"/>
  <c r="J32" i="21"/>
  <c r="J31" i="21"/>
  <c r="J29" i="21"/>
  <c r="J28" i="21"/>
  <c r="J27" i="21"/>
  <c r="J26" i="21"/>
  <c r="J25" i="21"/>
  <c r="J24" i="21"/>
  <c r="J23" i="21"/>
  <c r="J7" i="21"/>
  <c r="J8" i="21"/>
  <c r="J9" i="21"/>
  <c r="J10" i="21"/>
  <c r="J11" i="21"/>
  <c r="J12" i="21"/>
  <c r="J14" i="21"/>
  <c r="J15" i="21"/>
  <c r="J16" i="21"/>
  <c r="J17" i="21"/>
  <c r="J18" i="21"/>
  <c r="J19" i="21"/>
  <c r="J20" i="21"/>
  <c r="C6" i="8"/>
  <c r="C9" i="8" l="1"/>
  <c r="C8" i="8"/>
  <c r="AD365" i="6"/>
  <c r="AD364" i="6"/>
  <c r="AD363" i="6"/>
  <c r="AD362" i="6"/>
  <c r="AD361" i="6"/>
  <c r="AD360" i="6"/>
  <c r="AD359" i="6"/>
  <c r="AD357" i="6"/>
  <c r="AD356" i="6"/>
  <c r="AD355" i="6"/>
  <c r="AD354" i="6"/>
  <c r="AD353" i="6"/>
  <c r="AD352" i="6"/>
  <c r="AD351" i="6"/>
  <c r="AD347" i="6"/>
  <c r="AD346" i="6"/>
  <c r="AD345" i="6"/>
  <c r="AD344" i="6"/>
  <c r="AD343" i="6"/>
  <c r="AD342" i="6"/>
  <c r="AD341" i="6"/>
  <c r="AD339" i="6"/>
  <c r="AD338" i="6"/>
  <c r="AD337" i="6"/>
  <c r="AD336" i="6"/>
  <c r="AD335" i="6"/>
  <c r="AD334" i="6"/>
  <c r="AD333" i="6"/>
  <c r="AD329" i="6"/>
  <c r="AD328" i="6"/>
  <c r="AD327" i="6"/>
  <c r="AD326" i="6"/>
  <c r="AD325" i="6"/>
  <c r="AD324" i="6"/>
  <c r="AD323" i="6"/>
  <c r="AD321" i="6"/>
  <c r="AD320" i="6"/>
  <c r="AD319" i="6"/>
  <c r="AD318" i="6"/>
  <c r="AD317" i="6"/>
  <c r="AD316" i="6"/>
  <c r="AD315" i="6"/>
  <c r="AD311" i="6"/>
  <c r="AD310" i="6"/>
  <c r="AD309" i="6"/>
  <c r="AD308" i="6"/>
  <c r="AD307" i="6"/>
  <c r="AD306" i="6"/>
  <c r="AD305" i="6"/>
  <c r="AD303" i="6"/>
  <c r="AD302" i="6"/>
  <c r="AD301" i="6"/>
  <c r="AD300" i="6"/>
  <c r="AD299" i="6"/>
  <c r="AD298" i="6"/>
  <c r="AD297" i="6"/>
  <c r="AD293" i="6"/>
  <c r="AD292" i="6"/>
  <c r="AD291" i="6"/>
  <c r="AD290" i="6"/>
  <c r="AD289" i="6"/>
  <c r="AD288" i="6"/>
  <c r="AD287" i="6"/>
  <c r="AD285" i="6"/>
  <c r="AD284" i="6"/>
  <c r="AD283" i="6"/>
  <c r="AD282" i="6"/>
  <c r="AD281" i="6"/>
  <c r="AD280" i="6"/>
  <c r="AD279" i="6"/>
  <c r="AD275" i="6"/>
  <c r="AD274" i="6"/>
  <c r="AD273" i="6"/>
  <c r="AD272" i="6"/>
  <c r="AD271" i="6"/>
  <c r="AD270" i="6"/>
  <c r="AD269" i="6"/>
  <c r="AD267" i="6"/>
  <c r="AD266" i="6"/>
  <c r="AD265" i="6"/>
  <c r="AD264" i="6"/>
  <c r="AD263" i="6"/>
  <c r="AD262" i="6"/>
  <c r="AD261" i="6"/>
  <c r="AD257" i="6"/>
  <c r="AD256" i="6"/>
  <c r="AD255" i="6"/>
  <c r="AD254" i="6"/>
  <c r="AD253" i="6"/>
  <c r="AD252" i="6"/>
  <c r="AD251" i="6"/>
  <c r="AD249" i="6"/>
  <c r="AD248" i="6"/>
  <c r="AD247" i="6"/>
  <c r="AD246" i="6"/>
  <c r="AD245" i="6"/>
  <c r="AD244" i="6"/>
  <c r="AD243" i="6"/>
  <c r="AD239" i="6"/>
  <c r="AD238" i="6"/>
  <c r="AD237" i="6"/>
  <c r="AD236" i="6"/>
  <c r="AD235" i="6"/>
  <c r="AD234" i="6"/>
  <c r="AD233" i="6"/>
  <c r="AD231" i="6"/>
  <c r="AD230" i="6"/>
  <c r="AD229" i="6"/>
  <c r="AD228" i="6"/>
  <c r="AD227" i="6"/>
  <c r="AD226" i="6"/>
  <c r="AD225" i="6"/>
  <c r="AD221" i="6"/>
  <c r="AD220" i="6"/>
  <c r="AD219" i="6"/>
  <c r="AD218" i="6"/>
  <c r="AD217" i="6"/>
  <c r="AD216" i="6"/>
  <c r="AD215" i="6"/>
  <c r="AD213" i="6"/>
  <c r="AD212" i="6"/>
  <c r="AD211" i="6"/>
  <c r="AD210" i="6"/>
  <c r="AD209" i="6"/>
  <c r="AD208" i="6"/>
  <c r="AD207" i="6"/>
  <c r="AD203" i="6"/>
  <c r="AD202" i="6"/>
  <c r="AD201" i="6"/>
  <c r="AD200" i="6"/>
  <c r="AD199" i="6"/>
  <c r="AD198" i="6"/>
  <c r="AD197" i="6"/>
  <c r="AD195" i="6"/>
  <c r="AD194" i="6"/>
  <c r="AD193" i="6"/>
  <c r="AD192" i="6"/>
  <c r="AD191" i="6"/>
  <c r="AD190" i="6"/>
  <c r="AD189" i="6"/>
  <c r="AD185" i="6"/>
  <c r="AD184" i="6"/>
  <c r="AD183" i="6"/>
  <c r="AD182" i="6"/>
  <c r="AD181" i="6"/>
  <c r="AD180" i="6"/>
  <c r="AD179" i="6"/>
  <c r="AD177" i="6"/>
  <c r="AD176" i="6"/>
  <c r="AD175" i="6"/>
  <c r="AD174" i="6"/>
  <c r="AD173" i="6"/>
  <c r="AD172" i="6"/>
  <c r="AD171" i="6"/>
  <c r="AD167" i="6"/>
  <c r="AD166" i="6"/>
  <c r="AD165" i="6"/>
  <c r="AD164" i="6"/>
  <c r="AD163" i="6"/>
  <c r="AD162" i="6"/>
  <c r="AD161" i="6"/>
  <c r="AD159" i="6"/>
  <c r="AD158" i="6"/>
  <c r="AD157" i="6"/>
  <c r="AD156" i="6"/>
  <c r="AD155" i="6"/>
  <c r="AD154" i="6"/>
  <c r="AD153" i="6"/>
  <c r="AD149" i="6"/>
  <c r="AD148" i="6"/>
  <c r="AD147" i="6"/>
  <c r="AD146" i="6"/>
  <c r="AD145" i="6"/>
  <c r="AD144" i="6"/>
  <c r="AD143" i="6"/>
  <c r="AD141" i="6"/>
  <c r="AD140" i="6"/>
  <c r="AD139" i="6"/>
  <c r="AD138" i="6"/>
  <c r="AD137" i="6"/>
  <c r="AD136" i="6"/>
  <c r="AD135" i="6"/>
  <c r="AD131" i="6"/>
  <c r="AD130" i="6"/>
  <c r="AD129" i="6"/>
  <c r="AD128" i="6"/>
  <c r="AD127" i="6"/>
  <c r="AD126" i="6"/>
  <c r="AD125" i="6"/>
  <c r="AD123" i="6"/>
  <c r="AD122" i="6"/>
  <c r="AD121" i="6"/>
  <c r="AD120" i="6"/>
  <c r="AD119" i="6"/>
  <c r="AD118" i="6"/>
  <c r="AD117" i="6"/>
  <c r="AD113" i="6"/>
  <c r="AD112" i="6"/>
  <c r="AD111" i="6"/>
  <c r="AD110" i="6"/>
  <c r="AD109" i="6"/>
  <c r="AD108" i="6"/>
  <c r="AD107" i="6"/>
  <c r="AD105" i="6"/>
  <c r="AD104" i="6"/>
  <c r="AD103" i="6"/>
  <c r="AD102" i="6"/>
  <c r="AD101" i="6"/>
  <c r="AD100" i="6"/>
  <c r="AD99" i="6"/>
  <c r="AD95" i="6"/>
  <c r="AD94" i="6"/>
  <c r="AD93" i="6"/>
  <c r="AD92" i="6"/>
  <c r="AD91" i="6"/>
  <c r="AD90" i="6"/>
  <c r="AD89" i="6"/>
  <c r="AD87" i="6"/>
  <c r="AD86" i="6"/>
  <c r="AD85" i="6"/>
  <c r="AD84" i="6"/>
  <c r="AD83" i="6"/>
  <c r="AD82" i="6"/>
  <c r="AD81" i="6"/>
  <c r="AD77" i="6"/>
  <c r="AD76" i="6"/>
  <c r="AD75" i="6"/>
  <c r="AD74" i="6"/>
  <c r="AD73" i="6"/>
  <c r="AD72" i="6"/>
  <c r="AD71" i="6"/>
  <c r="AD69" i="6"/>
  <c r="AD68" i="6"/>
  <c r="AD67" i="6"/>
  <c r="AD66" i="6"/>
  <c r="AD65" i="6"/>
  <c r="AD64" i="6"/>
  <c r="AD63" i="6"/>
  <c r="AD59" i="6"/>
  <c r="AD58" i="6"/>
  <c r="AD57" i="6"/>
  <c r="AD56" i="6"/>
  <c r="AD55" i="6"/>
  <c r="AD54" i="6"/>
  <c r="AD53" i="6"/>
  <c r="AD51" i="6"/>
  <c r="AD50" i="6"/>
  <c r="AD49" i="6"/>
  <c r="AD48" i="6"/>
  <c r="AD47" i="6"/>
  <c r="AD46" i="6"/>
  <c r="AD45" i="6"/>
  <c r="AD41" i="6"/>
  <c r="AD40" i="6"/>
  <c r="AD39" i="6"/>
  <c r="AD38" i="6"/>
  <c r="AD37" i="6"/>
  <c r="AD36" i="6"/>
  <c r="AD35" i="6"/>
  <c r="AD33" i="6"/>
  <c r="AD32" i="6"/>
  <c r="AD31" i="6"/>
  <c r="AD30" i="6"/>
  <c r="AD29" i="6"/>
  <c r="AD28" i="6"/>
  <c r="AD27" i="6"/>
  <c r="AD23" i="6"/>
  <c r="AD22" i="6"/>
  <c r="AD21" i="6"/>
  <c r="AD20" i="6"/>
  <c r="AD19" i="6"/>
  <c r="AD18" i="6"/>
  <c r="AD17" i="6"/>
  <c r="AD15" i="6"/>
  <c r="AD14" i="6"/>
  <c r="AD13" i="6"/>
  <c r="AD12" i="6"/>
  <c r="AD11" i="6"/>
  <c r="AD10" i="6"/>
  <c r="AD9" i="6"/>
  <c r="P365" i="6"/>
  <c r="P364" i="6"/>
  <c r="P363" i="6"/>
  <c r="P362" i="6"/>
  <c r="P361" i="6"/>
  <c r="P360" i="6"/>
  <c r="P359" i="6"/>
  <c r="P357" i="6"/>
  <c r="P356" i="6"/>
  <c r="P355" i="6"/>
  <c r="P354" i="6"/>
  <c r="P353" i="6"/>
  <c r="P352" i="6"/>
  <c r="P351" i="6"/>
  <c r="P347" i="6"/>
  <c r="P346" i="6"/>
  <c r="P345" i="6"/>
  <c r="P344" i="6"/>
  <c r="P343" i="6"/>
  <c r="P342" i="6"/>
  <c r="P341" i="6"/>
  <c r="P339" i="6"/>
  <c r="P338" i="6"/>
  <c r="P337" i="6"/>
  <c r="P336" i="6"/>
  <c r="P335" i="6"/>
  <c r="P334" i="6"/>
  <c r="P333" i="6"/>
  <c r="P329" i="6"/>
  <c r="P328" i="6"/>
  <c r="P327" i="6"/>
  <c r="P326" i="6"/>
  <c r="P325" i="6"/>
  <c r="P324" i="6"/>
  <c r="P323" i="6"/>
  <c r="P321" i="6"/>
  <c r="P320" i="6"/>
  <c r="P319" i="6"/>
  <c r="P318" i="6"/>
  <c r="P317" i="6"/>
  <c r="P316" i="6"/>
  <c r="P315" i="6"/>
  <c r="P311" i="6"/>
  <c r="P310" i="6"/>
  <c r="P309" i="6"/>
  <c r="P308" i="6"/>
  <c r="P307" i="6"/>
  <c r="P306" i="6"/>
  <c r="P305" i="6"/>
  <c r="P303" i="6"/>
  <c r="P302" i="6"/>
  <c r="P301" i="6"/>
  <c r="P300" i="6"/>
  <c r="P299" i="6"/>
  <c r="P298" i="6"/>
  <c r="P297" i="6"/>
  <c r="P293" i="6"/>
  <c r="P292" i="6"/>
  <c r="P291" i="6"/>
  <c r="P290" i="6"/>
  <c r="P289" i="6"/>
  <c r="P288" i="6"/>
  <c r="P287" i="6"/>
  <c r="P285" i="6"/>
  <c r="P284" i="6"/>
  <c r="P283" i="6"/>
  <c r="P282" i="6"/>
  <c r="P281" i="6"/>
  <c r="P280" i="6"/>
  <c r="P279" i="6"/>
  <c r="P275" i="6"/>
  <c r="P274" i="6"/>
  <c r="P273" i="6"/>
  <c r="P272" i="6"/>
  <c r="P271" i="6"/>
  <c r="P270" i="6"/>
  <c r="P269" i="6"/>
  <c r="P267" i="6"/>
  <c r="P266" i="6"/>
  <c r="P265" i="6"/>
  <c r="P264" i="6"/>
  <c r="P263" i="6"/>
  <c r="P262" i="6"/>
  <c r="P261" i="6"/>
  <c r="P257" i="6"/>
  <c r="P256" i="6"/>
  <c r="P255" i="6"/>
  <c r="P254" i="6"/>
  <c r="P253" i="6"/>
  <c r="P252" i="6"/>
  <c r="P251" i="6"/>
  <c r="P249" i="6"/>
  <c r="P248" i="6"/>
  <c r="P247" i="6"/>
  <c r="P246" i="6"/>
  <c r="P245" i="6"/>
  <c r="P244" i="6"/>
  <c r="P243" i="6"/>
  <c r="P239" i="6"/>
  <c r="P238" i="6"/>
  <c r="P237" i="6"/>
  <c r="P236" i="6"/>
  <c r="P235" i="6"/>
  <c r="P234" i="6"/>
  <c r="P233" i="6"/>
  <c r="P231" i="6"/>
  <c r="P230" i="6"/>
  <c r="P229" i="6"/>
  <c r="P228" i="6"/>
  <c r="P227" i="6"/>
  <c r="P226" i="6"/>
  <c r="P225" i="6"/>
  <c r="P221" i="6"/>
  <c r="P220" i="6"/>
  <c r="P219" i="6"/>
  <c r="P218" i="6"/>
  <c r="P217" i="6"/>
  <c r="P216" i="6"/>
  <c r="P215" i="6"/>
  <c r="P213" i="6"/>
  <c r="P212" i="6"/>
  <c r="P211" i="6"/>
  <c r="P210" i="6"/>
  <c r="P209" i="6"/>
  <c r="P208" i="6"/>
  <c r="P207" i="6"/>
  <c r="P203" i="6"/>
  <c r="P202" i="6"/>
  <c r="P201" i="6"/>
  <c r="P200" i="6"/>
  <c r="P199" i="6"/>
  <c r="P198" i="6"/>
  <c r="P197" i="6"/>
  <c r="P195" i="6"/>
  <c r="P194" i="6"/>
  <c r="P193" i="6"/>
  <c r="P192" i="6"/>
  <c r="P191" i="6"/>
  <c r="P190" i="6"/>
  <c r="P189" i="6"/>
  <c r="P185" i="6"/>
  <c r="P184" i="6"/>
  <c r="P183" i="6"/>
  <c r="P182" i="6"/>
  <c r="P181" i="6"/>
  <c r="P180" i="6"/>
  <c r="P179" i="6"/>
  <c r="P177" i="6"/>
  <c r="P176" i="6"/>
  <c r="P175" i="6"/>
  <c r="P174" i="6"/>
  <c r="P173" i="6"/>
  <c r="P172" i="6"/>
  <c r="P171" i="6"/>
  <c r="P167" i="6"/>
  <c r="P166" i="6"/>
  <c r="P165" i="6"/>
  <c r="P164" i="6"/>
  <c r="P163" i="6"/>
  <c r="P162" i="6"/>
  <c r="P161" i="6"/>
  <c r="P159" i="6"/>
  <c r="P158" i="6"/>
  <c r="P157" i="6"/>
  <c r="P156" i="6"/>
  <c r="P155" i="6"/>
  <c r="P154" i="6"/>
  <c r="P153" i="6"/>
  <c r="P149" i="6"/>
  <c r="P148" i="6"/>
  <c r="P147" i="6"/>
  <c r="P146" i="6"/>
  <c r="P145" i="6"/>
  <c r="P144" i="6"/>
  <c r="P143" i="6"/>
  <c r="P141" i="6"/>
  <c r="P140" i="6"/>
  <c r="P139" i="6"/>
  <c r="P138" i="6"/>
  <c r="P137" i="6"/>
  <c r="P136" i="6"/>
  <c r="P135" i="6"/>
  <c r="P131" i="6"/>
  <c r="P130" i="6"/>
  <c r="P129" i="6"/>
  <c r="P128" i="6"/>
  <c r="P127" i="6"/>
  <c r="P126" i="6"/>
  <c r="P125" i="6"/>
  <c r="P123" i="6"/>
  <c r="P122" i="6"/>
  <c r="P121" i="6"/>
  <c r="P120" i="6"/>
  <c r="P119" i="6"/>
  <c r="P118" i="6"/>
  <c r="P117" i="6"/>
  <c r="P113" i="6"/>
  <c r="P112" i="6"/>
  <c r="P111" i="6"/>
  <c r="P110" i="6"/>
  <c r="P109" i="6"/>
  <c r="P108" i="6"/>
  <c r="P107" i="6"/>
  <c r="P105" i="6"/>
  <c r="P104" i="6"/>
  <c r="P103" i="6"/>
  <c r="P102" i="6"/>
  <c r="P101" i="6"/>
  <c r="P100" i="6"/>
  <c r="P99" i="6"/>
  <c r="P95" i="6"/>
  <c r="P94" i="6"/>
  <c r="P93" i="6"/>
  <c r="P92" i="6"/>
  <c r="P91" i="6"/>
  <c r="P90" i="6"/>
  <c r="P89" i="6"/>
  <c r="P87" i="6"/>
  <c r="P86" i="6"/>
  <c r="P85" i="6"/>
  <c r="P84" i="6"/>
  <c r="P83" i="6"/>
  <c r="P82" i="6"/>
  <c r="P81" i="6"/>
  <c r="P77" i="6"/>
  <c r="P76" i="6"/>
  <c r="P75" i="6"/>
  <c r="P74" i="6"/>
  <c r="P73" i="6"/>
  <c r="P72" i="6"/>
  <c r="P71" i="6"/>
  <c r="P69" i="6"/>
  <c r="P68" i="6"/>
  <c r="P67" i="6"/>
  <c r="P66" i="6"/>
  <c r="P65" i="6"/>
  <c r="P64" i="6"/>
  <c r="P63" i="6"/>
  <c r="P59" i="6"/>
  <c r="P58" i="6"/>
  <c r="P57" i="6"/>
  <c r="P56" i="6"/>
  <c r="P55" i="6"/>
  <c r="P54" i="6"/>
  <c r="P53" i="6"/>
  <c r="P51" i="6"/>
  <c r="P50" i="6"/>
  <c r="P49" i="6"/>
  <c r="P48" i="6"/>
  <c r="P47" i="6"/>
  <c r="P46" i="6"/>
  <c r="P45" i="6"/>
  <c r="P41" i="6"/>
  <c r="P40" i="6"/>
  <c r="P39" i="6"/>
  <c r="P38" i="6"/>
  <c r="P37" i="6"/>
  <c r="P36" i="6"/>
  <c r="P35" i="6"/>
  <c r="P33" i="6"/>
  <c r="P32" i="6"/>
  <c r="P31" i="6"/>
  <c r="P30" i="6"/>
  <c r="P29" i="6"/>
  <c r="P28" i="6"/>
  <c r="P27" i="6"/>
  <c r="P23" i="6"/>
  <c r="P22" i="6"/>
  <c r="P21" i="6"/>
  <c r="P20" i="6"/>
  <c r="P19" i="6"/>
  <c r="P18" i="6"/>
  <c r="P17" i="6"/>
  <c r="P15" i="6"/>
  <c r="P14" i="6"/>
  <c r="P13" i="6"/>
  <c r="P12" i="6"/>
  <c r="P11" i="6"/>
  <c r="P10" i="6"/>
  <c r="P9" i="6"/>
  <c r="A7" i="21" l="1"/>
  <c r="A8" i="21"/>
  <c r="A9" i="21"/>
  <c r="A10" i="21"/>
  <c r="A11" i="21"/>
  <c r="A12" i="21"/>
  <c r="A14" i="21"/>
  <c r="A15" i="21"/>
  <c r="A16" i="21"/>
  <c r="A17" i="21"/>
  <c r="A18" i="21"/>
  <c r="A19" i="21"/>
  <c r="A20" i="21"/>
  <c r="A23" i="21"/>
  <c r="A24" i="21"/>
  <c r="A25" i="21"/>
  <c r="A26" i="21"/>
  <c r="A27" i="21"/>
  <c r="A28" i="21"/>
  <c r="A29" i="21"/>
  <c r="A31" i="21"/>
  <c r="A32" i="21"/>
  <c r="A33" i="21"/>
  <c r="A34" i="21"/>
  <c r="A35" i="21"/>
  <c r="A36" i="21"/>
  <c r="A37" i="21"/>
  <c r="A40" i="21"/>
  <c r="A41" i="21"/>
  <c r="A42" i="21"/>
  <c r="A43" i="21"/>
  <c r="A44" i="21"/>
  <c r="A45" i="21"/>
  <c r="A46" i="21"/>
  <c r="A48" i="21"/>
  <c r="A49" i="21"/>
  <c r="A50" i="21"/>
  <c r="A51" i="21"/>
  <c r="A52" i="21"/>
  <c r="A53" i="21"/>
  <c r="A54" i="21"/>
  <c r="A57" i="21"/>
  <c r="A58" i="21"/>
  <c r="A59" i="21"/>
  <c r="A60" i="21"/>
  <c r="A61" i="21"/>
  <c r="A62" i="21"/>
  <c r="A63" i="21"/>
  <c r="A65" i="21"/>
  <c r="A66" i="21"/>
  <c r="A67" i="21"/>
  <c r="A68" i="21"/>
  <c r="A69" i="21"/>
  <c r="A70" i="21"/>
  <c r="A71" i="21"/>
  <c r="A74" i="21"/>
  <c r="A75" i="21"/>
  <c r="A76" i="21"/>
  <c r="A77" i="21"/>
  <c r="A78" i="21"/>
  <c r="A79" i="21"/>
  <c r="A80" i="21"/>
  <c r="A82" i="21"/>
  <c r="A83" i="21"/>
  <c r="A84" i="21"/>
  <c r="A85" i="21"/>
  <c r="A86" i="21"/>
  <c r="A87" i="21"/>
  <c r="A88" i="21"/>
  <c r="A91" i="21"/>
  <c r="A92" i="21"/>
  <c r="A93" i="21"/>
  <c r="A94" i="21"/>
  <c r="A95" i="21"/>
  <c r="A96" i="21"/>
  <c r="A97" i="21"/>
  <c r="A99" i="21"/>
  <c r="A100" i="21"/>
  <c r="A101" i="21"/>
  <c r="A102" i="21"/>
  <c r="A103" i="21"/>
  <c r="A104" i="21"/>
  <c r="A105" i="21"/>
  <c r="A108" i="21"/>
  <c r="A109" i="21"/>
  <c r="A110" i="21"/>
  <c r="A111" i="21"/>
  <c r="A112" i="21"/>
  <c r="A113" i="21"/>
  <c r="A114" i="21"/>
  <c r="A116" i="21"/>
  <c r="A117" i="21"/>
  <c r="A118" i="21"/>
  <c r="A119" i="21"/>
  <c r="A120" i="21"/>
  <c r="A121" i="21"/>
  <c r="A122" i="21"/>
  <c r="A125" i="21"/>
  <c r="A126" i="21"/>
  <c r="A127" i="21"/>
  <c r="A128" i="21"/>
  <c r="A129" i="21"/>
  <c r="A130" i="21"/>
  <c r="A131" i="21"/>
  <c r="A133" i="21"/>
  <c r="A134" i="21"/>
  <c r="A135" i="21"/>
  <c r="A136" i="21"/>
  <c r="A137" i="21"/>
  <c r="A138" i="21"/>
  <c r="A139" i="21"/>
  <c r="A142" i="21"/>
  <c r="A143" i="21"/>
  <c r="A144" i="21"/>
  <c r="A145" i="21"/>
  <c r="A146" i="21"/>
  <c r="A147" i="21"/>
  <c r="A148" i="21"/>
  <c r="A150" i="21"/>
  <c r="A151" i="21"/>
  <c r="A152" i="21"/>
  <c r="A153" i="21"/>
  <c r="A154" i="21"/>
  <c r="A155" i="21"/>
  <c r="A156" i="21"/>
  <c r="A159" i="21"/>
  <c r="A160" i="21"/>
  <c r="A161" i="21"/>
  <c r="A162" i="21"/>
  <c r="A163" i="21"/>
  <c r="A164" i="21"/>
  <c r="A165" i="21"/>
  <c r="A167" i="21"/>
  <c r="A168" i="21"/>
  <c r="A169" i="21"/>
  <c r="A170" i="21"/>
  <c r="A171" i="21"/>
  <c r="A172" i="21"/>
  <c r="A173" i="21"/>
  <c r="A176" i="21"/>
  <c r="A177" i="21"/>
  <c r="A178" i="21"/>
  <c r="A179" i="21"/>
  <c r="A180" i="21"/>
  <c r="A181" i="21"/>
  <c r="A182" i="21"/>
  <c r="A184" i="21"/>
  <c r="A185" i="21"/>
  <c r="A186" i="21"/>
  <c r="A187" i="21"/>
  <c r="A188" i="21"/>
  <c r="A189" i="21"/>
  <c r="A190" i="21"/>
  <c r="A193" i="21"/>
  <c r="A194" i="21"/>
  <c r="A195" i="21"/>
  <c r="A196" i="21"/>
  <c r="A197" i="21"/>
  <c r="A198" i="21"/>
  <c r="A199" i="21"/>
  <c r="A201" i="21"/>
  <c r="A202" i="21"/>
  <c r="A203" i="21"/>
  <c r="A204" i="21"/>
  <c r="A205" i="21"/>
  <c r="A206" i="21"/>
  <c r="A207" i="21"/>
  <c r="A210" i="21"/>
  <c r="A211" i="21"/>
  <c r="A212" i="21"/>
  <c r="A213" i="21"/>
  <c r="A214" i="21"/>
  <c r="A215" i="21"/>
  <c r="A216" i="21"/>
  <c r="A218" i="21"/>
  <c r="A219" i="21"/>
  <c r="A220" i="21"/>
  <c r="A221" i="21"/>
  <c r="A222" i="21"/>
  <c r="A223" i="21"/>
  <c r="A224" i="21"/>
  <c r="A227" i="21"/>
  <c r="A228" i="21"/>
  <c r="A229" i="21"/>
  <c r="A230" i="21"/>
  <c r="A231" i="21"/>
  <c r="A232" i="21"/>
  <c r="A233" i="21"/>
  <c r="A235" i="21"/>
  <c r="A236" i="21"/>
  <c r="A237" i="21"/>
  <c r="A238" i="21"/>
  <c r="A239" i="21"/>
  <c r="A240" i="21"/>
  <c r="A241" i="21"/>
  <c r="A244" i="21"/>
  <c r="A245" i="21"/>
  <c r="A246" i="21"/>
  <c r="A247" i="21"/>
  <c r="A248" i="21"/>
  <c r="A249" i="21"/>
  <c r="A250" i="21"/>
  <c r="A252" i="21"/>
  <c r="A253" i="21"/>
  <c r="A254" i="21"/>
  <c r="A255" i="21"/>
  <c r="A256" i="21"/>
  <c r="A257" i="21"/>
  <c r="A258" i="21"/>
  <c r="A261" i="21"/>
  <c r="A262" i="21"/>
  <c r="A263" i="21"/>
  <c r="A264" i="21"/>
  <c r="A265" i="21"/>
  <c r="A266" i="21"/>
  <c r="A267" i="21"/>
  <c r="A269" i="21"/>
  <c r="A270" i="21"/>
  <c r="A271" i="21"/>
  <c r="A272" i="21"/>
  <c r="A273" i="21"/>
  <c r="A274" i="21"/>
  <c r="A275" i="21"/>
  <c r="A278" i="21"/>
  <c r="A279" i="21"/>
  <c r="A280" i="21"/>
  <c r="A281" i="21"/>
  <c r="A282" i="21"/>
  <c r="A283" i="21"/>
  <c r="A284" i="21"/>
  <c r="A286" i="21"/>
  <c r="A287" i="21"/>
  <c r="A288" i="21"/>
  <c r="A289" i="21"/>
  <c r="A290" i="21"/>
  <c r="A291" i="21"/>
  <c r="A292" i="21"/>
  <c r="A295" i="21"/>
  <c r="A296" i="21"/>
  <c r="A297" i="21"/>
  <c r="A298" i="21"/>
  <c r="A299" i="21"/>
  <c r="A300" i="21"/>
  <c r="A301" i="21"/>
  <c r="A303" i="21"/>
  <c r="A304" i="21"/>
  <c r="A305" i="21"/>
  <c r="A306" i="21"/>
  <c r="A307" i="21"/>
  <c r="A308" i="21"/>
  <c r="A309" i="21"/>
  <c r="A312" i="21"/>
  <c r="A313" i="21"/>
  <c r="A314" i="21"/>
  <c r="A315" i="21"/>
  <c r="A316" i="21"/>
  <c r="A317" i="21"/>
  <c r="A318" i="21"/>
  <c r="A320" i="21"/>
  <c r="A321" i="21"/>
  <c r="A322" i="21"/>
  <c r="A323" i="21"/>
  <c r="A324" i="21"/>
  <c r="A325" i="21"/>
  <c r="A326" i="21"/>
  <c r="A329" i="21"/>
  <c r="A330" i="21"/>
  <c r="A331" i="21"/>
  <c r="A332" i="21"/>
  <c r="A333" i="21"/>
  <c r="A334" i="21"/>
  <c r="A335" i="21"/>
  <c r="A337" i="21"/>
  <c r="A338" i="21"/>
  <c r="A339" i="21"/>
  <c r="A340" i="21"/>
  <c r="A341" i="21"/>
  <c r="A342" i="21"/>
  <c r="A343" i="21"/>
  <c r="A6" i="21"/>
  <c r="AE9" i="6" l="1"/>
  <c r="C401" i="7"/>
  <c r="C400" i="7"/>
  <c r="C399" i="7"/>
  <c r="C398" i="7"/>
  <c r="C397" i="7"/>
  <c r="C396" i="7"/>
  <c r="C395" i="7"/>
  <c r="B580" i="2"/>
  <c r="B582" i="2"/>
  <c r="B581" i="2"/>
  <c r="B578" i="2"/>
  <c r="B579" i="2"/>
  <c r="B572" i="2"/>
  <c r="B573" i="2"/>
  <c r="B574" i="2"/>
  <c r="B575" i="2"/>
  <c r="B576" i="2"/>
  <c r="B577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R3" i="6"/>
  <c r="F180" i="6" s="1"/>
  <c r="N180" i="6" s="1"/>
  <c r="G168" i="21" s="1"/>
  <c r="R2" i="6"/>
  <c r="K81" i="15"/>
  <c r="J81" i="15"/>
  <c r="K80" i="15"/>
  <c r="J80" i="15"/>
  <c r="K79" i="15"/>
  <c r="J79" i="15"/>
  <c r="K78" i="15"/>
  <c r="J78" i="15"/>
  <c r="K77" i="15"/>
  <c r="J77" i="15"/>
  <c r="K76" i="15"/>
  <c r="J76" i="15"/>
  <c r="J82" i="15" s="1"/>
  <c r="K75" i="15"/>
  <c r="K83" i="15" s="1"/>
  <c r="J75" i="15"/>
  <c r="J83" i="15"/>
  <c r="K65" i="15"/>
  <c r="J65" i="15"/>
  <c r="K64" i="15"/>
  <c r="J64" i="15"/>
  <c r="K63" i="15"/>
  <c r="J63" i="15"/>
  <c r="K62" i="15"/>
  <c r="J62" i="15"/>
  <c r="K61" i="15"/>
  <c r="J61" i="15"/>
  <c r="K60" i="15"/>
  <c r="J60" i="15"/>
  <c r="J67" i="15" s="1"/>
  <c r="K59" i="15"/>
  <c r="K67" i="15" s="1"/>
  <c r="J59" i="15"/>
  <c r="J66" i="15"/>
  <c r="H39" i="15"/>
  <c r="J40" i="15" s="1"/>
  <c r="K40" i="15" s="1"/>
  <c r="H38" i="15"/>
  <c r="I31" i="15"/>
  <c r="I30" i="15"/>
  <c r="I29" i="15"/>
  <c r="I28" i="15"/>
  <c r="I27" i="15"/>
  <c r="I26" i="15"/>
  <c r="I25" i="15"/>
  <c r="I24" i="15"/>
  <c r="I23" i="15"/>
  <c r="I22" i="15"/>
  <c r="I21" i="15"/>
  <c r="K82" i="15"/>
  <c r="Z491" i="2"/>
  <c r="Z495" i="2"/>
  <c r="Z494" i="2"/>
  <c r="Z490" i="2"/>
  <c r="Z489" i="2"/>
  <c r="Z488" i="2"/>
  <c r="K553" i="2"/>
  <c r="J553" i="2"/>
  <c r="I553" i="2"/>
  <c r="K552" i="2"/>
  <c r="J552" i="2"/>
  <c r="I552" i="2"/>
  <c r="K551" i="2"/>
  <c r="J551" i="2"/>
  <c r="I551" i="2"/>
  <c r="W550" i="2"/>
  <c r="O549" i="2"/>
  <c r="K550" i="2"/>
  <c r="J550" i="2"/>
  <c r="I550" i="2"/>
  <c r="K546" i="2"/>
  <c r="J546" i="2"/>
  <c r="I546" i="2"/>
  <c r="K545" i="2"/>
  <c r="J545" i="2"/>
  <c r="I545" i="2"/>
  <c r="K544" i="2"/>
  <c r="J544" i="2"/>
  <c r="I544" i="2"/>
  <c r="W543" i="2"/>
  <c r="K543" i="2"/>
  <c r="J543" i="2"/>
  <c r="I543" i="2"/>
  <c r="O542" i="2"/>
  <c r="K539" i="2"/>
  <c r="J539" i="2"/>
  <c r="I539" i="2"/>
  <c r="K538" i="2"/>
  <c r="J538" i="2"/>
  <c r="I538" i="2"/>
  <c r="K537" i="2"/>
  <c r="J537" i="2"/>
  <c r="I537" i="2"/>
  <c r="K536" i="2"/>
  <c r="J536" i="2"/>
  <c r="I536" i="2"/>
  <c r="O535" i="2"/>
  <c r="K532" i="2"/>
  <c r="J532" i="2"/>
  <c r="I532" i="2"/>
  <c r="K531" i="2"/>
  <c r="J531" i="2"/>
  <c r="I531" i="2"/>
  <c r="K530" i="2"/>
  <c r="J530" i="2"/>
  <c r="I530" i="2"/>
  <c r="W529" i="2"/>
  <c r="O528" i="2"/>
  <c r="K529" i="2"/>
  <c r="J529" i="2"/>
  <c r="I529" i="2"/>
  <c r="J22" i="19"/>
  <c r="D22" i="19"/>
  <c r="C380" i="7"/>
  <c r="C379" i="7"/>
  <c r="C378" i="7"/>
  <c r="C377" i="7"/>
  <c r="C376" i="7"/>
  <c r="C375" i="7"/>
  <c r="C374" i="7"/>
  <c r="K363" i="7"/>
  <c r="C360" i="7"/>
  <c r="C359" i="7"/>
  <c r="C358" i="7"/>
  <c r="C357" i="7"/>
  <c r="C356" i="7"/>
  <c r="C355" i="7"/>
  <c r="C354" i="7"/>
  <c r="C352" i="7"/>
  <c r="C351" i="7"/>
  <c r="C350" i="7"/>
  <c r="C349" i="7"/>
  <c r="C348" i="7"/>
  <c r="C347" i="7"/>
  <c r="C346" i="7"/>
  <c r="K343" i="7"/>
  <c r="C340" i="7"/>
  <c r="C339" i="7"/>
  <c r="C338" i="7"/>
  <c r="C337" i="7"/>
  <c r="C336" i="7"/>
  <c r="C335" i="7"/>
  <c r="C334" i="7"/>
  <c r="C332" i="7"/>
  <c r="C331" i="7"/>
  <c r="C330" i="7"/>
  <c r="C329" i="7"/>
  <c r="C328" i="7"/>
  <c r="C327" i="7"/>
  <c r="C326" i="7"/>
  <c r="K323" i="7"/>
  <c r="AJ365" i="6"/>
  <c r="AE365" i="6"/>
  <c r="V365" i="6"/>
  <c r="Q365" i="6"/>
  <c r="AJ364" i="6"/>
  <c r="AE364" i="6"/>
  <c r="V364" i="6"/>
  <c r="Q364" i="6"/>
  <c r="AJ363" i="6"/>
  <c r="AE363" i="6"/>
  <c r="V363" i="6"/>
  <c r="Q363" i="6"/>
  <c r="AJ362" i="6"/>
  <c r="AE362" i="6"/>
  <c r="V362" i="6"/>
  <c r="Q362" i="6"/>
  <c r="AJ361" i="6"/>
  <c r="AE361" i="6"/>
  <c r="V361" i="6"/>
  <c r="Q361" i="6"/>
  <c r="AJ360" i="6"/>
  <c r="AE360" i="6"/>
  <c r="V360" i="6"/>
  <c r="Q360" i="6"/>
  <c r="AJ359" i="6"/>
  <c r="AE359" i="6"/>
  <c r="V359" i="6"/>
  <c r="Q359" i="6"/>
  <c r="AJ357" i="6"/>
  <c r="AE357" i="6"/>
  <c r="V357" i="6"/>
  <c r="Q357" i="6"/>
  <c r="AJ356" i="6"/>
  <c r="AE356" i="6"/>
  <c r="V356" i="6"/>
  <c r="Q356" i="6"/>
  <c r="AJ355" i="6"/>
  <c r="AE355" i="6"/>
  <c r="V355" i="6"/>
  <c r="Q355" i="6"/>
  <c r="AJ354" i="6"/>
  <c r="AE354" i="6"/>
  <c r="V354" i="6"/>
  <c r="Q354" i="6"/>
  <c r="AJ353" i="6"/>
  <c r="AE353" i="6"/>
  <c r="V353" i="6"/>
  <c r="Q353" i="6"/>
  <c r="AJ352" i="6"/>
  <c r="AE352" i="6"/>
  <c r="V352" i="6"/>
  <c r="Q352" i="6"/>
  <c r="AJ351" i="6"/>
  <c r="AE351" i="6"/>
  <c r="V351" i="6"/>
  <c r="Q351" i="6"/>
  <c r="AJ347" i="6"/>
  <c r="AE347" i="6"/>
  <c r="V347" i="6"/>
  <c r="Q347" i="6"/>
  <c r="AJ346" i="6"/>
  <c r="AE346" i="6"/>
  <c r="V346" i="6"/>
  <c r="Q346" i="6"/>
  <c r="AJ345" i="6"/>
  <c r="AE345" i="6"/>
  <c r="V345" i="6"/>
  <c r="Q345" i="6"/>
  <c r="AJ344" i="6"/>
  <c r="AE344" i="6"/>
  <c r="V344" i="6"/>
  <c r="Q344" i="6"/>
  <c r="AJ343" i="6"/>
  <c r="AE343" i="6"/>
  <c r="V343" i="6"/>
  <c r="Q343" i="6"/>
  <c r="AJ342" i="6"/>
  <c r="AE342" i="6"/>
  <c r="V342" i="6"/>
  <c r="Q342" i="6"/>
  <c r="AJ341" i="6"/>
  <c r="AE341" i="6"/>
  <c r="V341" i="6"/>
  <c r="Q341" i="6"/>
  <c r="AJ339" i="6"/>
  <c r="AE339" i="6"/>
  <c r="V339" i="6"/>
  <c r="Q339" i="6"/>
  <c r="AJ338" i="6"/>
  <c r="AE338" i="6"/>
  <c r="V338" i="6"/>
  <c r="Q338" i="6"/>
  <c r="AJ337" i="6"/>
  <c r="AE337" i="6"/>
  <c r="V337" i="6"/>
  <c r="Q337" i="6"/>
  <c r="AJ336" i="6"/>
  <c r="AE336" i="6"/>
  <c r="V336" i="6"/>
  <c r="Q336" i="6"/>
  <c r="AJ335" i="6"/>
  <c r="AE335" i="6"/>
  <c r="V335" i="6"/>
  <c r="Q335" i="6"/>
  <c r="AJ334" i="6"/>
  <c r="AE334" i="6"/>
  <c r="V334" i="6"/>
  <c r="Q334" i="6"/>
  <c r="AJ333" i="6"/>
  <c r="AE333" i="6"/>
  <c r="V333" i="6"/>
  <c r="Q333" i="6"/>
  <c r="AJ329" i="6"/>
  <c r="AE329" i="6"/>
  <c r="V329" i="6"/>
  <c r="Q329" i="6"/>
  <c r="AJ328" i="6"/>
  <c r="AE328" i="6"/>
  <c r="V328" i="6"/>
  <c r="Q328" i="6"/>
  <c r="AJ327" i="6"/>
  <c r="AE327" i="6"/>
  <c r="V327" i="6"/>
  <c r="Q327" i="6"/>
  <c r="AJ326" i="6"/>
  <c r="AE326" i="6"/>
  <c r="V326" i="6"/>
  <c r="Q326" i="6"/>
  <c r="AJ325" i="6"/>
  <c r="AE325" i="6"/>
  <c r="V325" i="6"/>
  <c r="Q325" i="6"/>
  <c r="AJ324" i="6"/>
  <c r="AE324" i="6"/>
  <c r="V324" i="6"/>
  <c r="Q324" i="6"/>
  <c r="AJ323" i="6"/>
  <c r="AE323" i="6"/>
  <c r="V323" i="6"/>
  <c r="Q323" i="6"/>
  <c r="AJ321" i="6"/>
  <c r="AE321" i="6"/>
  <c r="V321" i="6"/>
  <c r="Q321" i="6"/>
  <c r="AJ320" i="6"/>
  <c r="AE320" i="6"/>
  <c r="V320" i="6"/>
  <c r="Q320" i="6"/>
  <c r="AJ319" i="6"/>
  <c r="AE319" i="6"/>
  <c r="V319" i="6"/>
  <c r="Q319" i="6"/>
  <c r="AJ318" i="6"/>
  <c r="AE318" i="6"/>
  <c r="V318" i="6"/>
  <c r="Q318" i="6"/>
  <c r="AJ317" i="6"/>
  <c r="AE317" i="6"/>
  <c r="V317" i="6"/>
  <c r="Q317" i="6"/>
  <c r="AJ316" i="6"/>
  <c r="AE316" i="6"/>
  <c r="V316" i="6"/>
  <c r="Q316" i="6"/>
  <c r="AJ315" i="6"/>
  <c r="AE315" i="6"/>
  <c r="V315" i="6"/>
  <c r="Q315" i="6"/>
  <c r="K473" i="2"/>
  <c r="J365" i="6"/>
  <c r="J473" i="2"/>
  <c r="I365" i="6"/>
  <c r="I473" i="2"/>
  <c r="D365" i="6" s="1"/>
  <c r="K472" i="2"/>
  <c r="J364" i="6"/>
  <c r="J472" i="2"/>
  <c r="I364" i="6"/>
  <c r="I472" i="2"/>
  <c r="D364" i="6"/>
  <c r="K471" i="2"/>
  <c r="J363" i="6"/>
  <c r="J471" i="2"/>
  <c r="I363" i="6"/>
  <c r="I471" i="2"/>
  <c r="D363" i="6"/>
  <c r="K470" i="2"/>
  <c r="J362" i="6" s="1"/>
  <c r="J470" i="2"/>
  <c r="I362" i="6"/>
  <c r="I470" i="2"/>
  <c r="D362" i="6"/>
  <c r="K469" i="2"/>
  <c r="J361" i="6" s="1"/>
  <c r="J469" i="2"/>
  <c r="I361" i="6"/>
  <c r="I469" i="2"/>
  <c r="D361" i="6"/>
  <c r="K468" i="2"/>
  <c r="J360" i="6" s="1"/>
  <c r="J468" i="2"/>
  <c r="I360" i="6"/>
  <c r="I468" i="2"/>
  <c r="D360" i="6" s="1"/>
  <c r="E338" i="21" s="1"/>
  <c r="K467" i="2"/>
  <c r="J359" i="6"/>
  <c r="J467" i="2"/>
  <c r="I359" i="6"/>
  <c r="I467" i="2"/>
  <c r="D359" i="6" s="1"/>
  <c r="E337" i="21" s="1"/>
  <c r="K465" i="2"/>
  <c r="J357" i="6"/>
  <c r="AF356" i="6" s="1"/>
  <c r="J465" i="2"/>
  <c r="I357" i="6"/>
  <c r="K357" i="6"/>
  <c r="T357" i="6" s="1"/>
  <c r="I465" i="2"/>
  <c r="D357" i="6"/>
  <c r="E335" i="21"/>
  <c r="K464" i="2"/>
  <c r="J356" i="6"/>
  <c r="J464" i="2"/>
  <c r="I356" i="6" s="1"/>
  <c r="I464" i="2"/>
  <c r="D356" i="6"/>
  <c r="K463" i="2"/>
  <c r="J355" i="6"/>
  <c r="J463" i="2"/>
  <c r="I355" i="6" s="1"/>
  <c r="I463" i="2"/>
  <c r="D355" i="6"/>
  <c r="K462" i="2"/>
  <c r="J354" i="6"/>
  <c r="J462" i="2"/>
  <c r="I354" i="6" s="1"/>
  <c r="I462" i="2"/>
  <c r="D354" i="6"/>
  <c r="K461" i="2"/>
  <c r="J353" i="6"/>
  <c r="J461" i="2"/>
  <c r="I353" i="6"/>
  <c r="I461" i="2"/>
  <c r="D353" i="6"/>
  <c r="K460" i="2"/>
  <c r="J352" i="6"/>
  <c r="J460" i="2"/>
  <c r="I352" i="6" s="1"/>
  <c r="I460" i="2"/>
  <c r="D352" i="6"/>
  <c r="K459" i="2"/>
  <c r="J351" i="6" s="1"/>
  <c r="J459" i="2"/>
  <c r="I351" i="6" s="1"/>
  <c r="I459" i="2"/>
  <c r="D351" i="6"/>
  <c r="B457" i="2"/>
  <c r="D349" i="6"/>
  <c r="K455" i="2"/>
  <c r="J347" i="6"/>
  <c r="J455" i="2"/>
  <c r="I347" i="6"/>
  <c r="I455" i="2"/>
  <c r="D347" i="6" s="1"/>
  <c r="K454" i="2"/>
  <c r="J346" i="6"/>
  <c r="J454" i="2"/>
  <c r="I346" i="6"/>
  <c r="I454" i="2"/>
  <c r="D346" i="6" s="1"/>
  <c r="K453" i="2"/>
  <c r="J345" i="6" s="1"/>
  <c r="J453" i="2"/>
  <c r="I345" i="6"/>
  <c r="R345" i="6" s="1"/>
  <c r="I453" i="2"/>
  <c r="D345" i="6" s="1"/>
  <c r="K452" i="2"/>
  <c r="J344" i="6"/>
  <c r="AF344" i="6" s="1"/>
  <c r="J452" i="2"/>
  <c r="I344" i="6"/>
  <c r="I452" i="2"/>
  <c r="D344" i="6" s="1"/>
  <c r="K451" i="2"/>
  <c r="J343" i="6"/>
  <c r="J451" i="2"/>
  <c r="I343" i="6"/>
  <c r="I451" i="2"/>
  <c r="D343" i="6"/>
  <c r="E322" i="21" s="1"/>
  <c r="K450" i="2"/>
  <c r="J342" i="6"/>
  <c r="J450" i="2"/>
  <c r="I342" i="6"/>
  <c r="I450" i="2"/>
  <c r="D342" i="6" s="1"/>
  <c r="K449" i="2"/>
  <c r="J341" i="6" s="1"/>
  <c r="J449" i="2"/>
  <c r="I341" i="6"/>
  <c r="I449" i="2"/>
  <c r="D341" i="6" s="1"/>
  <c r="E320" i="21" s="1"/>
  <c r="K447" i="2"/>
  <c r="J339" i="6" s="1"/>
  <c r="J447" i="2"/>
  <c r="I339" i="6" s="1"/>
  <c r="I447" i="2"/>
  <c r="D339" i="6"/>
  <c r="K446" i="2"/>
  <c r="J338" i="6" s="1"/>
  <c r="J446" i="2"/>
  <c r="I338" i="6"/>
  <c r="I446" i="2"/>
  <c r="D338" i="6"/>
  <c r="K445" i="2"/>
  <c r="J337" i="6" s="1"/>
  <c r="J445" i="2"/>
  <c r="I337" i="6"/>
  <c r="I445" i="2"/>
  <c r="D337" i="6" s="1"/>
  <c r="K444" i="2"/>
  <c r="J336" i="6" s="1"/>
  <c r="J444" i="2"/>
  <c r="I336" i="6"/>
  <c r="K336" i="6" s="1"/>
  <c r="I444" i="2"/>
  <c r="D336" i="6" s="1"/>
  <c r="E315" i="21" s="1"/>
  <c r="K443" i="2"/>
  <c r="J335" i="6" s="1"/>
  <c r="J443" i="2"/>
  <c r="I335" i="6"/>
  <c r="I443" i="2"/>
  <c r="D335" i="6" s="1"/>
  <c r="K442" i="2"/>
  <c r="J334" i="6" s="1"/>
  <c r="AM334" i="6"/>
  <c r="J442" i="2"/>
  <c r="I334" i="6"/>
  <c r="I442" i="2"/>
  <c r="D334" i="6" s="1"/>
  <c r="E313" i="21" s="1"/>
  <c r="K441" i="2"/>
  <c r="J333" i="6" s="1"/>
  <c r="J441" i="2"/>
  <c r="I333" i="6"/>
  <c r="I441" i="2"/>
  <c r="D333" i="6" s="1"/>
  <c r="B439" i="2"/>
  <c r="D331" i="6"/>
  <c r="B331" i="6" s="1"/>
  <c r="B333" i="6" s="1"/>
  <c r="K437" i="2"/>
  <c r="J329" i="6" s="1"/>
  <c r="J437" i="2"/>
  <c r="I329" i="6"/>
  <c r="I437" i="2"/>
  <c r="D329" i="6" s="1"/>
  <c r="K436" i="2"/>
  <c r="J328" i="6" s="1"/>
  <c r="J436" i="2"/>
  <c r="I328" i="6"/>
  <c r="I436" i="2"/>
  <c r="D328" i="6"/>
  <c r="K435" i="2"/>
  <c r="J327" i="6"/>
  <c r="J435" i="2"/>
  <c r="I327" i="6" s="1"/>
  <c r="I435" i="2"/>
  <c r="D327" i="6" s="1"/>
  <c r="K434" i="2"/>
  <c r="J326" i="6"/>
  <c r="J434" i="2"/>
  <c r="I326" i="6" s="1"/>
  <c r="I434" i="2"/>
  <c r="D326" i="6"/>
  <c r="K433" i="2"/>
  <c r="J325" i="6" s="1"/>
  <c r="J433" i="2"/>
  <c r="I325" i="6"/>
  <c r="I433" i="2"/>
  <c r="D325" i="6" s="1"/>
  <c r="E305" i="21" s="1"/>
  <c r="K432" i="2"/>
  <c r="J324" i="6" s="1"/>
  <c r="J432" i="2"/>
  <c r="I324" i="6" s="1"/>
  <c r="I432" i="2"/>
  <c r="D324" i="6"/>
  <c r="K431" i="2"/>
  <c r="J323" i="6" s="1"/>
  <c r="J431" i="2"/>
  <c r="I323" i="6"/>
  <c r="I431" i="2"/>
  <c r="D323" i="6"/>
  <c r="K429" i="2"/>
  <c r="J321" i="6" s="1"/>
  <c r="J429" i="2"/>
  <c r="I321" i="6"/>
  <c r="I429" i="2"/>
  <c r="D321" i="6"/>
  <c r="E301" i="21"/>
  <c r="K428" i="2"/>
  <c r="J320" i="6" s="1"/>
  <c r="J428" i="2"/>
  <c r="I320" i="6"/>
  <c r="I428" i="2"/>
  <c r="D320" i="6"/>
  <c r="E300" i="21" s="1"/>
  <c r="K427" i="2"/>
  <c r="J319" i="6" s="1"/>
  <c r="J427" i="2"/>
  <c r="I319" i="6"/>
  <c r="I427" i="2"/>
  <c r="D319" i="6"/>
  <c r="K426" i="2"/>
  <c r="J318" i="6" s="1"/>
  <c r="J426" i="2"/>
  <c r="I318" i="6" s="1"/>
  <c r="K318" i="6"/>
  <c r="I426" i="2"/>
  <c r="D318" i="6"/>
  <c r="K425" i="2"/>
  <c r="J317" i="6"/>
  <c r="J425" i="2"/>
  <c r="I317" i="6"/>
  <c r="I425" i="2"/>
  <c r="D317" i="6" s="1"/>
  <c r="K424" i="2"/>
  <c r="J316" i="6" s="1"/>
  <c r="J424" i="2"/>
  <c r="I316" i="6"/>
  <c r="I424" i="2"/>
  <c r="D316" i="6"/>
  <c r="K423" i="2"/>
  <c r="J315" i="6"/>
  <c r="J423" i="2"/>
  <c r="I315" i="6" s="1"/>
  <c r="I423" i="2"/>
  <c r="D315" i="6"/>
  <c r="B421" i="2"/>
  <c r="D313" i="6" s="1"/>
  <c r="J21" i="19"/>
  <c r="D21" i="19"/>
  <c r="C320" i="7"/>
  <c r="C319" i="7"/>
  <c r="C318" i="7"/>
  <c r="C317" i="7"/>
  <c r="C316" i="7"/>
  <c r="C315" i="7"/>
  <c r="C314" i="7"/>
  <c r="K303" i="7"/>
  <c r="C300" i="7"/>
  <c r="C299" i="7"/>
  <c r="C298" i="7"/>
  <c r="C297" i="7"/>
  <c r="C296" i="7"/>
  <c r="C295" i="7"/>
  <c r="C294" i="7"/>
  <c r="C292" i="7"/>
  <c r="C291" i="7"/>
  <c r="C290" i="7"/>
  <c r="C289" i="7"/>
  <c r="C288" i="7"/>
  <c r="C287" i="7"/>
  <c r="C286" i="7"/>
  <c r="K283" i="7"/>
  <c r="C280" i="7"/>
  <c r="C279" i="7"/>
  <c r="C278" i="7"/>
  <c r="C277" i="7"/>
  <c r="C276" i="7"/>
  <c r="C275" i="7"/>
  <c r="C274" i="7"/>
  <c r="C272" i="7"/>
  <c r="C271" i="7"/>
  <c r="C270" i="7"/>
  <c r="C269" i="7"/>
  <c r="C268" i="7"/>
  <c r="C267" i="7"/>
  <c r="C266" i="7"/>
  <c r="K263" i="7"/>
  <c r="AJ311" i="6"/>
  <c r="AE311" i="6"/>
  <c r="V311" i="6"/>
  <c r="Q311" i="6"/>
  <c r="AJ310" i="6"/>
  <c r="AE310" i="6"/>
  <c r="V310" i="6"/>
  <c r="Q310" i="6"/>
  <c r="AJ309" i="6"/>
  <c r="AE309" i="6"/>
  <c r="V309" i="6"/>
  <c r="Q309" i="6"/>
  <c r="AJ308" i="6"/>
  <c r="AE308" i="6"/>
  <c r="V308" i="6"/>
  <c r="Q308" i="6"/>
  <c r="AJ307" i="6"/>
  <c r="AE307" i="6"/>
  <c r="V307" i="6"/>
  <c r="Q307" i="6"/>
  <c r="AJ306" i="6"/>
  <c r="AE306" i="6"/>
  <c r="V306" i="6"/>
  <c r="Q306" i="6"/>
  <c r="AJ305" i="6"/>
  <c r="AE305" i="6"/>
  <c r="V305" i="6"/>
  <c r="Q305" i="6"/>
  <c r="AJ303" i="6"/>
  <c r="AE303" i="6"/>
  <c r="V303" i="6"/>
  <c r="Q303" i="6"/>
  <c r="AJ302" i="6"/>
  <c r="AE302" i="6"/>
  <c r="V302" i="6"/>
  <c r="Q302" i="6"/>
  <c r="AJ301" i="6"/>
  <c r="AE301" i="6"/>
  <c r="V301" i="6"/>
  <c r="Q301" i="6"/>
  <c r="AJ300" i="6"/>
  <c r="AE300" i="6"/>
  <c r="V300" i="6"/>
  <c r="Q300" i="6"/>
  <c r="AJ299" i="6"/>
  <c r="AE299" i="6"/>
  <c r="V299" i="6"/>
  <c r="Q299" i="6"/>
  <c r="AJ298" i="6"/>
  <c r="AE298" i="6"/>
  <c r="V298" i="6"/>
  <c r="Q298" i="6"/>
  <c r="AJ297" i="6"/>
  <c r="AE297" i="6"/>
  <c r="V297" i="6"/>
  <c r="Q297" i="6"/>
  <c r="AJ293" i="6"/>
  <c r="AE293" i="6"/>
  <c r="V293" i="6"/>
  <c r="Q293" i="6"/>
  <c r="AJ292" i="6"/>
  <c r="AE292" i="6"/>
  <c r="V292" i="6"/>
  <c r="Q292" i="6"/>
  <c r="AJ291" i="6"/>
  <c r="AE291" i="6"/>
  <c r="V291" i="6"/>
  <c r="Q291" i="6"/>
  <c r="AJ290" i="6"/>
  <c r="AE290" i="6"/>
  <c r="V290" i="6"/>
  <c r="Q290" i="6"/>
  <c r="AJ289" i="6"/>
  <c r="AE289" i="6"/>
  <c r="V289" i="6"/>
  <c r="Q289" i="6"/>
  <c r="AJ288" i="6"/>
  <c r="AE288" i="6"/>
  <c r="V288" i="6"/>
  <c r="Q288" i="6"/>
  <c r="AJ287" i="6"/>
  <c r="AE287" i="6"/>
  <c r="V287" i="6"/>
  <c r="Q287" i="6"/>
  <c r="AJ285" i="6"/>
  <c r="AE285" i="6"/>
  <c r="V285" i="6"/>
  <c r="Q285" i="6"/>
  <c r="AJ284" i="6"/>
  <c r="AE284" i="6"/>
  <c r="V284" i="6"/>
  <c r="Q284" i="6"/>
  <c r="AJ283" i="6"/>
  <c r="AE283" i="6"/>
  <c r="V283" i="6"/>
  <c r="Q283" i="6"/>
  <c r="AJ282" i="6"/>
  <c r="AE282" i="6"/>
  <c r="V282" i="6"/>
  <c r="Q282" i="6"/>
  <c r="AJ281" i="6"/>
  <c r="AE281" i="6"/>
  <c r="V281" i="6"/>
  <c r="Q281" i="6"/>
  <c r="AJ280" i="6"/>
  <c r="AE280" i="6"/>
  <c r="V280" i="6"/>
  <c r="Q280" i="6"/>
  <c r="AJ279" i="6"/>
  <c r="AE279" i="6"/>
  <c r="V279" i="6"/>
  <c r="Q279" i="6"/>
  <c r="AJ275" i="6"/>
  <c r="AE275" i="6"/>
  <c r="V275" i="6"/>
  <c r="Q275" i="6"/>
  <c r="AJ274" i="6"/>
  <c r="AE274" i="6"/>
  <c r="V274" i="6"/>
  <c r="Q274" i="6"/>
  <c r="AJ273" i="6"/>
  <c r="AE273" i="6"/>
  <c r="V273" i="6"/>
  <c r="Q273" i="6"/>
  <c r="AJ272" i="6"/>
  <c r="AE272" i="6"/>
  <c r="V272" i="6"/>
  <c r="Q272" i="6"/>
  <c r="AJ271" i="6"/>
  <c r="AE271" i="6"/>
  <c r="V271" i="6"/>
  <c r="Q271" i="6"/>
  <c r="AJ270" i="6"/>
  <c r="AE270" i="6"/>
  <c r="V270" i="6"/>
  <c r="Q270" i="6"/>
  <c r="AJ269" i="6"/>
  <c r="AE269" i="6"/>
  <c r="V269" i="6"/>
  <c r="Q269" i="6"/>
  <c r="AJ267" i="6"/>
  <c r="AE267" i="6"/>
  <c r="V267" i="6"/>
  <c r="Q267" i="6"/>
  <c r="AJ266" i="6"/>
  <c r="AE266" i="6"/>
  <c r="V266" i="6"/>
  <c r="Q266" i="6"/>
  <c r="AJ265" i="6"/>
  <c r="AE265" i="6"/>
  <c r="V265" i="6"/>
  <c r="Q265" i="6"/>
  <c r="AJ264" i="6"/>
  <c r="AE264" i="6"/>
  <c r="V264" i="6"/>
  <c r="Q264" i="6"/>
  <c r="AJ263" i="6"/>
  <c r="AE263" i="6"/>
  <c r="V263" i="6"/>
  <c r="Q263" i="6"/>
  <c r="AJ262" i="6"/>
  <c r="AE262" i="6"/>
  <c r="V262" i="6"/>
  <c r="Q262" i="6"/>
  <c r="AJ261" i="6"/>
  <c r="AE261" i="6"/>
  <c r="V261" i="6"/>
  <c r="Q261" i="6"/>
  <c r="J63" i="17"/>
  <c r="J64" i="17"/>
  <c r="K419" i="2"/>
  <c r="J311" i="6" s="1"/>
  <c r="J419" i="2"/>
  <c r="I311" i="6"/>
  <c r="I419" i="2"/>
  <c r="D311" i="6" s="1"/>
  <c r="K418" i="2"/>
  <c r="J310" i="6"/>
  <c r="J418" i="2"/>
  <c r="I310" i="6" s="1"/>
  <c r="I418" i="2"/>
  <c r="D310" i="6" s="1"/>
  <c r="E291" i="21" s="1"/>
  <c r="K417" i="2"/>
  <c r="J309" i="6"/>
  <c r="J417" i="2"/>
  <c r="I309" i="6" s="1"/>
  <c r="I417" i="2"/>
  <c r="D309" i="6"/>
  <c r="K416" i="2"/>
  <c r="J308" i="6" s="1"/>
  <c r="J416" i="2"/>
  <c r="I308" i="6" s="1"/>
  <c r="I416" i="2"/>
  <c r="D308" i="6"/>
  <c r="K415" i="2"/>
  <c r="J307" i="6" s="1"/>
  <c r="J415" i="2"/>
  <c r="I307" i="6"/>
  <c r="I415" i="2"/>
  <c r="D307" i="6" s="1"/>
  <c r="K414" i="2"/>
  <c r="J306" i="6"/>
  <c r="J414" i="2"/>
  <c r="I306" i="6"/>
  <c r="I414" i="2"/>
  <c r="D306" i="6"/>
  <c r="K413" i="2"/>
  <c r="J305" i="6"/>
  <c r="J413" i="2"/>
  <c r="I305" i="6"/>
  <c r="I413" i="2"/>
  <c r="D305" i="6"/>
  <c r="K411" i="2"/>
  <c r="J303" i="6"/>
  <c r="J411" i="2"/>
  <c r="I303" i="6" s="1"/>
  <c r="I411" i="2"/>
  <c r="D303" i="6"/>
  <c r="E284" i="21" s="1"/>
  <c r="K410" i="2"/>
  <c r="J302" i="6"/>
  <c r="J410" i="2"/>
  <c r="I302" i="6" s="1"/>
  <c r="I410" i="2"/>
  <c r="D302" i="6"/>
  <c r="E283" i="21"/>
  <c r="K409" i="2"/>
  <c r="J301" i="6"/>
  <c r="J409" i="2"/>
  <c r="I301" i="6"/>
  <c r="I409" i="2"/>
  <c r="D301" i="6"/>
  <c r="E282" i="21"/>
  <c r="K408" i="2"/>
  <c r="J300" i="6" s="1"/>
  <c r="J408" i="2"/>
  <c r="I300" i="6"/>
  <c r="I408" i="2"/>
  <c r="D300" i="6" s="1"/>
  <c r="K407" i="2"/>
  <c r="J299" i="6" s="1"/>
  <c r="J407" i="2"/>
  <c r="I299" i="6" s="1"/>
  <c r="I407" i="2"/>
  <c r="D299" i="6"/>
  <c r="K406" i="2"/>
  <c r="J298" i="6" s="1"/>
  <c r="J406" i="2"/>
  <c r="I298" i="6"/>
  <c r="I406" i="2"/>
  <c r="D298" i="6"/>
  <c r="K405" i="2"/>
  <c r="J297" i="6"/>
  <c r="J405" i="2"/>
  <c r="I297" i="6"/>
  <c r="I405" i="2"/>
  <c r="D297" i="6"/>
  <c r="E278" i="21" s="1"/>
  <c r="B403" i="2"/>
  <c r="D295" i="6"/>
  <c r="M303" i="7"/>
  <c r="C303" i="7" s="1"/>
  <c r="K401" i="2"/>
  <c r="J293" i="6"/>
  <c r="J401" i="2"/>
  <c r="I293" i="6" s="1"/>
  <c r="I401" i="2"/>
  <c r="D293" i="6" s="1"/>
  <c r="E275" i="21"/>
  <c r="K400" i="2"/>
  <c r="J292" i="6"/>
  <c r="J400" i="2"/>
  <c r="I292" i="6" s="1"/>
  <c r="I400" i="2"/>
  <c r="D292" i="6" s="1"/>
  <c r="K399" i="2"/>
  <c r="J291" i="6" s="1"/>
  <c r="J399" i="2"/>
  <c r="I291" i="6"/>
  <c r="I399" i="2"/>
  <c r="D291" i="6" s="1"/>
  <c r="K398" i="2"/>
  <c r="J290" i="6"/>
  <c r="J398" i="2"/>
  <c r="I290" i="6" s="1"/>
  <c r="I398" i="2"/>
  <c r="D290" i="6" s="1"/>
  <c r="K397" i="2"/>
  <c r="J289" i="6" s="1"/>
  <c r="J397" i="2"/>
  <c r="I289" i="6"/>
  <c r="I397" i="2"/>
  <c r="D289" i="6" s="1"/>
  <c r="K396" i="2"/>
  <c r="J288" i="6"/>
  <c r="J396" i="2"/>
  <c r="I288" i="6" s="1"/>
  <c r="I396" i="2"/>
  <c r="D288" i="6"/>
  <c r="K395" i="2"/>
  <c r="J287" i="6" s="1"/>
  <c r="J395" i="2"/>
  <c r="I287" i="6" s="1"/>
  <c r="I395" i="2"/>
  <c r="D287" i="6" s="1"/>
  <c r="K393" i="2"/>
  <c r="J285" i="6"/>
  <c r="J393" i="2"/>
  <c r="I285" i="6" s="1"/>
  <c r="I393" i="2"/>
  <c r="D285" i="6"/>
  <c r="E267" i="21" s="1"/>
  <c r="K392" i="2"/>
  <c r="J284" i="6"/>
  <c r="J392" i="2"/>
  <c r="I284" i="6" s="1"/>
  <c r="I392" i="2"/>
  <c r="D284" i="6"/>
  <c r="E266" i="21" s="1"/>
  <c r="K391" i="2"/>
  <c r="J283" i="6"/>
  <c r="J391" i="2"/>
  <c r="I283" i="6" s="1"/>
  <c r="I391" i="2"/>
  <c r="D283" i="6"/>
  <c r="K390" i="2"/>
  <c r="J282" i="6" s="1"/>
  <c r="J390" i="2"/>
  <c r="I282" i="6"/>
  <c r="I390" i="2"/>
  <c r="D282" i="6" s="1"/>
  <c r="K389" i="2"/>
  <c r="J281" i="6" s="1"/>
  <c r="J389" i="2"/>
  <c r="I281" i="6"/>
  <c r="I389" i="2"/>
  <c r="D281" i="6"/>
  <c r="E263" i="21"/>
  <c r="K388" i="2"/>
  <c r="J280" i="6" s="1"/>
  <c r="J388" i="2"/>
  <c r="I280" i="6"/>
  <c r="I388" i="2"/>
  <c r="D280" i="6"/>
  <c r="E262" i="21"/>
  <c r="K387" i="2"/>
  <c r="J279" i="6" s="1"/>
  <c r="J387" i="2"/>
  <c r="I279" i="6"/>
  <c r="I387" i="2"/>
  <c r="D279" i="6" s="1"/>
  <c r="B385" i="2"/>
  <c r="D277" i="6" s="1"/>
  <c r="B277" i="6"/>
  <c r="K383" i="2"/>
  <c r="J275" i="6" s="1"/>
  <c r="J383" i="2"/>
  <c r="I275" i="6"/>
  <c r="I383" i="2"/>
  <c r="D275" i="6" s="1"/>
  <c r="E258" i="21" s="1"/>
  <c r="K382" i="2"/>
  <c r="J274" i="6"/>
  <c r="J382" i="2"/>
  <c r="I274" i="6"/>
  <c r="I382" i="2"/>
  <c r="D274" i="6"/>
  <c r="E257" i="21" s="1"/>
  <c r="K381" i="2"/>
  <c r="J273" i="6" s="1"/>
  <c r="J381" i="2"/>
  <c r="I273" i="6" s="1"/>
  <c r="I381" i="2"/>
  <c r="D273" i="6"/>
  <c r="E256" i="21" s="1"/>
  <c r="K380" i="2"/>
  <c r="J272" i="6"/>
  <c r="J380" i="2"/>
  <c r="I272" i="6" s="1"/>
  <c r="I380" i="2"/>
  <c r="D272" i="6"/>
  <c r="K379" i="2"/>
  <c r="J271" i="6" s="1"/>
  <c r="J379" i="2"/>
  <c r="I271" i="6"/>
  <c r="I379" i="2"/>
  <c r="D271" i="6" s="1"/>
  <c r="K378" i="2"/>
  <c r="J270" i="6"/>
  <c r="J378" i="2"/>
  <c r="I270" i="6" s="1"/>
  <c r="I378" i="2"/>
  <c r="D270" i="6"/>
  <c r="E253" i="21" s="1"/>
  <c r="K377" i="2"/>
  <c r="J269" i="6"/>
  <c r="J377" i="2"/>
  <c r="I269" i="6"/>
  <c r="I377" i="2"/>
  <c r="D269" i="6" s="1"/>
  <c r="E252" i="21"/>
  <c r="K375" i="2"/>
  <c r="J267" i="6"/>
  <c r="J375" i="2"/>
  <c r="I267" i="6"/>
  <c r="I375" i="2"/>
  <c r="D267" i="6" s="1"/>
  <c r="K374" i="2"/>
  <c r="J266" i="6" s="1"/>
  <c r="J374" i="2"/>
  <c r="I266" i="6"/>
  <c r="I374" i="2"/>
  <c r="D266" i="6" s="1"/>
  <c r="E249" i="21"/>
  <c r="K373" i="2"/>
  <c r="J265" i="6" s="1"/>
  <c r="J373" i="2"/>
  <c r="I265" i="6"/>
  <c r="I373" i="2"/>
  <c r="D265" i="6" s="1"/>
  <c r="K372" i="2"/>
  <c r="J264" i="6"/>
  <c r="J372" i="2"/>
  <c r="I264" i="6"/>
  <c r="I372" i="2"/>
  <c r="D264" i="6"/>
  <c r="K371" i="2"/>
  <c r="J263" i="6"/>
  <c r="J371" i="2"/>
  <c r="I263" i="6"/>
  <c r="I371" i="2"/>
  <c r="D263" i="6"/>
  <c r="K370" i="2"/>
  <c r="J262" i="6" s="1"/>
  <c r="J370" i="2"/>
  <c r="I262" i="6"/>
  <c r="I370" i="2"/>
  <c r="D262" i="6"/>
  <c r="E245" i="21" s="1"/>
  <c r="K369" i="2"/>
  <c r="J261" i="6" s="1"/>
  <c r="J369" i="2"/>
  <c r="I261" i="6"/>
  <c r="I369" i="2"/>
  <c r="D261" i="6" s="1"/>
  <c r="B367" i="2"/>
  <c r="D259" i="6"/>
  <c r="B259" i="6"/>
  <c r="C52" i="17"/>
  <c r="C53" i="17"/>
  <c r="B52" i="17"/>
  <c r="B53" i="17"/>
  <c r="J18" i="19"/>
  <c r="D20" i="19"/>
  <c r="C232" i="7"/>
  <c r="C231" i="7"/>
  <c r="C230" i="7"/>
  <c r="C229" i="7"/>
  <c r="C228" i="7"/>
  <c r="C227" i="7"/>
  <c r="C226" i="7"/>
  <c r="C260" i="7"/>
  <c r="C259" i="7"/>
  <c r="C258" i="7"/>
  <c r="C257" i="7"/>
  <c r="C256" i="7"/>
  <c r="C255" i="7"/>
  <c r="C254" i="7"/>
  <c r="C252" i="7"/>
  <c r="C251" i="7"/>
  <c r="C250" i="7"/>
  <c r="C249" i="7"/>
  <c r="C248" i="7"/>
  <c r="C247" i="7"/>
  <c r="C246" i="7"/>
  <c r="K243" i="7"/>
  <c r="C240" i="7"/>
  <c r="C239" i="7"/>
  <c r="C238" i="7"/>
  <c r="C237" i="7"/>
  <c r="C236" i="7"/>
  <c r="C235" i="7"/>
  <c r="C234" i="7"/>
  <c r="K223" i="7"/>
  <c r="AJ257" i="6"/>
  <c r="AE257" i="6"/>
  <c r="V257" i="6"/>
  <c r="Q257" i="6"/>
  <c r="AJ256" i="6"/>
  <c r="AE256" i="6"/>
  <c r="V256" i="6"/>
  <c r="Q256" i="6"/>
  <c r="AJ255" i="6"/>
  <c r="AE255" i="6"/>
  <c r="V255" i="6"/>
  <c r="Q255" i="6"/>
  <c r="AJ254" i="6"/>
  <c r="AE254" i="6"/>
  <c r="V254" i="6"/>
  <c r="Q254" i="6"/>
  <c r="AJ253" i="6"/>
  <c r="AE253" i="6"/>
  <c r="V253" i="6"/>
  <c r="Q253" i="6"/>
  <c r="AJ252" i="6"/>
  <c r="AE252" i="6"/>
  <c r="V252" i="6"/>
  <c r="Q252" i="6"/>
  <c r="AJ251" i="6"/>
  <c r="AE251" i="6"/>
  <c r="V251" i="6"/>
  <c r="Q251" i="6"/>
  <c r="AJ249" i="6"/>
  <c r="AE249" i="6"/>
  <c r="V249" i="6"/>
  <c r="Q249" i="6"/>
  <c r="AJ248" i="6"/>
  <c r="AE248" i="6"/>
  <c r="V248" i="6"/>
  <c r="Q248" i="6"/>
  <c r="AJ247" i="6"/>
  <c r="AE247" i="6"/>
  <c r="V247" i="6"/>
  <c r="Q247" i="6"/>
  <c r="AJ246" i="6"/>
  <c r="AE246" i="6"/>
  <c r="V246" i="6"/>
  <c r="Q246" i="6"/>
  <c r="AJ245" i="6"/>
  <c r="AE245" i="6"/>
  <c r="V245" i="6"/>
  <c r="Q245" i="6"/>
  <c r="AJ244" i="6"/>
  <c r="AE244" i="6"/>
  <c r="V244" i="6"/>
  <c r="Q244" i="6"/>
  <c r="AJ243" i="6"/>
  <c r="AE243" i="6"/>
  <c r="V243" i="6"/>
  <c r="Q243" i="6"/>
  <c r="AJ239" i="6"/>
  <c r="AE239" i="6"/>
  <c r="V239" i="6"/>
  <c r="Q239" i="6"/>
  <c r="AJ238" i="6"/>
  <c r="AE238" i="6"/>
  <c r="V238" i="6"/>
  <c r="Q238" i="6"/>
  <c r="AJ237" i="6"/>
  <c r="AE237" i="6"/>
  <c r="V237" i="6"/>
  <c r="Q237" i="6"/>
  <c r="AJ236" i="6"/>
  <c r="AE236" i="6"/>
  <c r="V236" i="6"/>
  <c r="Q236" i="6"/>
  <c r="AJ235" i="6"/>
  <c r="AE235" i="6"/>
  <c r="V235" i="6"/>
  <c r="Q235" i="6"/>
  <c r="AJ234" i="6"/>
  <c r="AE234" i="6"/>
  <c r="V234" i="6"/>
  <c r="Q234" i="6"/>
  <c r="AJ233" i="6"/>
  <c r="AE233" i="6"/>
  <c r="V233" i="6"/>
  <c r="Q233" i="6"/>
  <c r="AJ231" i="6"/>
  <c r="AE231" i="6"/>
  <c r="V231" i="6"/>
  <c r="Q231" i="6"/>
  <c r="AJ230" i="6"/>
  <c r="AE230" i="6"/>
  <c r="V230" i="6"/>
  <c r="Q230" i="6"/>
  <c r="AJ229" i="6"/>
  <c r="AE229" i="6"/>
  <c r="V229" i="6"/>
  <c r="Q229" i="6"/>
  <c r="AJ228" i="6"/>
  <c r="AE228" i="6"/>
  <c r="V228" i="6"/>
  <c r="Q228" i="6"/>
  <c r="AJ227" i="6"/>
  <c r="AE227" i="6"/>
  <c r="V227" i="6"/>
  <c r="Q227" i="6"/>
  <c r="AJ226" i="6"/>
  <c r="AE226" i="6"/>
  <c r="V226" i="6"/>
  <c r="Q226" i="6"/>
  <c r="AJ225" i="6"/>
  <c r="AE225" i="6"/>
  <c r="V225" i="6"/>
  <c r="Q225" i="6"/>
  <c r="K365" i="2"/>
  <c r="J257" i="6"/>
  <c r="J365" i="2"/>
  <c r="I257" i="6"/>
  <c r="I365" i="2"/>
  <c r="D257" i="6"/>
  <c r="K364" i="2"/>
  <c r="J256" i="6"/>
  <c r="J364" i="2"/>
  <c r="I256" i="6"/>
  <c r="I364" i="2"/>
  <c r="D256" i="6" s="1"/>
  <c r="E240" i="21"/>
  <c r="K363" i="2"/>
  <c r="J255" i="6"/>
  <c r="J363" i="2"/>
  <c r="I255" i="6"/>
  <c r="I363" i="2"/>
  <c r="D255" i="6" s="1"/>
  <c r="K362" i="2"/>
  <c r="J254" i="6"/>
  <c r="J362" i="2"/>
  <c r="I254" i="6"/>
  <c r="I362" i="2"/>
  <c r="D254" i="6" s="1"/>
  <c r="E238" i="21" s="1"/>
  <c r="K361" i="2"/>
  <c r="J253" i="6" s="1"/>
  <c r="J361" i="2"/>
  <c r="I253" i="6" s="1"/>
  <c r="I361" i="2"/>
  <c r="D253" i="6" s="1"/>
  <c r="E237" i="21" s="1"/>
  <c r="K360" i="2"/>
  <c r="J252" i="6" s="1"/>
  <c r="J360" i="2"/>
  <c r="I252" i="6"/>
  <c r="I360" i="2"/>
  <c r="D252" i="6"/>
  <c r="E236" i="21" s="1"/>
  <c r="K359" i="2"/>
  <c r="J251" i="6"/>
  <c r="J359" i="2"/>
  <c r="I251" i="6" s="1"/>
  <c r="I359" i="2"/>
  <c r="D251" i="6"/>
  <c r="E235" i="21" s="1"/>
  <c r="K357" i="2"/>
  <c r="J249" i="6"/>
  <c r="J357" i="2"/>
  <c r="I249" i="6" s="1"/>
  <c r="I357" i="2"/>
  <c r="D249" i="6" s="1"/>
  <c r="K356" i="2"/>
  <c r="J248" i="6"/>
  <c r="J356" i="2"/>
  <c r="I248" i="6" s="1"/>
  <c r="I356" i="2"/>
  <c r="D248" i="6" s="1"/>
  <c r="K355" i="2"/>
  <c r="J247" i="6" s="1"/>
  <c r="J355" i="2"/>
  <c r="I247" i="6" s="1"/>
  <c r="I355" i="2"/>
  <c r="D247" i="6"/>
  <c r="K354" i="2"/>
  <c r="J246" i="6" s="1"/>
  <c r="J354" i="2"/>
  <c r="I246" i="6"/>
  <c r="I354" i="2"/>
  <c r="D246" i="6" s="1"/>
  <c r="E230" i="21" s="1"/>
  <c r="K353" i="2"/>
  <c r="J245" i="6" s="1"/>
  <c r="J353" i="2"/>
  <c r="I245" i="6" s="1"/>
  <c r="I353" i="2"/>
  <c r="D245" i="6"/>
  <c r="K352" i="2"/>
  <c r="J244" i="6" s="1"/>
  <c r="J352" i="2"/>
  <c r="I244" i="6" s="1"/>
  <c r="I352" i="2"/>
  <c r="D244" i="6"/>
  <c r="K351" i="2"/>
  <c r="J243" i="6" s="1"/>
  <c r="J351" i="2"/>
  <c r="I243" i="6" s="1"/>
  <c r="K243" i="6" s="1"/>
  <c r="T251" i="6" s="1"/>
  <c r="I351" i="2"/>
  <c r="D243" i="6"/>
  <c r="B349" i="2"/>
  <c r="D241" i="6" s="1"/>
  <c r="B241" i="6"/>
  <c r="K347" i="2"/>
  <c r="J239" i="6"/>
  <c r="J347" i="2"/>
  <c r="I239" i="6"/>
  <c r="I347" i="2"/>
  <c r="D239" i="6"/>
  <c r="K346" i="2"/>
  <c r="J238" i="6"/>
  <c r="J346" i="2"/>
  <c r="I238" i="6"/>
  <c r="I346" i="2"/>
  <c r="D238" i="6"/>
  <c r="K345" i="2"/>
  <c r="J237" i="6" s="1"/>
  <c r="J345" i="2"/>
  <c r="I237" i="6" s="1"/>
  <c r="I345" i="2"/>
  <c r="D237" i="6" s="1"/>
  <c r="K344" i="2"/>
  <c r="J236" i="6"/>
  <c r="J344" i="2"/>
  <c r="I236" i="6" s="1"/>
  <c r="I344" i="2"/>
  <c r="D236" i="6" s="1"/>
  <c r="K343" i="2"/>
  <c r="J235" i="6" s="1"/>
  <c r="J343" i="2"/>
  <c r="I235" i="6"/>
  <c r="I343" i="2"/>
  <c r="D235" i="6" s="1"/>
  <c r="K342" i="2"/>
  <c r="J234" i="6" s="1"/>
  <c r="J342" i="2"/>
  <c r="I234" i="6" s="1"/>
  <c r="I342" i="2"/>
  <c r="D234" i="6"/>
  <c r="K341" i="2"/>
  <c r="J233" i="6"/>
  <c r="J341" i="2"/>
  <c r="I233" i="6"/>
  <c r="I341" i="2"/>
  <c r="D233" i="6"/>
  <c r="K339" i="2"/>
  <c r="J231" i="6"/>
  <c r="J339" i="2"/>
  <c r="I231" i="6"/>
  <c r="I339" i="2"/>
  <c r="D231" i="6"/>
  <c r="K338" i="2"/>
  <c r="J230" i="6"/>
  <c r="J338" i="2"/>
  <c r="I230" i="6"/>
  <c r="I338" i="2"/>
  <c r="D230" i="6"/>
  <c r="K337" i="2"/>
  <c r="J229" i="6"/>
  <c r="J337" i="2"/>
  <c r="I229" i="6"/>
  <c r="I337" i="2"/>
  <c r="D229" i="6"/>
  <c r="K336" i="2"/>
  <c r="J228" i="6"/>
  <c r="L228" i="6" s="1"/>
  <c r="J336" i="2"/>
  <c r="I228" i="6" s="1"/>
  <c r="I336" i="2"/>
  <c r="D228" i="6" s="1"/>
  <c r="K335" i="2"/>
  <c r="J227" i="6" s="1"/>
  <c r="J335" i="2"/>
  <c r="I227" i="6"/>
  <c r="I335" i="2"/>
  <c r="D227" i="6"/>
  <c r="K334" i="2"/>
  <c r="J226" i="6"/>
  <c r="J334" i="2"/>
  <c r="I226" i="6"/>
  <c r="I334" i="2"/>
  <c r="D226" i="6"/>
  <c r="K333" i="2"/>
  <c r="J225" i="6"/>
  <c r="J333" i="2"/>
  <c r="I225" i="6" s="1"/>
  <c r="I333" i="2"/>
  <c r="D225" i="6" s="1"/>
  <c r="B331" i="2"/>
  <c r="D223" i="6" s="1"/>
  <c r="C220" i="7"/>
  <c r="C219" i="7"/>
  <c r="C218" i="7"/>
  <c r="C217" i="7"/>
  <c r="C216" i="7"/>
  <c r="C215" i="7"/>
  <c r="C214" i="7"/>
  <c r="C212" i="7"/>
  <c r="C211" i="7"/>
  <c r="C210" i="7"/>
  <c r="C209" i="7"/>
  <c r="C208" i="7"/>
  <c r="C207" i="7"/>
  <c r="C206" i="7"/>
  <c r="K203" i="7"/>
  <c r="AJ221" i="6"/>
  <c r="AE221" i="6"/>
  <c r="V221" i="6"/>
  <c r="Q221" i="6"/>
  <c r="AJ220" i="6"/>
  <c r="AE220" i="6"/>
  <c r="V220" i="6"/>
  <c r="Q220" i="6"/>
  <c r="AJ219" i="6"/>
  <c r="AE219" i="6"/>
  <c r="V219" i="6"/>
  <c r="Q219" i="6"/>
  <c r="AJ218" i="6"/>
  <c r="AE218" i="6"/>
  <c r="V218" i="6"/>
  <c r="Q218" i="6"/>
  <c r="AJ217" i="6"/>
  <c r="AE217" i="6"/>
  <c r="V217" i="6"/>
  <c r="Q217" i="6"/>
  <c r="AJ216" i="6"/>
  <c r="AE216" i="6"/>
  <c r="V216" i="6"/>
  <c r="Q216" i="6"/>
  <c r="AJ215" i="6"/>
  <c r="AE215" i="6"/>
  <c r="V215" i="6"/>
  <c r="Q215" i="6"/>
  <c r="AJ213" i="6"/>
  <c r="AE213" i="6"/>
  <c r="V213" i="6"/>
  <c r="Q213" i="6"/>
  <c r="AJ212" i="6"/>
  <c r="AE212" i="6"/>
  <c r="V212" i="6"/>
  <c r="Q212" i="6"/>
  <c r="AJ211" i="6"/>
  <c r="AE211" i="6"/>
  <c r="V211" i="6"/>
  <c r="Q211" i="6"/>
  <c r="AJ210" i="6"/>
  <c r="AE210" i="6"/>
  <c r="V210" i="6"/>
  <c r="Q210" i="6"/>
  <c r="AJ209" i="6"/>
  <c r="AE209" i="6"/>
  <c r="V209" i="6"/>
  <c r="Q209" i="6"/>
  <c r="AJ208" i="6"/>
  <c r="AE208" i="6"/>
  <c r="V208" i="6"/>
  <c r="Q208" i="6"/>
  <c r="AJ207" i="6"/>
  <c r="AE207" i="6"/>
  <c r="V207" i="6"/>
  <c r="Q207" i="6"/>
  <c r="W91" i="2"/>
  <c r="O90" i="2"/>
  <c r="W522" i="2"/>
  <c r="O521" i="2"/>
  <c r="W515" i="2"/>
  <c r="O514" i="2"/>
  <c r="W508" i="2"/>
  <c r="O507" i="2"/>
  <c r="W501" i="2"/>
  <c r="O500" i="2"/>
  <c r="W496" i="2"/>
  <c r="O495" i="2"/>
  <c r="W491" i="2"/>
  <c r="O490" i="2"/>
  <c r="W486" i="2"/>
  <c r="O485" i="2"/>
  <c r="W481" i="2"/>
  <c r="O480" i="2"/>
  <c r="X481" i="2"/>
  <c r="D19" i="19"/>
  <c r="K183" i="7"/>
  <c r="C200" i="7"/>
  <c r="C199" i="7"/>
  <c r="C198" i="7"/>
  <c r="C197" i="7"/>
  <c r="C196" i="7"/>
  <c r="C195" i="7"/>
  <c r="C194" i="7"/>
  <c r="AJ203" i="6"/>
  <c r="AE203" i="6"/>
  <c r="V203" i="6"/>
  <c r="Q203" i="6"/>
  <c r="AJ202" i="6"/>
  <c r="AE202" i="6"/>
  <c r="V202" i="6"/>
  <c r="Q202" i="6"/>
  <c r="AJ201" i="6"/>
  <c r="AE201" i="6"/>
  <c r="V201" i="6"/>
  <c r="Q201" i="6"/>
  <c r="AJ200" i="6"/>
  <c r="AE200" i="6"/>
  <c r="V200" i="6"/>
  <c r="Q200" i="6"/>
  <c r="AJ199" i="6"/>
  <c r="AE199" i="6"/>
  <c r="V199" i="6"/>
  <c r="Q199" i="6"/>
  <c r="AJ198" i="6"/>
  <c r="AE198" i="6"/>
  <c r="V198" i="6"/>
  <c r="Q198" i="6"/>
  <c r="AJ197" i="6"/>
  <c r="AE197" i="6"/>
  <c r="V197" i="6"/>
  <c r="Q197" i="6"/>
  <c r="AJ195" i="6"/>
  <c r="AE195" i="6"/>
  <c r="V195" i="6"/>
  <c r="Q195" i="6"/>
  <c r="AJ194" i="6"/>
  <c r="AE194" i="6"/>
  <c r="V194" i="6"/>
  <c r="Q194" i="6"/>
  <c r="AJ193" i="6"/>
  <c r="AE193" i="6"/>
  <c r="V193" i="6"/>
  <c r="Q193" i="6"/>
  <c r="AJ192" i="6"/>
  <c r="AE192" i="6"/>
  <c r="V192" i="6"/>
  <c r="Q192" i="6"/>
  <c r="AJ191" i="6"/>
  <c r="AE191" i="6"/>
  <c r="V191" i="6"/>
  <c r="Q191" i="6"/>
  <c r="AJ190" i="6"/>
  <c r="AE190" i="6"/>
  <c r="V190" i="6"/>
  <c r="Q190" i="6"/>
  <c r="AJ189" i="6"/>
  <c r="AE189" i="6"/>
  <c r="V189" i="6"/>
  <c r="Q189" i="6"/>
  <c r="K329" i="2"/>
  <c r="J221" i="6"/>
  <c r="J329" i="2"/>
  <c r="I221" i="6"/>
  <c r="I329" i="2"/>
  <c r="D221" i="6"/>
  <c r="E207" i="21" s="1"/>
  <c r="K328" i="2"/>
  <c r="J220" i="6" s="1"/>
  <c r="J328" i="2"/>
  <c r="I220" i="6" s="1"/>
  <c r="Y220" i="6" s="1"/>
  <c r="I328" i="2"/>
  <c r="D220" i="6"/>
  <c r="K327" i="2"/>
  <c r="J219" i="6"/>
  <c r="J327" i="2"/>
  <c r="I219" i="6"/>
  <c r="I327" i="2"/>
  <c r="D219" i="6"/>
  <c r="K326" i="2"/>
  <c r="J218" i="6"/>
  <c r="J326" i="2"/>
  <c r="I218" i="6"/>
  <c r="I326" i="2"/>
  <c r="D218" i="6"/>
  <c r="E204" i="21" s="1"/>
  <c r="K325" i="2"/>
  <c r="J217" i="6" s="1"/>
  <c r="J325" i="2"/>
  <c r="I217" i="6"/>
  <c r="I325" i="2"/>
  <c r="D217" i="6" s="1"/>
  <c r="K324" i="2"/>
  <c r="J216" i="6" s="1"/>
  <c r="J324" i="2"/>
  <c r="I216" i="6"/>
  <c r="I324" i="2"/>
  <c r="D216" i="6"/>
  <c r="K323" i="2"/>
  <c r="J215" i="6"/>
  <c r="J323" i="2"/>
  <c r="I215" i="6"/>
  <c r="I323" i="2"/>
  <c r="D215" i="6" s="1"/>
  <c r="E201" i="21" s="1"/>
  <c r="K321" i="2"/>
  <c r="J213" i="6"/>
  <c r="J321" i="2"/>
  <c r="I213" i="6" s="1"/>
  <c r="I321" i="2"/>
  <c r="D213" i="6" s="1"/>
  <c r="K320" i="2"/>
  <c r="J212" i="6" s="1"/>
  <c r="J320" i="2"/>
  <c r="I212" i="6" s="1"/>
  <c r="I320" i="2"/>
  <c r="D212" i="6" s="1"/>
  <c r="K319" i="2"/>
  <c r="J211" i="6" s="1"/>
  <c r="J319" i="2"/>
  <c r="I211" i="6" s="1"/>
  <c r="I319" i="2"/>
  <c r="D211" i="6" s="1"/>
  <c r="E197" i="21"/>
  <c r="K318" i="2"/>
  <c r="J210" i="6"/>
  <c r="J318" i="2"/>
  <c r="I210" i="6"/>
  <c r="I318" i="2"/>
  <c r="D210" i="6"/>
  <c r="K317" i="2"/>
  <c r="J209" i="6"/>
  <c r="J317" i="2"/>
  <c r="I209" i="6"/>
  <c r="I317" i="2"/>
  <c r="D209" i="6"/>
  <c r="E195" i="21" s="1"/>
  <c r="K316" i="2"/>
  <c r="J208" i="6" s="1"/>
  <c r="J316" i="2"/>
  <c r="I208" i="6" s="1"/>
  <c r="I316" i="2"/>
  <c r="D208" i="6"/>
  <c r="K315" i="2"/>
  <c r="J207" i="6"/>
  <c r="J315" i="2"/>
  <c r="I207" i="6" s="1"/>
  <c r="I315" i="2"/>
  <c r="D207" i="6" s="1"/>
  <c r="E193" i="21" s="1"/>
  <c r="B313" i="2"/>
  <c r="D205" i="6"/>
  <c r="M203" i="7" s="1"/>
  <c r="C203" i="7" s="1"/>
  <c r="D18" i="19"/>
  <c r="D17" i="19"/>
  <c r="K163" i="7"/>
  <c r="V185" i="6"/>
  <c r="Q185" i="6"/>
  <c r="V184" i="6"/>
  <c r="Q184" i="6"/>
  <c r="V183" i="6"/>
  <c r="Q183" i="6"/>
  <c r="V182" i="6"/>
  <c r="Q182" i="6"/>
  <c r="V181" i="6"/>
  <c r="Q181" i="6"/>
  <c r="V180" i="6"/>
  <c r="Q180" i="6"/>
  <c r="V179" i="6"/>
  <c r="Q179" i="6"/>
  <c r="V177" i="6"/>
  <c r="Q177" i="6"/>
  <c r="V176" i="6"/>
  <c r="Q176" i="6"/>
  <c r="V175" i="6"/>
  <c r="Q175" i="6"/>
  <c r="V174" i="6"/>
  <c r="Q174" i="6"/>
  <c r="V173" i="6"/>
  <c r="Q173" i="6"/>
  <c r="V172" i="6"/>
  <c r="Q172" i="6"/>
  <c r="V171" i="6"/>
  <c r="Q171" i="6"/>
  <c r="K311" i="2"/>
  <c r="J203" i="6"/>
  <c r="J311" i="2"/>
  <c r="I203" i="6"/>
  <c r="I311" i="2"/>
  <c r="D203" i="6"/>
  <c r="K310" i="2"/>
  <c r="J202" i="6"/>
  <c r="J310" i="2"/>
  <c r="I202" i="6"/>
  <c r="I310" i="2"/>
  <c r="D202" i="6" s="1"/>
  <c r="E189" i="21"/>
  <c r="K309" i="2"/>
  <c r="J201" i="6"/>
  <c r="J309" i="2"/>
  <c r="I201" i="6" s="1"/>
  <c r="I309" i="2"/>
  <c r="D201" i="6"/>
  <c r="K308" i="2"/>
  <c r="J200" i="6"/>
  <c r="J308" i="2"/>
  <c r="I200" i="6" s="1"/>
  <c r="I308" i="2"/>
  <c r="D200" i="6" s="1"/>
  <c r="E187" i="21" s="1"/>
  <c r="K307" i="2"/>
  <c r="J199" i="6"/>
  <c r="J307" i="2"/>
  <c r="I199" i="6"/>
  <c r="I307" i="2"/>
  <c r="D199" i="6" s="1"/>
  <c r="E186" i="21"/>
  <c r="K306" i="2"/>
  <c r="J198" i="6"/>
  <c r="J306" i="2"/>
  <c r="I198" i="6" s="1"/>
  <c r="I306" i="2"/>
  <c r="D198" i="6" s="1"/>
  <c r="K305" i="2"/>
  <c r="J197" i="6" s="1"/>
  <c r="J305" i="2"/>
  <c r="I197" i="6"/>
  <c r="I305" i="2"/>
  <c r="D197" i="6" s="1"/>
  <c r="E184" i="21" s="1"/>
  <c r="K303" i="2"/>
  <c r="J195" i="6"/>
  <c r="J303" i="2"/>
  <c r="I195" i="6"/>
  <c r="I303" i="2"/>
  <c r="D195" i="6"/>
  <c r="K302" i="2"/>
  <c r="J194" i="6"/>
  <c r="J302" i="2"/>
  <c r="I194" i="6"/>
  <c r="R194" i="6" s="1"/>
  <c r="I302" i="2"/>
  <c r="D194" i="6" s="1"/>
  <c r="E181" i="21" s="1"/>
  <c r="K301" i="2"/>
  <c r="J193" i="6"/>
  <c r="J301" i="2"/>
  <c r="I193" i="6"/>
  <c r="I301" i="2"/>
  <c r="D193" i="6"/>
  <c r="K300" i="2"/>
  <c r="J192" i="6"/>
  <c r="J300" i="2"/>
  <c r="I192" i="6"/>
  <c r="I300" i="2"/>
  <c r="D192" i="6"/>
  <c r="K299" i="2"/>
  <c r="J191" i="6"/>
  <c r="J299" i="2"/>
  <c r="I191" i="6"/>
  <c r="I299" i="2"/>
  <c r="D191" i="6" s="1"/>
  <c r="E178" i="21"/>
  <c r="K298" i="2"/>
  <c r="J190" i="6"/>
  <c r="J298" i="2"/>
  <c r="I190" i="6"/>
  <c r="I298" i="2"/>
  <c r="D190" i="6"/>
  <c r="E177" i="21" s="1"/>
  <c r="K297" i="2"/>
  <c r="J189" i="6" s="1"/>
  <c r="J297" i="2"/>
  <c r="I189" i="6"/>
  <c r="I297" i="2"/>
  <c r="D189" i="6" s="1"/>
  <c r="E176" i="21"/>
  <c r="B295" i="2"/>
  <c r="D187" i="6"/>
  <c r="K525" i="2"/>
  <c r="J525" i="2"/>
  <c r="I525" i="2"/>
  <c r="K524" i="2"/>
  <c r="J524" i="2"/>
  <c r="I524" i="2"/>
  <c r="K523" i="2"/>
  <c r="J523" i="2"/>
  <c r="I523" i="2"/>
  <c r="K522" i="2"/>
  <c r="J522" i="2"/>
  <c r="I522" i="2"/>
  <c r="K293" i="2"/>
  <c r="J185" i="6"/>
  <c r="J293" i="2"/>
  <c r="I185" i="6"/>
  <c r="I293" i="2"/>
  <c r="D185" i="6"/>
  <c r="K292" i="2"/>
  <c r="J184" i="6"/>
  <c r="J292" i="2"/>
  <c r="I184" i="6"/>
  <c r="I292" i="2"/>
  <c r="D184" i="6"/>
  <c r="K291" i="2"/>
  <c r="J183" i="6"/>
  <c r="J291" i="2"/>
  <c r="I183" i="6" s="1"/>
  <c r="I291" i="2"/>
  <c r="D183" i="6" s="1"/>
  <c r="K290" i="2"/>
  <c r="J182" i="6" s="1"/>
  <c r="J290" i="2"/>
  <c r="I182" i="6" s="1"/>
  <c r="I290" i="2"/>
  <c r="D182" i="6" s="1"/>
  <c r="K289" i="2"/>
  <c r="J181" i="6" s="1"/>
  <c r="J289" i="2"/>
  <c r="I181" i="6"/>
  <c r="I289" i="2"/>
  <c r="D181" i="6"/>
  <c r="K288" i="2"/>
  <c r="J180" i="6" s="1"/>
  <c r="J288" i="2"/>
  <c r="I180" i="6" s="1"/>
  <c r="I288" i="2"/>
  <c r="D180" i="6"/>
  <c r="K287" i="2"/>
  <c r="J179" i="6"/>
  <c r="J287" i="2"/>
  <c r="I179" i="6" s="1"/>
  <c r="I287" i="2"/>
  <c r="D179" i="6" s="1"/>
  <c r="K285" i="2"/>
  <c r="J177" i="6"/>
  <c r="J285" i="2"/>
  <c r="I177" i="6" s="1"/>
  <c r="I285" i="2"/>
  <c r="D177" i="6" s="1"/>
  <c r="K284" i="2"/>
  <c r="J176" i="6" s="1"/>
  <c r="J284" i="2"/>
  <c r="I176" i="6" s="1"/>
  <c r="I284" i="2"/>
  <c r="D176" i="6"/>
  <c r="K283" i="2"/>
  <c r="J175" i="6"/>
  <c r="J283" i="2"/>
  <c r="I175" i="6"/>
  <c r="I283" i="2"/>
  <c r="D175" i="6" s="1"/>
  <c r="K282" i="2"/>
  <c r="J174" i="6" s="1"/>
  <c r="J282" i="2"/>
  <c r="I174" i="6"/>
  <c r="I282" i="2"/>
  <c r="D174" i="6"/>
  <c r="K281" i="2"/>
  <c r="J173" i="6"/>
  <c r="J281" i="2"/>
  <c r="I173" i="6"/>
  <c r="I281" i="2"/>
  <c r="D173" i="6" s="1"/>
  <c r="K280" i="2"/>
  <c r="J172" i="6" s="1"/>
  <c r="AM172" i="6"/>
  <c r="J280" i="2"/>
  <c r="I172" i="6"/>
  <c r="I280" i="2"/>
  <c r="D172" i="6" s="1"/>
  <c r="K279" i="2"/>
  <c r="J171" i="6"/>
  <c r="J279" i="2"/>
  <c r="I171" i="6"/>
  <c r="I279" i="2"/>
  <c r="D171" i="6" s="1"/>
  <c r="B277" i="2"/>
  <c r="K275" i="2"/>
  <c r="J167" i="6" s="1"/>
  <c r="J275" i="2"/>
  <c r="K274" i="2"/>
  <c r="J166" i="6" s="1"/>
  <c r="J274" i="2"/>
  <c r="I166" i="6" s="1"/>
  <c r="Y166" i="6" s="1"/>
  <c r="K273" i="2"/>
  <c r="J273" i="2"/>
  <c r="K272" i="2"/>
  <c r="J272" i="2"/>
  <c r="I164" i="6" s="1"/>
  <c r="K271" i="2"/>
  <c r="J163" i="6" s="1"/>
  <c r="J271" i="2"/>
  <c r="I163" i="6" s="1"/>
  <c r="K270" i="2"/>
  <c r="J162" i="6" s="1"/>
  <c r="J270" i="2"/>
  <c r="I162" i="6"/>
  <c r="K269" i="2"/>
  <c r="J161" i="6" s="1"/>
  <c r="J269" i="2"/>
  <c r="I161" i="6"/>
  <c r="K267" i="2"/>
  <c r="J159" i="6" s="1"/>
  <c r="AF158" i="6" s="1"/>
  <c r="J267" i="2"/>
  <c r="I159" i="6" s="1"/>
  <c r="K266" i="2"/>
  <c r="J158" i="6" s="1"/>
  <c r="J266" i="2"/>
  <c r="I158" i="6"/>
  <c r="K265" i="2"/>
  <c r="J157" i="6" s="1"/>
  <c r="J265" i="2"/>
  <c r="I157" i="6" s="1"/>
  <c r="K264" i="2"/>
  <c r="J156" i="6" s="1"/>
  <c r="J264" i="2"/>
  <c r="K263" i="2"/>
  <c r="J155" i="6"/>
  <c r="L155" i="6" s="1"/>
  <c r="AH163" i="6"/>
  <c r="J263" i="2"/>
  <c r="K262" i="2"/>
  <c r="J154" i="6" s="1"/>
  <c r="J262" i="2"/>
  <c r="K261" i="2"/>
  <c r="J153" i="6"/>
  <c r="J261" i="2"/>
  <c r="Q23" i="2"/>
  <c r="I263" i="2"/>
  <c r="D155" i="6" s="1"/>
  <c r="E144" i="21" s="1"/>
  <c r="I262" i="2"/>
  <c r="D154" i="6"/>
  <c r="I261" i="2"/>
  <c r="D153" i="6"/>
  <c r="B259" i="2"/>
  <c r="D151" i="6"/>
  <c r="M163" i="7" s="1"/>
  <c r="C163" i="7" s="1"/>
  <c r="K245" i="2"/>
  <c r="J245" i="2"/>
  <c r="I245" i="2"/>
  <c r="K244" i="2"/>
  <c r="N244" i="2"/>
  <c r="R244" i="2" s="1"/>
  <c r="J244" i="2"/>
  <c r="I244" i="2"/>
  <c r="K243" i="2"/>
  <c r="J243" i="2"/>
  <c r="I243" i="2"/>
  <c r="B241" i="2"/>
  <c r="C159" i="7"/>
  <c r="C151" i="7"/>
  <c r="C138" i="7"/>
  <c r="C131" i="7"/>
  <c r="B223" i="2"/>
  <c r="D133" i="6" s="1"/>
  <c r="M143" i="7"/>
  <c r="C143" i="7" s="1"/>
  <c r="K518" i="2"/>
  <c r="J518" i="2"/>
  <c r="I518" i="2"/>
  <c r="K517" i="2"/>
  <c r="J517" i="2"/>
  <c r="I517" i="2"/>
  <c r="K516" i="2"/>
  <c r="J516" i="2"/>
  <c r="I516" i="2"/>
  <c r="K515" i="2"/>
  <c r="J515" i="2"/>
  <c r="I515" i="2"/>
  <c r="T14" i="19"/>
  <c r="U14" i="19"/>
  <c r="T15" i="19"/>
  <c r="U15" i="19"/>
  <c r="T16" i="19"/>
  <c r="U16" i="19"/>
  <c r="T17" i="19"/>
  <c r="U17" i="19"/>
  <c r="T13" i="19"/>
  <c r="U13" i="19" s="1"/>
  <c r="J15" i="19"/>
  <c r="D16" i="19"/>
  <c r="D15" i="19"/>
  <c r="C115" i="7"/>
  <c r="C98" i="7"/>
  <c r="G203" i="2"/>
  <c r="Q113" i="6" s="1"/>
  <c r="F203" i="2"/>
  <c r="E203" i="2"/>
  <c r="G202" i="2"/>
  <c r="F202" i="2"/>
  <c r="E202" i="2"/>
  <c r="G201" i="2"/>
  <c r="Q111" i="6"/>
  <c r="F201" i="2"/>
  <c r="E201" i="2"/>
  <c r="G200" i="2"/>
  <c r="Q110" i="6"/>
  <c r="F200" i="2"/>
  <c r="E200" i="2"/>
  <c r="G199" i="2"/>
  <c r="Q109" i="6"/>
  <c r="F199" i="2"/>
  <c r="E199" i="2"/>
  <c r="G198" i="2"/>
  <c r="F198" i="2"/>
  <c r="E198" i="2"/>
  <c r="G197" i="2"/>
  <c r="Q107" i="6" s="1"/>
  <c r="F197" i="2"/>
  <c r="E197" i="2"/>
  <c r="G185" i="2"/>
  <c r="Q95" i="6" s="1"/>
  <c r="F185" i="2"/>
  <c r="E185" i="2"/>
  <c r="G184" i="2"/>
  <c r="Q94" i="6" s="1"/>
  <c r="F184" i="2"/>
  <c r="E184" i="2"/>
  <c r="G183" i="2"/>
  <c r="F183" i="2"/>
  <c r="E183" i="2"/>
  <c r="G182" i="2"/>
  <c r="Q92" i="6"/>
  <c r="F182" i="2"/>
  <c r="E182" i="2"/>
  <c r="G181" i="2"/>
  <c r="Q91" i="6"/>
  <c r="F181" i="2"/>
  <c r="E181" i="2"/>
  <c r="G180" i="2"/>
  <c r="Q90" i="6"/>
  <c r="F180" i="2"/>
  <c r="E180" i="2"/>
  <c r="G179" i="2"/>
  <c r="Q89" i="6"/>
  <c r="F179" i="2"/>
  <c r="E179" i="2"/>
  <c r="G167" i="2"/>
  <c r="Q77" i="6"/>
  <c r="F167" i="2"/>
  <c r="E167" i="2"/>
  <c r="G166" i="2"/>
  <c r="F166" i="2"/>
  <c r="E166" i="2"/>
  <c r="G165" i="2"/>
  <c r="Q75" i="6" s="1"/>
  <c r="F165" i="2"/>
  <c r="E165" i="2"/>
  <c r="G164" i="2"/>
  <c r="F164" i="2"/>
  <c r="E164" i="2"/>
  <c r="G163" i="2"/>
  <c r="F163" i="2"/>
  <c r="E163" i="2"/>
  <c r="G162" i="2"/>
  <c r="Q72" i="6" s="1"/>
  <c r="F162" i="2"/>
  <c r="E162" i="2"/>
  <c r="G161" i="2"/>
  <c r="Q71" i="6" s="1"/>
  <c r="F161" i="2"/>
  <c r="E161" i="2"/>
  <c r="G149" i="2"/>
  <c r="G148" i="2"/>
  <c r="G147" i="2"/>
  <c r="Q57" i="6" s="1"/>
  <c r="G146" i="2"/>
  <c r="G145" i="2"/>
  <c r="G144" i="2"/>
  <c r="Q54" i="6" s="1"/>
  <c r="G143" i="2"/>
  <c r="F149" i="2"/>
  <c r="F148" i="2"/>
  <c r="F147" i="2"/>
  <c r="F146" i="2"/>
  <c r="F145" i="2"/>
  <c r="F144" i="2"/>
  <c r="F143" i="2"/>
  <c r="E149" i="2"/>
  <c r="E148" i="2"/>
  <c r="E147" i="2"/>
  <c r="E146" i="2"/>
  <c r="E145" i="2"/>
  <c r="E144" i="2"/>
  <c r="E143" i="2"/>
  <c r="C57" i="17"/>
  <c r="C58" i="17"/>
  <c r="B57" i="17"/>
  <c r="B58" i="17"/>
  <c r="C54" i="17"/>
  <c r="C56" i="17"/>
  <c r="B54" i="17"/>
  <c r="B56" i="17"/>
  <c r="C17" i="17"/>
  <c r="B17" i="17"/>
  <c r="C14" i="17"/>
  <c r="C16" i="17"/>
  <c r="B14" i="17"/>
  <c r="F15" i="17"/>
  <c r="F14" i="17"/>
  <c r="K83" i="7"/>
  <c r="K511" i="2"/>
  <c r="J511" i="2"/>
  <c r="I511" i="2"/>
  <c r="K510" i="2"/>
  <c r="J510" i="2"/>
  <c r="I510" i="2"/>
  <c r="K509" i="2"/>
  <c r="J509" i="2"/>
  <c r="I509" i="2"/>
  <c r="K508" i="2"/>
  <c r="J508" i="2"/>
  <c r="I508" i="2"/>
  <c r="G50" i="2"/>
  <c r="G51" i="2"/>
  <c r="G52" i="2"/>
  <c r="G53" i="2"/>
  <c r="G54" i="2"/>
  <c r="G55" i="2"/>
  <c r="G49" i="2"/>
  <c r="G42" i="2"/>
  <c r="G43" i="2"/>
  <c r="G44" i="2"/>
  <c r="G45" i="2"/>
  <c r="G46" i="2"/>
  <c r="G47" i="2"/>
  <c r="G41" i="2"/>
  <c r="J208" i="2"/>
  <c r="I118" i="6"/>
  <c r="B205" i="2"/>
  <c r="D115" i="6"/>
  <c r="B115" i="6" s="1"/>
  <c r="B187" i="2"/>
  <c r="D97" i="6"/>
  <c r="B97" i="6" s="1"/>
  <c r="B169" i="2"/>
  <c r="D79" i="6" s="1"/>
  <c r="M83" i="7"/>
  <c r="C67" i="7"/>
  <c r="C68" i="7"/>
  <c r="C69" i="7"/>
  <c r="C70" i="7"/>
  <c r="C71" i="7"/>
  <c r="C72" i="7"/>
  <c r="C66" i="7"/>
  <c r="J76" i="2"/>
  <c r="E42" i="2"/>
  <c r="E43" i="2"/>
  <c r="E44" i="2"/>
  <c r="E45" i="2"/>
  <c r="E46" i="2"/>
  <c r="E47" i="2"/>
  <c r="E49" i="2"/>
  <c r="E50" i="2"/>
  <c r="E51" i="2"/>
  <c r="E52" i="2"/>
  <c r="E53" i="2"/>
  <c r="E54" i="2"/>
  <c r="J54" i="2" s="1"/>
  <c r="E55" i="2"/>
  <c r="F42" i="2"/>
  <c r="F43" i="2"/>
  <c r="F44" i="2"/>
  <c r="F45" i="2"/>
  <c r="F46" i="2"/>
  <c r="F47" i="2"/>
  <c r="F49" i="2"/>
  <c r="F50" i="2"/>
  <c r="F51" i="2"/>
  <c r="F52" i="2"/>
  <c r="F53" i="2"/>
  <c r="F54" i="2"/>
  <c r="F55" i="2"/>
  <c r="F41" i="2"/>
  <c r="E41" i="2"/>
  <c r="K64" i="2"/>
  <c r="K4" i="7"/>
  <c r="C52" i="7"/>
  <c r="Q51" i="6"/>
  <c r="AE51" i="6"/>
  <c r="C60" i="7"/>
  <c r="C80" i="7"/>
  <c r="Q69" i="6"/>
  <c r="AE69" i="6"/>
  <c r="K23" i="7"/>
  <c r="C40" i="7"/>
  <c r="B115" i="2"/>
  <c r="D25" i="6"/>
  <c r="Q41" i="6"/>
  <c r="AE41" i="6"/>
  <c r="C32" i="7"/>
  <c r="Q33" i="6"/>
  <c r="AE33" i="6"/>
  <c r="C20" i="7"/>
  <c r="Q23" i="6"/>
  <c r="AE23" i="6"/>
  <c r="C12" i="7"/>
  <c r="Q15" i="6"/>
  <c r="AE15" i="6"/>
  <c r="B151" i="2"/>
  <c r="D61" i="6" s="1"/>
  <c r="B133" i="2"/>
  <c r="D43" i="6" s="1"/>
  <c r="K504" i="2"/>
  <c r="J504" i="2"/>
  <c r="I504" i="2"/>
  <c r="K503" i="2"/>
  <c r="J503" i="2"/>
  <c r="I503" i="2"/>
  <c r="K502" i="2"/>
  <c r="J502" i="2"/>
  <c r="I502" i="2"/>
  <c r="K501" i="2"/>
  <c r="J501" i="2"/>
  <c r="I501" i="2"/>
  <c r="K499" i="2"/>
  <c r="J499" i="2"/>
  <c r="I499" i="2"/>
  <c r="K498" i="2"/>
  <c r="J498" i="2"/>
  <c r="I498" i="2"/>
  <c r="K497" i="2"/>
  <c r="J497" i="2"/>
  <c r="I497" i="2"/>
  <c r="K496" i="2"/>
  <c r="J496" i="2"/>
  <c r="I496" i="2"/>
  <c r="K494" i="2"/>
  <c r="J494" i="2"/>
  <c r="I494" i="2"/>
  <c r="K493" i="2"/>
  <c r="J493" i="2"/>
  <c r="I493" i="2"/>
  <c r="K492" i="2"/>
  <c r="J492" i="2"/>
  <c r="I492" i="2"/>
  <c r="K491" i="2"/>
  <c r="J491" i="2"/>
  <c r="I491" i="2"/>
  <c r="K489" i="2"/>
  <c r="J489" i="2"/>
  <c r="I489" i="2"/>
  <c r="K488" i="2"/>
  <c r="J488" i="2"/>
  <c r="I488" i="2"/>
  <c r="K487" i="2"/>
  <c r="J487" i="2"/>
  <c r="I487" i="2"/>
  <c r="K486" i="2"/>
  <c r="J486" i="2"/>
  <c r="I486" i="2"/>
  <c r="K484" i="2"/>
  <c r="J484" i="2"/>
  <c r="I484" i="2"/>
  <c r="K483" i="2"/>
  <c r="J483" i="2"/>
  <c r="I483" i="2"/>
  <c r="K482" i="2"/>
  <c r="J482" i="2"/>
  <c r="I482" i="2"/>
  <c r="K481" i="2"/>
  <c r="J481" i="2"/>
  <c r="I481" i="2"/>
  <c r="B97" i="2"/>
  <c r="D4" i="6" s="1"/>
  <c r="M3" i="7"/>
  <c r="C3" i="7" s="1"/>
  <c r="B39" i="2"/>
  <c r="J8" i="2"/>
  <c r="A25" i="16"/>
  <c r="A26" i="16"/>
  <c r="A27" i="16"/>
  <c r="A28" i="16"/>
  <c r="A29" i="16"/>
  <c r="A30" i="16"/>
  <c r="A24" i="16"/>
  <c r="A44" i="16"/>
  <c r="A43" i="16"/>
  <c r="A42" i="16"/>
  <c r="A41" i="16"/>
  <c r="A40" i="16"/>
  <c r="A39" i="16"/>
  <c r="A38" i="16"/>
  <c r="A66" i="16"/>
  <c r="A72" i="16"/>
  <c r="A71" i="16"/>
  <c r="A70" i="16"/>
  <c r="A69" i="16"/>
  <c r="A68" i="16"/>
  <c r="A67" i="16"/>
  <c r="A53" i="16"/>
  <c r="A54" i="16"/>
  <c r="A55" i="16"/>
  <c r="A56" i="16"/>
  <c r="A57" i="16"/>
  <c r="A58" i="16"/>
  <c r="A52" i="16"/>
  <c r="A16" i="16"/>
  <c r="A15" i="16"/>
  <c r="A14" i="16"/>
  <c r="A13" i="16"/>
  <c r="A12" i="16"/>
  <c r="A11" i="16"/>
  <c r="A10" i="16"/>
  <c r="K112" i="9"/>
  <c r="L112" i="9"/>
  <c r="K113" i="9"/>
  <c r="L113" i="9"/>
  <c r="K114" i="9"/>
  <c r="L114" i="9"/>
  <c r="K115" i="9"/>
  <c r="L115" i="9"/>
  <c r="K116" i="9"/>
  <c r="L116" i="9"/>
  <c r="K117" i="9"/>
  <c r="L117" i="9"/>
  <c r="K119" i="9"/>
  <c r="L119" i="9"/>
  <c r="K120" i="9"/>
  <c r="L120" i="9"/>
  <c r="K121" i="9"/>
  <c r="L121" i="9"/>
  <c r="K122" i="9"/>
  <c r="L122" i="9"/>
  <c r="K123" i="9"/>
  <c r="L123" i="9"/>
  <c r="K124" i="9"/>
  <c r="L124" i="9"/>
  <c r="K125" i="9"/>
  <c r="L125" i="9"/>
  <c r="L111" i="9"/>
  <c r="K111" i="9"/>
  <c r="K91" i="9"/>
  <c r="L91" i="9"/>
  <c r="K92" i="9"/>
  <c r="L92" i="9"/>
  <c r="K93" i="9"/>
  <c r="L93" i="9"/>
  <c r="K94" i="9"/>
  <c r="L94" i="9"/>
  <c r="K95" i="9"/>
  <c r="L95" i="9"/>
  <c r="K96" i="9"/>
  <c r="L96" i="9"/>
  <c r="K98" i="9"/>
  <c r="L98" i="9"/>
  <c r="K99" i="9"/>
  <c r="L99" i="9"/>
  <c r="K100" i="9"/>
  <c r="L100" i="9"/>
  <c r="K101" i="9"/>
  <c r="L101" i="9"/>
  <c r="K102" i="9"/>
  <c r="L102" i="9"/>
  <c r="K103" i="9"/>
  <c r="L103" i="9"/>
  <c r="K104" i="9"/>
  <c r="L104" i="9"/>
  <c r="L90" i="9"/>
  <c r="K90" i="9"/>
  <c r="K70" i="9"/>
  <c r="L70" i="9"/>
  <c r="K71" i="9"/>
  <c r="L71" i="9"/>
  <c r="K72" i="9"/>
  <c r="L72" i="9"/>
  <c r="K73" i="9"/>
  <c r="L73" i="9"/>
  <c r="K74" i="9"/>
  <c r="L74" i="9"/>
  <c r="K75" i="9"/>
  <c r="L75" i="9"/>
  <c r="K77" i="9"/>
  <c r="L77" i="9"/>
  <c r="K78" i="9"/>
  <c r="L78" i="9"/>
  <c r="K79" i="9"/>
  <c r="L79" i="9"/>
  <c r="K80" i="9"/>
  <c r="L80" i="9"/>
  <c r="K81" i="9"/>
  <c r="L81" i="9"/>
  <c r="K82" i="9"/>
  <c r="L82" i="9"/>
  <c r="K83" i="9"/>
  <c r="L83" i="9"/>
  <c r="L69" i="9"/>
  <c r="K69" i="9"/>
  <c r="K49" i="9"/>
  <c r="L49" i="9"/>
  <c r="K50" i="9"/>
  <c r="L50" i="9"/>
  <c r="K51" i="9"/>
  <c r="L51" i="9"/>
  <c r="K52" i="9"/>
  <c r="L52" i="9"/>
  <c r="K53" i="9"/>
  <c r="L53" i="9"/>
  <c r="K54" i="9"/>
  <c r="L54" i="9"/>
  <c r="K56" i="9"/>
  <c r="L56" i="9"/>
  <c r="K57" i="9"/>
  <c r="L57" i="9"/>
  <c r="K58" i="9"/>
  <c r="L58" i="9"/>
  <c r="K59" i="9"/>
  <c r="L59" i="9"/>
  <c r="K60" i="9"/>
  <c r="L60" i="9"/>
  <c r="K61" i="9"/>
  <c r="L61" i="9"/>
  <c r="K62" i="9"/>
  <c r="L62" i="9"/>
  <c r="L48" i="9"/>
  <c r="K48" i="9"/>
  <c r="K7" i="9"/>
  <c r="L7" i="9"/>
  <c r="K8" i="9"/>
  <c r="L8" i="9"/>
  <c r="K9" i="9"/>
  <c r="L9" i="9"/>
  <c r="K10" i="9"/>
  <c r="L10" i="9"/>
  <c r="K11" i="9"/>
  <c r="L11" i="9"/>
  <c r="K12" i="9"/>
  <c r="L12" i="9"/>
  <c r="K14" i="9"/>
  <c r="L14" i="9"/>
  <c r="K15" i="9"/>
  <c r="L15" i="9"/>
  <c r="K16" i="9"/>
  <c r="L16" i="9"/>
  <c r="K17" i="9"/>
  <c r="L17" i="9"/>
  <c r="K18" i="9"/>
  <c r="L18" i="9"/>
  <c r="K19" i="9"/>
  <c r="L19" i="9"/>
  <c r="K20" i="9"/>
  <c r="L20" i="9"/>
  <c r="L6" i="9"/>
  <c r="K28" i="9"/>
  <c r="L28" i="9"/>
  <c r="K29" i="9"/>
  <c r="L29" i="9"/>
  <c r="K30" i="9"/>
  <c r="L30" i="9"/>
  <c r="K31" i="9"/>
  <c r="L31" i="9"/>
  <c r="K32" i="9"/>
  <c r="L32" i="9"/>
  <c r="K33" i="9"/>
  <c r="L33" i="9"/>
  <c r="K36" i="9"/>
  <c r="L36" i="9"/>
  <c r="K37" i="9"/>
  <c r="L37" i="9"/>
  <c r="K38" i="9"/>
  <c r="L38" i="9"/>
  <c r="K39" i="9"/>
  <c r="L39" i="9"/>
  <c r="K40" i="9"/>
  <c r="L40" i="9"/>
  <c r="K41" i="9"/>
  <c r="L41" i="9"/>
  <c r="L27" i="9"/>
  <c r="K27" i="9"/>
  <c r="K6" i="9"/>
  <c r="A104" i="9"/>
  <c r="A103" i="9"/>
  <c r="A102" i="9"/>
  <c r="A101" i="9"/>
  <c r="A100" i="9"/>
  <c r="A99" i="9"/>
  <c r="A98" i="9"/>
  <c r="A62" i="9"/>
  <c r="A61" i="9"/>
  <c r="A60" i="9"/>
  <c r="A59" i="9"/>
  <c r="A58" i="9"/>
  <c r="A57" i="9"/>
  <c r="A56" i="9"/>
  <c r="A20" i="9"/>
  <c r="A19" i="9"/>
  <c r="A18" i="9"/>
  <c r="A17" i="9"/>
  <c r="A16" i="9"/>
  <c r="A15" i="9"/>
  <c r="A14" i="9"/>
  <c r="X14" i="9"/>
  <c r="X9" i="6"/>
  <c r="AL9" i="6"/>
  <c r="Y104" i="9"/>
  <c r="X104" i="9"/>
  <c r="Y103" i="9"/>
  <c r="X103" i="9"/>
  <c r="Y102" i="9"/>
  <c r="X102" i="9"/>
  <c r="Y101" i="9"/>
  <c r="X101" i="9"/>
  <c r="Y100" i="9"/>
  <c r="X100" i="9"/>
  <c r="Y99" i="9"/>
  <c r="X99" i="9"/>
  <c r="Y98" i="9"/>
  <c r="X98" i="9"/>
  <c r="Y96" i="9"/>
  <c r="X96" i="9"/>
  <c r="Y95" i="9"/>
  <c r="X95" i="9"/>
  <c r="Y94" i="9"/>
  <c r="X94" i="9"/>
  <c r="Y93" i="9"/>
  <c r="X93" i="9"/>
  <c r="Y92" i="9"/>
  <c r="X92" i="9"/>
  <c r="Y91" i="9"/>
  <c r="X91" i="9"/>
  <c r="Y90" i="9"/>
  <c r="X90" i="9"/>
  <c r="Y83" i="9"/>
  <c r="X83" i="9"/>
  <c r="Y82" i="9"/>
  <c r="X82" i="9"/>
  <c r="Y81" i="9"/>
  <c r="X81" i="9"/>
  <c r="Y80" i="9"/>
  <c r="X80" i="9"/>
  <c r="Y79" i="9"/>
  <c r="X79" i="9"/>
  <c r="Y78" i="9"/>
  <c r="X78" i="9"/>
  <c r="Y77" i="9"/>
  <c r="X77" i="9"/>
  <c r="Y75" i="9"/>
  <c r="X75" i="9"/>
  <c r="Y74" i="9"/>
  <c r="X74" i="9"/>
  <c r="Y73" i="9"/>
  <c r="X73" i="9"/>
  <c r="Y72" i="9"/>
  <c r="X72" i="9"/>
  <c r="Y71" i="9"/>
  <c r="X71" i="9"/>
  <c r="Y70" i="9"/>
  <c r="X70" i="9"/>
  <c r="Y69" i="9"/>
  <c r="X69" i="9"/>
  <c r="I275" i="2"/>
  <c r="D167" i="6" s="1"/>
  <c r="I274" i="2"/>
  <c r="D166" i="6"/>
  <c r="I273" i="2"/>
  <c r="D165" i="6"/>
  <c r="I272" i="2"/>
  <c r="D164" i="6"/>
  <c r="I271" i="2"/>
  <c r="D163" i="6"/>
  <c r="I270" i="2"/>
  <c r="D162" i="6"/>
  <c r="I269" i="2"/>
  <c r="D161" i="6"/>
  <c r="E150" i="21" s="1"/>
  <c r="I267" i="2"/>
  <c r="D159" i="6" s="1"/>
  <c r="I266" i="2"/>
  <c r="D158" i="6" s="1"/>
  <c r="I265" i="2"/>
  <c r="D157" i="6" s="1"/>
  <c r="I264" i="2"/>
  <c r="D156" i="6" s="1"/>
  <c r="I257" i="2"/>
  <c r="I256" i="2"/>
  <c r="I255" i="2"/>
  <c r="I254" i="2"/>
  <c r="I253" i="2"/>
  <c r="I252" i="2"/>
  <c r="I251" i="2"/>
  <c r="I249" i="2"/>
  <c r="I248" i="2"/>
  <c r="I247" i="2"/>
  <c r="I246" i="2"/>
  <c r="I239" i="2"/>
  <c r="D149" i="6"/>
  <c r="E139" i="21" s="1"/>
  <c r="I238" i="2"/>
  <c r="D148" i="6" s="1"/>
  <c r="E138" i="21"/>
  <c r="I237" i="2"/>
  <c r="D147" i="6"/>
  <c r="I236" i="2"/>
  <c r="D146" i="6"/>
  <c r="I235" i="2"/>
  <c r="D145" i="6"/>
  <c r="I234" i="2"/>
  <c r="D144" i="6"/>
  <c r="E134" i="21" s="1"/>
  <c r="I233" i="2"/>
  <c r="D143" i="6" s="1"/>
  <c r="E133" i="21" s="1"/>
  <c r="I231" i="2"/>
  <c r="D141" i="6"/>
  <c r="I230" i="2"/>
  <c r="D140" i="6"/>
  <c r="I229" i="2"/>
  <c r="D139" i="6"/>
  <c r="I228" i="2"/>
  <c r="D138" i="6"/>
  <c r="I227" i="2"/>
  <c r="D137" i="6"/>
  <c r="I226" i="2"/>
  <c r="D136" i="6"/>
  <c r="I225" i="2"/>
  <c r="D135" i="6"/>
  <c r="E125" i="21" s="1"/>
  <c r="I221" i="2"/>
  <c r="D131" i="6" s="1"/>
  <c r="E122" i="21" s="1"/>
  <c r="I220" i="2"/>
  <c r="D130" i="6"/>
  <c r="B130" i="6" s="1"/>
  <c r="I219" i="2"/>
  <c r="D129" i="6" s="1"/>
  <c r="I218" i="2"/>
  <c r="D128" i="6"/>
  <c r="I217" i="2"/>
  <c r="D127" i="6" s="1"/>
  <c r="E118" i="21" s="1"/>
  <c r="I216" i="2"/>
  <c r="D126" i="6"/>
  <c r="I215" i="2"/>
  <c r="D125" i="6"/>
  <c r="E116" i="21"/>
  <c r="I213" i="2"/>
  <c r="D123" i="6" s="1"/>
  <c r="I212" i="2"/>
  <c r="D122" i="6" s="1"/>
  <c r="E113" i="21" s="1"/>
  <c r="I211" i="2"/>
  <c r="D121" i="6"/>
  <c r="I210" i="2"/>
  <c r="D120" i="6"/>
  <c r="I209" i="2"/>
  <c r="D119" i="6"/>
  <c r="I208" i="2"/>
  <c r="D118" i="6"/>
  <c r="I207" i="2"/>
  <c r="D117" i="6"/>
  <c r="E108" i="21" s="1"/>
  <c r="I203" i="2"/>
  <c r="D113" i="6" s="1"/>
  <c r="E105" i="21"/>
  <c r="I202" i="2"/>
  <c r="D112" i="6" s="1"/>
  <c r="I201" i="2"/>
  <c r="D111" i="6"/>
  <c r="I200" i="2"/>
  <c r="D110" i="6" s="1"/>
  <c r="E102" i="21" s="1"/>
  <c r="I199" i="2"/>
  <c r="D109" i="6"/>
  <c r="E101" i="21" s="1"/>
  <c r="I198" i="2"/>
  <c r="D108" i="6"/>
  <c r="I197" i="2"/>
  <c r="D107" i="6" s="1"/>
  <c r="E99" i="21" s="1"/>
  <c r="I195" i="2"/>
  <c r="D105" i="6"/>
  <c r="I194" i="2"/>
  <c r="D104" i="6" s="1"/>
  <c r="I193" i="2"/>
  <c r="D103" i="6" s="1"/>
  <c r="I192" i="2"/>
  <c r="D102" i="6" s="1"/>
  <c r="I191" i="2"/>
  <c r="D101" i="6" s="1"/>
  <c r="I190" i="2"/>
  <c r="D100" i="6" s="1"/>
  <c r="I189" i="2"/>
  <c r="D99" i="6"/>
  <c r="I185" i="2"/>
  <c r="D95" i="6" s="1"/>
  <c r="I184" i="2"/>
  <c r="D94" i="6"/>
  <c r="E87" i="21"/>
  <c r="I183" i="2"/>
  <c r="D93" i="6"/>
  <c r="E86" i="21"/>
  <c r="I182" i="2"/>
  <c r="D92" i="6" s="1"/>
  <c r="I181" i="2"/>
  <c r="D91" i="6" s="1"/>
  <c r="I180" i="2"/>
  <c r="D90" i="6" s="1"/>
  <c r="I179" i="2"/>
  <c r="D89" i="6" s="1"/>
  <c r="E82" i="21" s="1"/>
  <c r="I177" i="2"/>
  <c r="D87" i="6"/>
  <c r="I176" i="2"/>
  <c r="D86" i="6" s="1"/>
  <c r="I175" i="2"/>
  <c r="D85" i="6"/>
  <c r="I174" i="2"/>
  <c r="D84" i="6" s="1"/>
  <c r="I173" i="2"/>
  <c r="D83" i="6"/>
  <c r="I172" i="2"/>
  <c r="D82" i="6" s="1"/>
  <c r="I171" i="2"/>
  <c r="D81" i="6"/>
  <c r="I167" i="2"/>
  <c r="D77" i="6" s="1"/>
  <c r="I166" i="2"/>
  <c r="D76" i="6"/>
  <c r="E70" i="21" s="1"/>
  <c r="I165" i="2"/>
  <c r="D75" i="6" s="1"/>
  <c r="E69" i="21"/>
  <c r="I164" i="2"/>
  <c r="D74" i="6" s="1"/>
  <c r="I163" i="2"/>
  <c r="D73" i="6"/>
  <c r="I162" i="2"/>
  <c r="D72" i="6" s="1"/>
  <c r="I161" i="2"/>
  <c r="D71" i="6"/>
  <c r="I159" i="2"/>
  <c r="D69" i="6" s="1"/>
  <c r="I158" i="2"/>
  <c r="D68" i="6"/>
  <c r="I157" i="2"/>
  <c r="D67" i="6" s="1"/>
  <c r="I156" i="2"/>
  <c r="D66" i="6" s="1"/>
  <c r="E60" i="21" s="1"/>
  <c r="I155" i="2"/>
  <c r="D65" i="6"/>
  <c r="I154" i="2"/>
  <c r="D64" i="6"/>
  <c r="E58" i="21" s="1"/>
  <c r="I153" i="2"/>
  <c r="D63" i="6" s="1"/>
  <c r="I149" i="2"/>
  <c r="D59" i="6" s="1"/>
  <c r="I148" i="2"/>
  <c r="D58" i="6"/>
  <c r="I147" i="2"/>
  <c r="D57" i="6" s="1"/>
  <c r="I146" i="2"/>
  <c r="D56" i="6"/>
  <c r="I145" i="2"/>
  <c r="D55" i="6" s="1"/>
  <c r="I144" i="2"/>
  <c r="D54" i="6"/>
  <c r="I143" i="2"/>
  <c r="D53" i="6" s="1"/>
  <c r="E48" i="21" s="1"/>
  <c r="I141" i="2"/>
  <c r="D51" i="6"/>
  <c r="I140" i="2"/>
  <c r="D50" i="6" s="1"/>
  <c r="I139" i="2"/>
  <c r="D49" i="6" s="1"/>
  <c r="I138" i="2"/>
  <c r="D48" i="6"/>
  <c r="I137" i="2"/>
  <c r="D47" i="6"/>
  <c r="E42" i="21"/>
  <c r="I136" i="2"/>
  <c r="D46" i="6" s="1"/>
  <c r="I135" i="2"/>
  <c r="D45" i="6" s="1"/>
  <c r="I131" i="2"/>
  <c r="D41" i="6"/>
  <c r="I130" i="2"/>
  <c r="D40" i="6" s="1"/>
  <c r="E36" i="21" s="1"/>
  <c r="I129" i="2"/>
  <c r="D39" i="6"/>
  <c r="E35" i="21" s="1"/>
  <c r="I128" i="2"/>
  <c r="D38" i="6"/>
  <c r="I127" i="2"/>
  <c r="D37" i="6" s="1"/>
  <c r="E33" i="21" s="1"/>
  <c r="I126" i="2"/>
  <c r="D36" i="6" s="1"/>
  <c r="I125" i="2"/>
  <c r="D35" i="6"/>
  <c r="I123" i="2"/>
  <c r="D33" i="6" s="1"/>
  <c r="E29" i="21" s="1"/>
  <c r="I122" i="2"/>
  <c r="D32" i="6"/>
  <c r="I121" i="2"/>
  <c r="D31" i="6" s="1"/>
  <c r="I120" i="2"/>
  <c r="D30" i="6" s="1"/>
  <c r="I119" i="2"/>
  <c r="D29" i="6"/>
  <c r="I118" i="2"/>
  <c r="D28" i="6" s="1"/>
  <c r="I117" i="2"/>
  <c r="D27" i="6"/>
  <c r="I113" i="2"/>
  <c r="D23" i="6" s="1"/>
  <c r="I112" i="2"/>
  <c r="D22" i="6"/>
  <c r="I111" i="2"/>
  <c r="D21" i="6" s="1"/>
  <c r="I110" i="2"/>
  <c r="D20" i="6"/>
  <c r="I109" i="2"/>
  <c r="D19" i="6" s="1"/>
  <c r="E16" i="21" s="1"/>
  <c r="I108" i="2"/>
  <c r="D18" i="6"/>
  <c r="E15" i="21" s="1"/>
  <c r="I107" i="2"/>
  <c r="D17" i="6"/>
  <c r="I105" i="2"/>
  <c r="D15" i="6" s="1"/>
  <c r="E12" i="21" s="1"/>
  <c r="I104" i="2"/>
  <c r="D14" i="6"/>
  <c r="E11" i="21" s="1"/>
  <c r="I103" i="2"/>
  <c r="D13" i="6"/>
  <c r="I102" i="2"/>
  <c r="D12" i="6" s="1"/>
  <c r="I101" i="2"/>
  <c r="D11" i="6"/>
  <c r="E8" i="21"/>
  <c r="I100" i="2"/>
  <c r="D10" i="6" s="1"/>
  <c r="E7" i="21" s="1"/>
  <c r="I99" i="2"/>
  <c r="D9" i="6" s="1"/>
  <c r="AM181" i="6"/>
  <c r="K159" i="2"/>
  <c r="J69" i="6" s="1"/>
  <c r="AF69" i="6" s="1"/>
  <c r="K158" i="2"/>
  <c r="J68" i="6"/>
  <c r="K157" i="2"/>
  <c r="J67" i="6" s="1"/>
  <c r="AF67" i="6" s="1"/>
  <c r="K156" i="2"/>
  <c r="J66" i="6" s="1"/>
  <c r="K155" i="2"/>
  <c r="J65" i="6"/>
  <c r="K154" i="2"/>
  <c r="J64" i="6" s="1"/>
  <c r="K153" i="2"/>
  <c r="J63" i="6" s="1"/>
  <c r="K141" i="2"/>
  <c r="J51" i="6"/>
  <c r="AF51" i="6"/>
  <c r="K140" i="2"/>
  <c r="J50" i="6" s="1"/>
  <c r="K139" i="2"/>
  <c r="J49" i="6"/>
  <c r="K138" i="2"/>
  <c r="J48" i="6"/>
  <c r="K137" i="2"/>
  <c r="J47" i="6" s="1"/>
  <c r="K136" i="2"/>
  <c r="J46" i="6"/>
  <c r="K135" i="2"/>
  <c r="J45" i="6" s="1"/>
  <c r="K131" i="2"/>
  <c r="J41" i="6"/>
  <c r="AM41" i="6" s="1"/>
  <c r="K130" i="2"/>
  <c r="J40" i="6"/>
  <c r="K129" i="2"/>
  <c r="J39" i="6" s="1"/>
  <c r="K128" i="2"/>
  <c r="J38" i="6" s="1"/>
  <c r="K127" i="2"/>
  <c r="J37" i="6"/>
  <c r="K126" i="2"/>
  <c r="J36" i="6" s="1"/>
  <c r="K125" i="2"/>
  <c r="J35" i="6"/>
  <c r="K123" i="2"/>
  <c r="J33" i="6" s="1"/>
  <c r="K122" i="2"/>
  <c r="J32" i="6"/>
  <c r="K121" i="2"/>
  <c r="J31" i="6" s="1"/>
  <c r="L31" i="6" s="1"/>
  <c r="AH31" i="6" s="1"/>
  <c r="K120" i="2"/>
  <c r="J30" i="6"/>
  <c r="K119" i="2"/>
  <c r="J29" i="6"/>
  <c r="K118" i="2"/>
  <c r="J28" i="6" s="1"/>
  <c r="K117" i="2"/>
  <c r="J27" i="6" s="1"/>
  <c r="K113" i="2"/>
  <c r="J23" i="6"/>
  <c r="K112" i="2"/>
  <c r="J22" i="6" s="1"/>
  <c r="K111" i="2"/>
  <c r="J21" i="6"/>
  <c r="K110" i="2"/>
  <c r="J20" i="6"/>
  <c r="K109" i="2"/>
  <c r="J19" i="6" s="1"/>
  <c r="K108" i="2"/>
  <c r="J18" i="6"/>
  <c r="K107" i="2"/>
  <c r="J17" i="6" s="1"/>
  <c r="AM17" i="6" s="1"/>
  <c r="K105" i="2"/>
  <c r="K104" i="2"/>
  <c r="J14" i="6" s="1"/>
  <c r="K103" i="2"/>
  <c r="J13" i="6" s="1"/>
  <c r="K102" i="2"/>
  <c r="J12" i="6"/>
  <c r="K101" i="2"/>
  <c r="J11" i="6" s="1"/>
  <c r="K100" i="2"/>
  <c r="J10" i="6" s="1"/>
  <c r="K99" i="2"/>
  <c r="Q68" i="6"/>
  <c r="Q67" i="6"/>
  <c r="Q66" i="6"/>
  <c r="Q65" i="6"/>
  <c r="Q64" i="6"/>
  <c r="Q63" i="6"/>
  <c r="Q50" i="6"/>
  <c r="Q49" i="6"/>
  <c r="Q48" i="6"/>
  <c r="Q47" i="6"/>
  <c r="Q46" i="6"/>
  <c r="Q45" i="6"/>
  <c r="Q22" i="6"/>
  <c r="Q21" i="6"/>
  <c r="Q20" i="6"/>
  <c r="Q19" i="6"/>
  <c r="Q18" i="6"/>
  <c r="Q17" i="6"/>
  <c r="Q14" i="6"/>
  <c r="Q13" i="6"/>
  <c r="Q12" i="6"/>
  <c r="Q11" i="6"/>
  <c r="Q10" i="6"/>
  <c r="Q9" i="6"/>
  <c r="J94" i="2"/>
  <c r="J93" i="2"/>
  <c r="J159" i="2"/>
  <c r="I69" i="6" s="1"/>
  <c r="J92" i="2"/>
  <c r="J91" i="2"/>
  <c r="J158" i="2"/>
  <c r="I68" i="6"/>
  <c r="J157" i="2"/>
  <c r="I67" i="6" s="1"/>
  <c r="J156" i="2"/>
  <c r="I66" i="6"/>
  <c r="J155" i="2"/>
  <c r="I65" i="6" s="1"/>
  <c r="J154" i="2"/>
  <c r="I64" i="6"/>
  <c r="J153" i="2"/>
  <c r="I63" i="6" s="1"/>
  <c r="J141" i="2"/>
  <c r="I51" i="6"/>
  <c r="J140" i="2"/>
  <c r="I50" i="6" s="1"/>
  <c r="J139" i="2"/>
  <c r="I49" i="6"/>
  <c r="J138" i="2"/>
  <c r="I48" i="6"/>
  <c r="J137" i="2"/>
  <c r="I47" i="6" s="1"/>
  <c r="J136" i="2"/>
  <c r="I46" i="6"/>
  <c r="J135" i="2"/>
  <c r="I45" i="6" s="1"/>
  <c r="J131" i="2"/>
  <c r="I41" i="6"/>
  <c r="R41" i="6" s="1"/>
  <c r="J130" i="2"/>
  <c r="J129" i="2"/>
  <c r="I39" i="6"/>
  <c r="Y39" i="6" s="1"/>
  <c r="J128" i="2"/>
  <c r="I38" i="6"/>
  <c r="J127" i="2"/>
  <c r="J126" i="2"/>
  <c r="I36" i="6" s="1"/>
  <c r="J125" i="2"/>
  <c r="I35" i="6"/>
  <c r="J123" i="2"/>
  <c r="I33" i="6" s="1"/>
  <c r="R33" i="6" s="1"/>
  <c r="J122" i="2"/>
  <c r="I32" i="6" s="1"/>
  <c r="J121" i="2"/>
  <c r="I31" i="6"/>
  <c r="J120" i="2"/>
  <c r="J119" i="2"/>
  <c r="I29" i="6"/>
  <c r="J118" i="2"/>
  <c r="I28" i="6" s="1"/>
  <c r="J117" i="2"/>
  <c r="I27" i="6"/>
  <c r="Y27" i="6" s="1"/>
  <c r="J113" i="2"/>
  <c r="I23" i="6"/>
  <c r="J112" i="2"/>
  <c r="I22" i="6" s="1"/>
  <c r="J111" i="2"/>
  <c r="I21" i="6"/>
  <c r="J110" i="2"/>
  <c r="I20" i="6" s="1"/>
  <c r="J109" i="2"/>
  <c r="I19" i="6"/>
  <c r="J108" i="2"/>
  <c r="J107" i="2"/>
  <c r="I17" i="6" s="1"/>
  <c r="J105" i="2"/>
  <c r="I15" i="6"/>
  <c r="J104" i="2"/>
  <c r="I14" i="6"/>
  <c r="J103" i="2"/>
  <c r="J102" i="2"/>
  <c r="I12" i="6"/>
  <c r="J101" i="2"/>
  <c r="I11" i="6" s="1"/>
  <c r="J100" i="2"/>
  <c r="I10" i="6"/>
  <c r="R10" i="6" s="1"/>
  <c r="J99" i="2"/>
  <c r="I9" i="6"/>
  <c r="E202" i="6"/>
  <c r="M202" i="6" s="1"/>
  <c r="F189" i="21" s="1"/>
  <c r="E352" i="6"/>
  <c r="M352" i="6" s="1"/>
  <c r="F330" i="21" s="1"/>
  <c r="E67" i="6"/>
  <c r="M67" i="6" s="1"/>
  <c r="F61" i="21" s="1"/>
  <c r="K257" i="2"/>
  <c r="J257" i="2"/>
  <c r="K256" i="2"/>
  <c r="J256" i="2"/>
  <c r="K255" i="2"/>
  <c r="J255" i="2"/>
  <c r="K254" i="2"/>
  <c r="J254" i="2"/>
  <c r="M254" i="2" s="1"/>
  <c r="K253" i="2"/>
  <c r="J253" i="2"/>
  <c r="K252" i="2"/>
  <c r="J252" i="2"/>
  <c r="M252" i="2" s="1"/>
  <c r="Q252" i="2" s="1"/>
  <c r="K251" i="2"/>
  <c r="J251" i="2"/>
  <c r="K249" i="2"/>
  <c r="J249" i="2"/>
  <c r="K248" i="2"/>
  <c r="J248" i="2"/>
  <c r="K247" i="2"/>
  <c r="J247" i="2"/>
  <c r="M247" i="2" s="1"/>
  <c r="K246" i="2"/>
  <c r="J246" i="2"/>
  <c r="K239" i="2"/>
  <c r="J239" i="2"/>
  <c r="K238" i="2"/>
  <c r="J148" i="6"/>
  <c r="J238" i="2"/>
  <c r="I148" i="6" s="1"/>
  <c r="Y148" i="6" s="1"/>
  <c r="K237" i="2"/>
  <c r="J237" i="2"/>
  <c r="K236" i="2"/>
  <c r="J236" i="2"/>
  <c r="K235" i="2"/>
  <c r="J235" i="2"/>
  <c r="K234" i="2"/>
  <c r="J234" i="2"/>
  <c r="I144" i="6" s="1"/>
  <c r="K233" i="2"/>
  <c r="J233" i="2"/>
  <c r="K231" i="2"/>
  <c r="J141" i="6" s="1"/>
  <c r="J231" i="2"/>
  <c r="K230" i="2"/>
  <c r="J140" i="6"/>
  <c r="J230" i="2"/>
  <c r="I140" i="6" s="1"/>
  <c r="Y140" i="6" s="1"/>
  <c r="K229" i="2"/>
  <c r="J229" i="2"/>
  <c r="I139" i="6" s="1"/>
  <c r="Y139" i="6" s="1"/>
  <c r="K228" i="2"/>
  <c r="J138" i="6"/>
  <c r="J228" i="2"/>
  <c r="I138" i="6" s="1"/>
  <c r="R138" i="6" s="1"/>
  <c r="K227" i="2"/>
  <c r="J137" i="6"/>
  <c r="J227" i="2"/>
  <c r="I137" i="6" s="1"/>
  <c r="K226" i="2"/>
  <c r="AA226" i="2" s="1"/>
  <c r="J226" i="2"/>
  <c r="I136" i="6"/>
  <c r="K225" i="2"/>
  <c r="J135" i="6" s="1"/>
  <c r="J225" i="2"/>
  <c r="K221" i="2"/>
  <c r="J131" i="6"/>
  <c r="J221" i="2"/>
  <c r="I131" i="6" s="1"/>
  <c r="Y131" i="6" s="1"/>
  <c r="K220" i="2"/>
  <c r="J130" i="6" s="1"/>
  <c r="J220" i="2"/>
  <c r="I130" i="6"/>
  <c r="K219" i="2"/>
  <c r="J129" i="6" s="1"/>
  <c r="J219" i="2"/>
  <c r="I129" i="6"/>
  <c r="K218" i="2"/>
  <c r="J128" i="6" s="1"/>
  <c r="J218" i="2"/>
  <c r="I128" i="6"/>
  <c r="K217" i="2"/>
  <c r="J127" i="6" s="1"/>
  <c r="J217" i="2"/>
  <c r="I127" i="6"/>
  <c r="K216" i="2"/>
  <c r="J126" i="6" s="1"/>
  <c r="J216" i="2"/>
  <c r="I126" i="6"/>
  <c r="K215" i="2"/>
  <c r="J125" i="6" s="1"/>
  <c r="AM125" i="6" s="1"/>
  <c r="J215" i="2"/>
  <c r="I125" i="6"/>
  <c r="K213" i="2"/>
  <c r="J123" i="6" s="1"/>
  <c r="J213" i="2"/>
  <c r="I123" i="6"/>
  <c r="K212" i="2"/>
  <c r="M212" i="2" s="1"/>
  <c r="J212" i="2"/>
  <c r="I122" i="6"/>
  <c r="K211" i="2"/>
  <c r="J121" i="6" s="1"/>
  <c r="J211" i="2"/>
  <c r="I121" i="6" s="1"/>
  <c r="K210" i="2"/>
  <c r="J120" i="6"/>
  <c r="J210" i="2"/>
  <c r="I120" i="6" s="1"/>
  <c r="K209" i="2"/>
  <c r="J119" i="6" s="1"/>
  <c r="J209" i="2"/>
  <c r="I119" i="6" s="1"/>
  <c r="K208" i="2"/>
  <c r="J118" i="6" s="1"/>
  <c r="K207" i="2"/>
  <c r="J117" i="6"/>
  <c r="J207" i="2"/>
  <c r="I117" i="6" s="1"/>
  <c r="K195" i="2"/>
  <c r="J105" i="6"/>
  <c r="J195" i="2"/>
  <c r="I105" i="6" s="1"/>
  <c r="R104" i="6" s="1"/>
  <c r="K194" i="2"/>
  <c r="J104" i="6"/>
  <c r="J194" i="2"/>
  <c r="I104" i="6" s="1"/>
  <c r="K193" i="2"/>
  <c r="J103" i="6" s="1"/>
  <c r="AM103" i="6" s="1"/>
  <c r="J193" i="2"/>
  <c r="I103" i="6" s="1"/>
  <c r="K192" i="2"/>
  <c r="J102" i="6" s="1"/>
  <c r="J192" i="2"/>
  <c r="I102" i="6" s="1"/>
  <c r="K191" i="2"/>
  <c r="J101" i="6" s="1"/>
  <c r="AF100" i="6" s="1"/>
  <c r="J191" i="2"/>
  <c r="I101" i="6" s="1"/>
  <c r="K190" i="2"/>
  <c r="J100" i="6" s="1"/>
  <c r="J190" i="2"/>
  <c r="I100" i="6"/>
  <c r="R99" i="6" s="1"/>
  <c r="K189" i="2"/>
  <c r="J99" i="6" s="1"/>
  <c r="J189" i="2"/>
  <c r="I99" i="6"/>
  <c r="K177" i="2"/>
  <c r="J87" i="6" s="1"/>
  <c r="J177" i="2"/>
  <c r="I87" i="6" s="1"/>
  <c r="Y87" i="6" s="1"/>
  <c r="K176" i="2"/>
  <c r="J86" i="6"/>
  <c r="J176" i="2"/>
  <c r="I86" i="6" s="1"/>
  <c r="Y86" i="6" s="1"/>
  <c r="K175" i="2"/>
  <c r="J85" i="6"/>
  <c r="J175" i="2"/>
  <c r="I85" i="6" s="1"/>
  <c r="K174" i="2"/>
  <c r="J84" i="6" s="1"/>
  <c r="J174" i="2"/>
  <c r="I84" i="6"/>
  <c r="K173" i="2"/>
  <c r="J83" i="6" s="1"/>
  <c r="J173" i="2"/>
  <c r="I83" i="6" s="1"/>
  <c r="K172" i="2"/>
  <c r="J82" i="6" s="1"/>
  <c r="J172" i="2"/>
  <c r="I82" i="6" s="1"/>
  <c r="K171" i="2"/>
  <c r="J81" i="6"/>
  <c r="J171" i="2"/>
  <c r="I81" i="6" s="1"/>
  <c r="Y81" i="6" s="1"/>
  <c r="I42" i="2"/>
  <c r="I41" i="2"/>
  <c r="I43" i="2"/>
  <c r="K88" i="2"/>
  <c r="K80" i="2"/>
  <c r="K72" i="2"/>
  <c r="J88" i="2"/>
  <c r="J80" i="2"/>
  <c r="J72" i="2"/>
  <c r="J64" i="2"/>
  <c r="K87" i="2"/>
  <c r="K79" i="2"/>
  <c r="K71" i="2"/>
  <c r="K63" i="2"/>
  <c r="J87" i="2"/>
  <c r="J79" i="2"/>
  <c r="J71" i="2"/>
  <c r="J63" i="2"/>
  <c r="K86" i="2"/>
  <c r="K78" i="2"/>
  <c r="K70" i="2"/>
  <c r="K62" i="2"/>
  <c r="R62" i="2" s="1"/>
  <c r="J86" i="2"/>
  <c r="J78" i="2"/>
  <c r="J70" i="2"/>
  <c r="J62" i="2"/>
  <c r="K85" i="2"/>
  <c r="K77" i="2"/>
  <c r="K69" i="2"/>
  <c r="K61" i="2"/>
  <c r="J85" i="2"/>
  <c r="J77" i="2"/>
  <c r="J69" i="2"/>
  <c r="J61" i="2"/>
  <c r="K84" i="2"/>
  <c r="K76" i="2"/>
  <c r="K68" i="2"/>
  <c r="K60" i="2"/>
  <c r="J84" i="2"/>
  <c r="P60" i="2" s="1"/>
  <c r="J68" i="2"/>
  <c r="J60" i="2"/>
  <c r="K83" i="2"/>
  <c r="K75" i="2"/>
  <c r="K67" i="2"/>
  <c r="K59" i="2"/>
  <c r="J83" i="2"/>
  <c r="J75" i="2"/>
  <c r="J67" i="2"/>
  <c r="J59" i="2"/>
  <c r="K82" i="2"/>
  <c r="K74" i="2"/>
  <c r="K66" i="2"/>
  <c r="K58" i="2"/>
  <c r="J82" i="2"/>
  <c r="J74" i="2"/>
  <c r="J66" i="2"/>
  <c r="J58" i="2"/>
  <c r="I55" i="2"/>
  <c r="I54" i="2"/>
  <c r="I53" i="2"/>
  <c r="I52" i="2"/>
  <c r="I51" i="2"/>
  <c r="I50" i="2"/>
  <c r="I49" i="2"/>
  <c r="I47" i="2"/>
  <c r="I46" i="2"/>
  <c r="I45" i="2"/>
  <c r="I44" i="2"/>
  <c r="R23" i="2"/>
  <c r="K38" i="2"/>
  <c r="K22" i="2"/>
  <c r="J38" i="2"/>
  <c r="J22" i="2"/>
  <c r="K37" i="2"/>
  <c r="N21" i="2" s="1"/>
  <c r="K21" i="2"/>
  <c r="J37" i="2"/>
  <c r="J21" i="2"/>
  <c r="K36" i="2"/>
  <c r="K20" i="2"/>
  <c r="J36" i="2"/>
  <c r="J20" i="2"/>
  <c r="K35" i="2"/>
  <c r="N19" i="2" s="1"/>
  <c r="K19" i="2"/>
  <c r="J35" i="2"/>
  <c r="J19" i="2"/>
  <c r="K34" i="2"/>
  <c r="N18" i="2" s="1"/>
  <c r="K18" i="2"/>
  <c r="J34" i="2"/>
  <c r="J18" i="2"/>
  <c r="K33" i="2"/>
  <c r="N17" i="2" s="1"/>
  <c r="R17" i="2" s="1"/>
  <c r="K17" i="2"/>
  <c r="J33" i="2"/>
  <c r="J17" i="2"/>
  <c r="K32" i="2"/>
  <c r="K16" i="2"/>
  <c r="J32" i="2"/>
  <c r="J16" i="2"/>
  <c r="I38" i="2"/>
  <c r="I37" i="2"/>
  <c r="I36" i="2"/>
  <c r="I35" i="2"/>
  <c r="I34" i="2"/>
  <c r="I33" i="2"/>
  <c r="I32" i="2"/>
  <c r="I22" i="2"/>
  <c r="I21" i="2"/>
  <c r="I20" i="2"/>
  <c r="I19" i="2"/>
  <c r="I18" i="2"/>
  <c r="I17" i="2"/>
  <c r="I16" i="2"/>
  <c r="K3" i="7"/>
  <c r="K143" i="7"/>
  <c r="K123" i="7"/>
  <c r="K103" i="7"/>
  <c r="K63" i="7"/>
  <c r="K43" i="7"/>
  <c r="AE68" i="6"/>
  <c r="AE67" i="6"/>
  <c r="AE66" i="6"/>
  <c r="AE65" i="6"/>
  <c r="AE64" i="6"/>
  <c r="AE63" i="6"/>
  <c r="AE50" i="6"/>
  <c r="AE49" i="6"/>
  <c r="AE48" i="6"/>
  <c r="AE47" i="6"/>
  <c r="AE46" i="6"/>
  <c r="AE45" i="6"/>
  <c r="AE40" i="6"/>
  <c r="AE39" i="6"/>
  <c r="AE38" i="6"/>
  <c r="AE37" i="6"/>
  <c r="AE36" i="6"/>
  <c r="AE35" i="6"/>
  <c r="AE32" i="6"/>
  <c r="AE31" i="6"/>
  <c r="AE30" i="6"/>
  <c r="AE29" i="6"/>
  <c r="AE28" i="6"/>
  <c r="AE27" i="6"/>
  <c r="AE22" i="6"/>
  <c r="AE21" i="6"/>
  <c r="AE20" i="6"/>
  <c r="AE19" i="6"/>
  <c r="AE18" i="6"/>
  <c r="AE17" i="6"/>
  <c r="AE14" i="6"/>
  <c r="AE13" i="6"/>
  <c r="AE12" i="6"/>
  <c r="AE11" i="6"/>
  <c r="AE10" i="6"/>
  <c r="Q40" i="6"/>
  <c r="Q39" i="6"/>
  <c r="Q38" i="6"/>
  <c r="Q37" i="6"/>
  <c r="Q36" i="6"/>
  <c r="Q35" i="6"/>
  <c r="Q32" i="6"/>
  <c r="Q31" i="6"/>
  <c r="Q30" i="6"/>
  <c r="Q29" i="6"/>
  <c r="Q28" i="6"/>
  <c r="Q27" i="6"/>
  <c r="I94" i="2"/>
  <c r="I93" i="2"/>
  <c r="I92" i="2"/>
  <c r="I91" i="2"/>
  <c r="I88" i="2"/>
  <c r="I87" i="2"/>
  <c r="I86" i="2"/>
  <c r="I85" i="2"/>
  <c r="K94" i="2"/>
  <c r="K93" i="2"/>
  <c r="C156" i="7"/>
  <c r="C155" i="7"/>
  <c r="C148" i="7"/>
  <c r="C147" i="7"/>
  <c r="C128" i="7"/>
  <c r="C127" i="7"/>
  <c r="C136" i="7"/>
  <c r="C135" i="7"/>
  <c r="C117" i="7"/>
  <c r="C116" i="7"/>
  <c r="C96" i="7"/>
  <c r="C95" i="7"/>
  <c r="C76" i="7"/>
  <c r="C75" i="7"/>
  <c r="C56" i="7"/>
  <c r="C55" i="7"/>
  <c r="C48" i="7"/>
  <c r="C47" i="7"/>
  <c r="C36" i="7"/>
  <c r="C35" i="7"/>
  <c r="C28" i="7"/>
  <c r="C27" i="7"/>
  <c r="C16" i="7"/>
  <c r="C15" i="7"/>
  <c r="C8" i="7"/>
  <c r="C7" i="7"/>
  <c r="J49" i="18"/>
  <c r="I49" i="18"/>
  <c r="H49" i="18"/>
  <c r="G49" i="18"/>
  <c r="F49" i="18"/>
  <c r="E49" i="18"/>
  <c r="D49" i="18"/>
  <c r="C49" i="18"/>
  <c r="J48" i="18"/>
  <c r="I48" i="18"/>
  <c r="H48" i="18"/>
  <c r="G48" i="18"/>
  <c r="F48" i="18"/>
  <c r="E48" i="18"/>
  <c r="D48" i="18"/>
  <c r="C48" i="18"/>
  <c r="J47" i="18"/>
  <c r="I47" i="18"/>
  <c r="H47" i="18"/>
  <c r="G47" i="18"/>
  <c r="F47" i="18"/>
  <c r="E47" i="18"/>
  <c r="D47" i="18"/>
  <c r="C47" i="18"/>
  <c r="J46" i="18"/>
  <c r="I46" i="18"/>
  <c r="H46" i="18"/>
  <c r="G46" i="18"/>
  <c r="F46" i="18"/>
  <c r="E46" i="18"/>
  <c r="D46" i="18"/>
  <c r="C46" i="18"/>
  <c r="J45" i="18"/>
  <c r="I45" i="18"/>
  <c r="H45" i="18"/>
  <c r="G45" i="18"/>
  <c r="F45" i="18"/>
  <c r="E45" i="18"/>
  <c r="D45" i="18"/>
  <c r="C45" i="18"/>
  <c r="J44" i="18"/>
  <c r="I44" i="18"/>
  <c r="H44" i="18"/>
  <c r="G44" i="18"/>
  <c r="F44" i="18"/>
  <c r="E44" i="18"/>
  <c r="D44" i="18"/>
  <c r="C44" i="18"/>
  <c r="J43" i="18"/>
  <c r="I43" i="18"/>
  <c r="H43" i="18"/>
  <c r="G43" i="18"/>
  <c r="F43" i="18"/>
  <c r="E43" i="18"/>
  <c r="D43" i="18"/>
  <c r="C43" i="18"/>
  <c r="J41" i="18"/>
  <c r="I41" i="18"/>
  <c r="H41" i="18"/>
  <c r="G41" i="18"/>
  <c r="F41" i="18"/>
  <c r="E41" i="18"/>
  <c r="D41" i="18"/>
  <c r="C41" i="18"/>
  <c r="J40" i="18"/>
  <c r="I40" i="18"/>
  <c r="H40" i="18"/>
  <c r="G40" i="18"/>
  <c r="F40" i="18"/>
  <c r="E40" i="18"/>
  <c r="D40" i="18"/>
  <c r="C40" i="18"/>
  <c r="J39" i="18"/>
  <c r="I39" i="18"/>
  <c r="H39" i="18"/>
  <c r="G39" i="18"/>
  <c r="F39" i="18"/>
  <c r="E39" i="18"/>
  <c r="D39" i="18"/>
  <c r="C39" i="18"/>
  <c r="J38" i="18"/>
  <c r="I38" i="18"/>
  <c r="H38" i="18"/>
  <c r="G38" i="18"/>
  <c r="F38" i="18"/>
  <c r="E38" i="18"/>
  <c r="D38" i="18"/>
  <c r="C38" i="18"/>
  <c r="J37" i="18"/>
  <c r="I37" i="18"/>
  <c r="H37" i="18"/>
  <c r="G37" i="18"/>
  <c r="F37" i="18"/>
  <c r="E37" i="18"/>
  <c r="D37" i="18"/>
  <c r="C37" i="18"/>
  <c r="J36" i="18"/>
  <c r="I36" i="18"/>
  <c r="H36" i="18"/>
  <c r="G36" i="18"/>
  <c r="F36" i="18"/>
  <c r="E36" i="18"/>
  <c r="D36" i="18"/>
  <c r="C36" i="18"/>
  <c r="J35" i="18"/>
  <c r="I35" i="18"/>
  <c r="H35" i="18"/>
  <c r="G35" i="18"/>
  <c r="F35" i="18"/>
  <c r="E35" i="18"/>
  <c r="D35" i="18"/>
  <c r="C35" i="18"/>
  <c r="I2" i="7"/>
  <c r="H2" i="7"/>
  <c r="G2" i="7"/>
  <c r="F2" i="7"/>
  <c r="C1" i="7"/>
  <c r="A1" i="7"/>
  <c r="E95" i="6"/>
  <c r="M95" i="6" s="1"/>
  <c r="F88" i="21" s="1"/>
  <c r="E94" i="6"/>
  <c r="M94" i="6" s="1"/>
  <c r="F87" i="21" s="1"/>
  <c r="E93" i="6"/>
  <c r="M93" i="6" s="1"/>
  <c r="F86" i="21" s="1"/>
  <c r="E59" i="6"/>
  <c r="M59" i="6" s="1"/>
  <c r="F54" i="21" s="1"/>
  <c r="E90" i="6"/>
  <c r="M90" i="6" s="1"/>
  <c r="F83" i="21" s="1"/>
  <c r="E89" i="6"/>
  <c r="M89" i="6" s="1"/>
  <c r="F82" i="21" s="1"/>
  <c r="E87" i="6"/>
  <c r="M87" i="6" s="1"/>
  <c r="F80" i="21" s="1"/>
  <c r="E86" i="6"/>
  <c r="M86" i="6" s="1"/>
  <c r="F79" i="21" s="1"/>
  <c r="E54" i="6"/>
  <c r="M54" i="6" s="1"/>
  <c r="F49" i="21" s="1"/>
  <c r="E84" i="6"/>
  <c r="M84" i="6" s="1"/>
  <c r="F77" i="21" s="1"/>
  <c r="E83" i="6"/>
  <c r="M83" i="6" s="1"/>
  <c r="F76" i="21" s="1"/>
  <c r="E51" i="6"/>
  <c r="M51" i="6" s="1"/>
  <c r="F46" i="21" s="1"/>
  <c r="E81" i="6"/>
  <c r="M81" i="6" s="1"/>
  <c r="F74" i="21" s="1"/>
  <c r="E49" i="6"/>
  <c r="M49" i="6" s="1"/>
  <c r="F44" i="21" s="1"/>
  <c r="E99" i="6"/>
  <c r="M99" i="6" s="1"/>
  <c r="F91" i="21" s="1"/>
  <c r="E129" i="6"/>
  <c r="E128" i="6"/>
  <c r="M128" i="6" s="1"/>
  <c r="F119" i="21" s="1"/>
  <c r="E127" i="6"/>
  <c r="M127" i="6" s="1"/>
  <c r="F118" i="21" s="1"/>
  <c r="E125" i="6"/>
  <c r="M125" i="6" s="1"/>
  <c r="F116" i="21" s="1"/>
  <c r="E123" i="6"/>
  <c r="M123" i="6" s="1"/>
  <c r="F114" i="21" s="1"/>
  <c r="E122" i="6"/>
  <c r="M122" i="6" s="1"/>
  <c r="F113" i="21" s="1"/>
  <c r="E120" i="6"/>
  <c r="E119" i="6"/>
  <c r="M119" i="6" s="1"/>
  <c r="F110" i="21" s="1"/>
  <c r="E118" i="6"/>
  <c r="M118" i="6" s="1"/>
  <c r="F109" i="21" s="1"/>
  <c r="E117" i="6"/>
  <c r="M117" i="6" s="1"/>
  <c r="F108" i="21" s="1"/>
  <c r="E185" i="6"/>
  <c r="M185" i="6" s="1"/>
  <c r="F173" i="21" s="1"/>
  <c r="E153" i="6"/>
  <c r="M153" i="6" s="1"/>
  <c r="F142" i="21" s="1"/>
  <c r="E184" i="6"/>
  <c r="M184" i="6" s="1"/>
  <c r="F172" i="21" s="1"/>
  <c r="E183" i="6"/>
  <c r="M183" i="6" s="1"/>
  <c r="F171" i="21" s="1"/>
  <c r="E182" i="6"/>
  <c r="M182" i="6" s="1"/>
  <c r="F170" i="21" s="1"/>
  <c r="E181" i="6"/>
  <c r="M181" i="6" s="1"/>
  <c r="F169" i="21" s="1"/>
  <c r="E149" i="6"/>
  <c r="M149" i="6" s="1"/>
  <c r="F139" i="21" s="1"/>
  <c r="E180" i="6"/>
  <c r="M180" i="6" s="1"/>
  <c r="F168" i="21" s="1"/>
  <c r="E148" i="6"/>
  <c r="M148" i="6" s="1"/>
  <c r="F138" i="21" s="1"/>
  <c r="E179" i="6"/>
  <c r="M179" i="6" s="1"/>
  <c r="F167" i="21" s="1"/>
  <c r="E147" i="6"/>
  <c r="M147" i="6" s="1"/>
  <c r="F137" i="21" s="1"/>
  <c r="E177" i="6"/>
  <c r="M177" i="6" s="1"/>
  <c r="F165" i="21" s="1"/>
  <c r="E145" i="6"/>
  <c r="M145" i="6" s="1"/>
  <c r="F135" i="21" s="1"/>
  <c r="E176" i="6"/>
  <c r="M176" i="6" s="1"/>
  <c r="F164" i="21" s="1"/>
  <c r="E144" i="6"/>
  <c r="M144" i="6" s="1"/>
  <c r="F134" i="21" s="1"/>
  <c r="E175" i="6"/>
  <c r="M175" i="6" s="1"/>
  <c r="F163" i="21" s="1"/>
  <c r="E143" i="6"/>
  <c r="M143" i="6" s="1"/>
  <c r="F133" i="21" s="1"/>
  <c r="E174" i="6"/>
  <c r="M174" i="6" s="1"/>
  <c r="F162" i="21" s="1"/>
  <c r="E173" i="6"/>
  <c r="M173" i="6" s="1"/>
  <c r="F161" i="21" s="1"/>
  <c r="E141" i="6"/>
  <c r="M141" i="6" s="1"/>
  <c r="F131" i="21" s="1"/>
  <c r="E172" i="6"/>
  <c r="M172" i="6" s="1"/>
  <c r="F160" i="21" s="1"/>
  <c r="E140" i="6"/>
  <c r="M140" i="6" s="1"/>
  <c r="F130" i="21" s="1"/>
  <c r="E171" i="6"/>
  <c r="M171" i="6" s="1"/>
  <c r="F159" i="21" s="1"/>
  <c r="E139" i="6"/>
  <c r="M139" i="6" s="1"/>
  <c r="F129" i="21" s="1"/>
  <c r="E113" i="6"/>
  <c r="M113" i="6" s="1"/>
  <c r="F105" i="21" s="1"/>
  <c r="E112" i="6"/>
  <c r="M112" i="6" s="1"/>
  <c r="F104" i="21" s="1"/>
  <c r="E111" i="6"/>
  <c r="M111" i="6" s="1"/>
  <c r="F103" i="21" s="1"/>
  <c r="E110" i="6"/>
  <c r="M110" i="6" s="1"/>
  <c r="F102" i="21" s="1"/>
  <c r="E109" i="6"/>
  <c r="M109" i="6" s="1"/>
  <c r="F101" i="21" s="1"/>
  <c r="E108" i="6"/>
  <c r="M108" i="6" s="1"/>
  <c r="F100" i="21" s="1"/>
  <c r="E107" i="6"/>
  <c r="M107" i="6" s="1"/>
  <c r="F99" i="21" s="1"/>
  <c r="E105" i="6"/>
  <c r="M105" i="6" s="1"/>
  <c r="F97" i="21" s="1"/>
  <c r="E104" i="6"/>
  <c r="M104" i="6" s="1"/>
  <c r="F96" i="21" s="1"/>
  <c r="E103" i="6"/>
  <c r="M103" i="6" s="1"/>
  <c r="F95" i="21" s="1"/>
  <c r="E102" i="6"/>
  <c r="M102" i="6" s="1"/>
  <c r="F94" i="21" s="1"/>
  <c r="E101" i="6"/>
  <c r="M101" i="6" s="1"/>
  <c r="F93" i="21" s="1"/>
  <c r="E100" i="6"/>
  <c r="M100" i="6" s="1"/>
  <c r="F92" i="21" s="1"/>
  <c r="E23" i="6"/>
  <c r="M23" i="6" s="1"/>
  <c r="F20" i="21" s="1"/>
  <c r="E22" i="6"/>
  <c r="M22" i="6" s="1"/>
  <c r="F19" i="21" s="1"/>
  <c r="E21" i="6"/>
  <c r="M21" i="6" s="1"/>
  <c r="F18" i="21" s="1"/>
  <c r="E20" i="6"/>
  <c r="M20" i="6" s="1"/>
  <c r="F17" i="21" s="1"/>
  <c r="E19" i="6"/>
  <c r="M19" i="6" s="1"/>
  <c r="F16" i="21" s="1"/>
  <c r="E18" i="6"/>
  <c r="M18" i="6" s="1"/>
  <c r="F15" i="21" s="1"/>
  <c r="E17" i="6"/>
  <c r="M17" i="6" s="1"/>
  <c r="F14" i="21" s="1"/>
  <c r="E15" i="6"/>
  <c r="M15" i="6" s="1"/>
  <c r="F12" i="21" s="1"/>
  <c r="E14" i="6"/>
  <c r="M14" i="6" s="1"/>
  <c r="F11" i="21" s="1"/>
  <c r="E13" i="6"/>
  <c r="E12" i="6"/>
  <c r="M12" i="6" s="1"/>
  <c r="F9" i="21" s="1"/>
  <c r="E11" i="6"/>
  <c r="M11" i="6" s="1"/>
  <c r="F8" i="21" s="1"/>
  <c r="E41" i="6"/>
  <c r="M41" i="6" s="1"/>
  <c r="F37" i="21" s="1"/>
  <c r="E40" i="6"/>
  <c r="M40" i="6" s="1"/>
  <c r="F36" i="21" s="1"/>
  <c r="E39" i="6"/>
  <c r="M39" i="6" s="1"/>
  <c r="F35" i="21" s="1"/>
  <c r="E38" i="6"/>
  <c r="M38" i="6" s="1"/>
  <c r="F34" i="21" s="1"/>
  <c r="E37" i="6"/>
  <c r="M37" i="6" s="1"/>
  <c r="F33" i="21" s="1"/>
  <c r="E36" i="6"/>
  <c r="M36" i="6" s="1"/>
  <c r="F32" i="21" s="1"/>
  <c r="E35" i="6"/>
  <c r="M35" i="6" s="1"/>
  <c r="F31" i="21" s="1"/>
  <c r="E33" i="6"/>
  <c r="M33" i="6" s="1"/>
  <c r="F29" i="21" s="1"/>
  <c r="E32" i="6"/>
  <c r="M32" i="6" s="1"/>
  <c r="F28" i="21" s="1"/>
  <c r="E31" i="6"/>
  <c r="M31" i="6" s="1"/>
  <c r="F27" i="21" s="1"/>
  <c r="E30" i="6"/>
  <c r="M30" i="6" s="1"/>
  <c r="F26" i="21" s="1"/>
  <c r="E29" i="6"/>
  <c r="M29" i="6" s="1"/>
  <c r="F25" i="21" s="1"/>
  <c r="E28" i="6"/>
  <c r="M28" i="6" s="1"/>
  <c r="F24" i="21" s="1"/>
  <c r="E27" i="6"/>
  <c r="E56" i="6"/>
  <c r="M56" i="6" s="1"/>
  <c r="F51" i="21" s="1"/>
  <c r="E48" i="6"/>
  <c r="M48" i="6" s="1"/>
  <c r="F43" i="21" s="1"/>
  <c r="E47" i="6"/>
  <c r="M47" i="6" s="1"/>
  <c r="F42" i="21" s="1"/>
  <c r="E46" i="6"/>
  <c r="M46" i="6" s="1"/>
  <c r="F41" i="21" s="1"/>
  <c r="E45" i="6"/>
  <c r="M45" i="6" s="1"/>
  <c r="F40" i="21" s="1"/>
  <c r="E167" i="6"/>
  <c r="M167" i="6" s="1"/>
  <c r="F156" i="21" s="1"/>
  <c r="E135" i="6"/>
  <c r="M135" i="6" s="1"/>
  <c r="F125" i="21" s="1"/>
  <c r="E166" i="6"/>
  <c r="E165" i="6"/>
  <c r="M165" i="6" s="1"/>
  <c r="F154" i="21" s="1"/>
  <c r="I156" i="6"/>
  <c r="E164" i="6"/>
  <c r="M164" i="6" s="1"/>
  <c r="F153" i="21" s="1"/>
  <c r="E163" i="6"/>
  <c r="M163" i="6" s="1"/>
  <c r="F152" i="21" s="1"/>
  <c r="E162" i="6"/>
  <c r="M162" i="6" s="1"/>
  <c r="F151" i="21" s="1"/>
  <c r="E161" i="6"/>
  <c r="M161" i="6" s="1"/>
  <c r="F150" i="21" s="1"/>
  <c r="E159" i="6"/>
  <c r="M159" i="6" s="1"/>
  <c r="F148" i="21" s="1"/>
  <c r="E158" i="6"/>
  <c r="M158" i="6" s="1"/>
  <c r="F147" i="21" s="1"/>
  <c r="E157" i="6"/>
  <c r="M157" i="6" s="1"/>
  <c r="F146" i="21" s="1"/>
  <c r="E156" i="6"/>
  <c r="M156" i="6" s="1"/>
  <c r="F145" i="21" s="1"/>
  <c r="E155" i="6"/>
  <c r="M155" i="6" s="1"/>
  <c r="F144" i="21" s="1"/>
  <c r="E154" i="6"/>
  <c r="M154" i="6" s="1"/>
  <c r="F143" i="21" s="1"/>
  <c r="C13" i="17"/>
  <c r="C18" i="17" s="1"/>
  <c r="B13" i="17"/>
  <c r="B18" i="17" s="1"/>
  <c r="C12" i="17"/>
  <c r="B12" i="17"/>
  <c r="B16" i="17" s="1"/>
  <c r="C26" i="7"/>
  <c r="K31" i="8"/>
  <c r="W7" i="6"/>
  <c r="J24" i="2"/>
  <c r="M8" i="2" s="1"/>
  <c r="Q8" i="2" s="1"/>
  <c r="J25" i="2"/>
  <c r="J26" i="2"/>
  <c r="J30" i="2"/>
  <c r="M14" i="2" s="1"/>
  <c r="J29" i="2"/>
  <c r="M13" i="2" s="1"/>
  <c r="J28" i="2"/>
  <c r="J27" i="2"/>
  <c r="V27" i="6"/>
  <c r="AK7" i="6"/>
  <c r="K24" i="2"/>
  <c r="K25" i="2"/>
  <c r="K26" i="2"/>
  <c r="K30" i="2"/>
  <c r="K29" i="2"/>
  <c r="K28" i="2"/>
  <c r="K27" i="2"/>
  <c r="AJ27" i="6"/>
  <c r="C29" i="7"/>
  <c r="V29" i="6"/>
  <c r="AJ29" i="6"/>
  <c r="C30" i="7"/>
  <c r="K91" i="2"/>
  <c r="V32" i="6"/>
  <c r="AJ32" i="6"/>
  <c r="K92" i="2"/>
  <c r="C31" i="7"/>
  <c r="V33" i="6"/>
  <c r="AJ33" i="6"/>
  <c r="C34" i="7"/>
  <c r="V35" i="6"/>
  <c r="AJ35" i="6"/>
  <c r="C37" i="7"/>
  <c r="V37" i="6"/>
  <c r="AJ37" i="6"/>
  <c r="C38" i="7"/>
  <c r="V40" i="6"/>
  <c r="AJ40" i="6"/>
  <c r="C39" i="7"/>
  <c r="V41" i="6"/>
  <c r="AJ41" i="6"/>
  <c r="AJ185" i="6"/>
  <c r="AE185" i="6"/>
  <c r="AJ184" i="6"/>
  <c r="F184" i="6"/>
  <c r="N184" i="6" s="1"/>
  <c r="G172" i="21" s="1"/>
  <c r="AE184" i="6"/>
  <c r="AJ183" i="6"/>
  <c r="AE183" i="6"/>
  <c r="AJ182" i="6"/>
  <c r="AE182" i="6"/>
  <c r="AJ181" i="6"/>
  <c r="AE181" i="6"/>
  <c r="AJ180" i="6"/>
  <c r="AE180" i="6"/>
  <c r="AJ179" i="6"/>
  <c r="AE179" i="6"/>
  <c r="AJ177" i="6"/>
  <c r="AE177" i="6"/>
  <c r="AJ176" i="6"/>
  <c r="AE176" i="6"/>
  <c r="AJ175" i="6"/>
  <c r="AE175" i="6"/>
  <c r="AJ174" i="6"/>
  <c r="AE174" i="6"/>
  <c r="AJ173" i="6"/>
  <c r="AE173" i="6"/>
  <c r="AJ172" i="6"/>
  <c r="AE172" i="6"/>
  <c r="AJ171" i="6"/>
  <c r="AE171" i="6"/>
  <c r="AJ167" i="6"/>
  <c r="AE167" i="6"/>
  <c r="AJ166" i="6"/>
  <c r="AE166" i="6"/>
  <c r="AJ165" i="6"/>
  <c r="AE165" i="6"/>
  <c r="AJ164" i="6"/>
  <c r="F164" i="6"/>
  <c r="N164" i="6" s="1"/>
  <c r="G153" i="21" s="1"/>
  <c r="AE164" i="6"/>
  <c r="AJ163" i="6"/>
  <c r="AE163" i="6"/>
  <c r="AJ162" i="6"/>
  <c r="AE162" i="6"/>
  <c r="AJ161" i="6"/>
  <c r="AE161" i="6"/>
  <c r="AJ159" i="6"/>
  <c r="AE159" i="6"/>
  <c r="AJ158" i="6"/>
  <c r="AE158" i="6"/>
  <c r="AJ157" i="6"/>
  <c r="AE157" i="6"/>
  <c r="AJ156" i="6"/>
  <c r="AE156" i="6"/>
  <c r="AJ155" i="6"/>
  <c r="AE155" i="6"/>
  <c r="AJ154" i="6"/>
  <c r="AE154" i="6"/>
  <c r="AJ153" i="6"/>
  <c r="AE153" i="6"/>
  <c r="AJ149" i="6"/>
  <c r="AE149" i="6"/>
  <c r="AJ148" i="6"/>
  <c r="AE148" i="6"/>
  <c r="AJ147" i="6"/>
  <c r="AE147" i="6"/>
  <c r="AJ146" i="6"/>
  <c r="AE146" i="6"/>
  <c r="AJ145" i="6"/>
  <c r="AE145" i="6"/>
  <c r="AJ144" i="6"/>
  <c r="F144" i="6"/>
  <c r="N144" i="6" s="1"/>
  <c r="G134" i="21" s="1"/>
  <c r="AE144" i="6"/>
  <c r="AJ143" i="6"/>
  <c r="AE143" i="6"/>
  <c r="AJ141" i="6"/>
  <c r="AE141" i="6"/>
  <c r="AJ140" i="6"/>
  <c r="AE140" i="6"/>
  <c r="AJ139" i="6"/>
  <c r="AE139" i="6"/>
  <c r="AJ138" i="6"/>
  <c r="AE138" i="6"/>
  <c r="AJ137" i="6"/>
  <c r="AE137" i="6"/>
  <c r="AJ136" i="6"/>
  <c r="AE136" i="6"/>
  <c r="AJ135" i="6"/>
  <c r="AE135" i="6"/>
  <c r="AJ131" i="6"/>
  <c r="AE131" i="6"/>
  <c r="AJ130" i="6"/>
  <c r="AE130" i="6"/>
  <c r="AJ129" i="6"/>
  <c r="AE129" i="6"/>
  <c r="AJ128" i="6"/>
  <c r="AE128" i="6"/>
  <c r="AJ127" i="6"/>
  <c r="AE127" i="6"/>
  <c r="AJ126" i="6"/>
  <c r="AE126" i="6"/>
  <c r="AJ125" i="6"/>
  <c r="AE125" i="6"/>
  <c r="AJ123" i="6"/>
  <c r="F123" i="6"/>
  <c r="N123" i="6" s="1"/>
  <c r="G114" i="21" s="1"/>
  <c r="AE123" i="6"/>
  <c r="AJ122" i="6"/>
  <c r="AE122" i="6"/>
  <c r="AJ121" i="6"/>
  <c r="AE121" i="6"/>
  <c r="AJ120" i="6"/>
  <c r="AE120" i="6"/>
  <c r="AJ119" i="6"/>
  <c r="AE119" i="6"/>
  <c r="AJ118" i="6"/>
  <c r="AE118" i="6"/>
  <c r="AJ117" i="6"/>
  <c r="AE117" i="6"/>
  <c r="AJ113" i="6"/>
  <c r="AJ112" i="6"/>
  <c r="AJ111" i="6"/>
  <c r="AJ110" i="6"/>
  <c r="AJ109" i="6"/>
  <c r="AJ108" i="6"/>
  <c r="AJ107" i="6"/>
  <c r="AJ105" i="6"/>
  <c r="AE105" i="6"/>
  <c r="AJ104" i="6"/>
  <c r="AE104" i="6"/>
  <c r="AJ103" i="6"/>
  <c r="AE103" i="6"/>
  <c r="AJ102" i="6"/>
  <c r="AE102" i="6"/>
  <c r="AJ101" i="6"/>
  <c r="AE101" i="6"/>
  <c r="AJ100" i="6"/>
  <c r="AE100" i="6"/>
  <c r="AJ99" i="6"/>
  <c r="AE99" i="6"/>
  <c r="AJ95" i="6"/>
  <c r="AJ94" i="6"/>
  <c r="AJ93" i="6"/>
  <c r="AJ92" i="6"/>
  <c r="AJ91" i="6"/>
  <c r="AJ90" i="6"/>
  <c r="AJ89" i="6"/>
  <c r="F89" i="6"/>
  <c r="N89" i="6" s="1"/>
  <c r="G82" i="21" s="1"/>
  <c r="AJ87" i="6"/>
  <c r="AE87" i="6"/>
  <c r="AJ86" i="6"/>
  <c r="F86" i="6"/>
  <c r="N86" i="6" s="1"/>
  <c r="G79" i="21" s="1"/>
  <c r="AE86" i="6"/>
  <c r="AJ85" i="6"/>
  <c r="AE85" i="6"/>
  <c r="AJ84" i="6"/>
  <c r="AE84" i="6"/>
  <c r="AJ83" i="6"/>
  <c r="AE83" i="6"/>
  <c r="AJ82" i="6"/>
  <c r="AE82" i="6"/>
  <c r="AJ81" i="6"/>
  <c r="AE81" i="6"/>
  <c r="AJ77" i="6"/>
  <c r="AJ76" i="6"/>
  <c r="AJ75" i="6"/>
  <c r="AJ74" i="6"/>
  <c r="AJ73" i="6"/>
  <c r="AJ72" i="6"/>
  <c r="AJ71" i="6"/>
  <c r="AJ69" i="6"/>
  <c r="AJ68" i="6"/>
  <c r="AJ67" i="6"/>
  <c r="AJ66" i="6"/>
  <c r="AJ65" i="6"/>
  <c r="AJ64" i="6"/>
  <c r="AJ63" i="6"/>
  <c r="AJ59" i="6"/>
  <c r="F59" i="6"/>
  <c r="N59" i="6" s="1"/>
  <c r="G54" i="21" s="1"/>
  <c r="AJ58" i="6"/>
  <c r="AJ57" i="6"/>
  <c r="AJ56" i="6"/>
  <c r="AJ55" i="6"/>
  <c r="AJ54" i="6"/>
  <c r="AJ53" i="6"/>
  <c r="AJ51" i="6"/>
  <c r="AJ50" i="6"/>
  <c r="AJ49" i="6"/>
  <c r="AJ48" i="6"/>
  <c r="AJ47" i="6"/>
  <c r="AJ46" i="6"/>
  <c r="AJ45" i="6"/>
  <c r="AJ39" i="6"/>
  <c r="AJ38" i="6"/>
  <c r="AJ36" i="6"/>
  <c r="F36" i="6"/>
  <c r="N36" i="6" s="1"/>
  <c r="G32" i="21" s="1"/>
  <c r="AJ31" i="6"/>
  <c r="AJ30" i="6"/>
  <c r="AJ28" i="6"/>
  <c r="AJ23" i="6"/>
  <c r="I80" i="2"/>
  <c r="AJ22" i="6"/>
  <c r="I79" i="2"/>
  <c r="AJ21" i="6"/>
  <c r="I78" i="2"/>
  <c r="AJ20" i="6"/>
  <c r="I77" i="2"/>
  <c r="AJ19" i="6"/>
  <c r="I76" i="2"/>
  <c r="AJ18" i="6"/>
  <c r="I75" i="2"/>
  <c r="AJ17" i="6"/>
  <c r="AJ15" i="6"/>
  <c r="I72" i="2"/>
  <c r="AJ14" i="6"/>
  <c r="I71" i="2"/>
  <c r="AJ13" i="6"/>
  <c r="I70" i="2"/>
  <c r="AJ12" i="6"/>
  <c r="I69" i="2"/>
  <c r="AJ11" i="6"/>
  <c r="I68" i="2"/>
  <c r="AJ10" i="6"/>
  <c r="I67" i="2"/>
  <c r="AJ9" i="6"/>
  <c r="V167" i="6"/>
  <c r="Q167" i="6"/>
  <c r="V166" i="6"/>
  <c r="Q166" i="6"/>
  <c r="V165" i="6"/>
  <c r="Q165" i="6"/>
  <c r="V164" i="6"/>
  <c r="Q164" i="6"/>
  <c r="V163" i="6"/>
  <c r="Q163" i="6"/>
  <c r="V162" i="6"/>
  <c r="Q162" i="6"/>
  <c r="V161" i="6"/>
  <c r="Q161" i="6"/>
  <c r="V159" i="6"/>
  <c r="Q159" i="6"/>
  <c r="V158" i="6"/>
  <c r="Q158" i="6"/>
  <c r="V157" i="6"/>
  <c r="Q157" i="6"/>
  <c r="V156" i="6"/>
  <c r="Q156" i="6"/>
  <c r="V155" i="6"/>
  <c r="Q155" i="6"/>
  <c r="V154" i="6"/>
  <c r="Q154" i="6"/>
  <c r="V153" i="6"/>
  <c r="Q153" i="6"/>
  <c r="V149" i="6"/>
  <c r="Q149" i="6"/>
  <c r="V148" i="6"/>
  <c r="Q148" i="6"/>
  <c r="V147" i="6"/>
  <c r="Q147" i="6"/>
  <c r="V146" i="6"/>
  <c r="E146" i="6"/>
  <c r="M146" i="6" s="1"/>
  <c r="F136" i="21" s="1"/>
  <c r="Q146" i="6"/>
  <c r="V145" i="6"/>
  <c r="Q145" i="6"/>
  <c r="V144" i="6"/>
  <c r="Q144" i="6"/>
  <c r="V143" i="6"/>
  <c r="Q143" i="6"/>
  <c r="V141" i="6"/>
  <c r="Q141" i="6"/>
  <c r="V140" i="6"/>
  <c r="Q140" i="6"/>
  <c r="V139" i="6"/>
  <c r="Q139" i="6"/>
  <c r="V138" i="6"/>
  <c r="E138" i="6"/>
  <c r="M138" i="6" s="1"/>
  <c r="F128" i="21" s="1"/>
  <c r="Q138" i="6"/>
  <c r="V137" i="6"/>
  <c r="E137" i="6"/>
  <c r="M137" i="6" s="1"/>
  <c r="F127" i="21" s="1"/>
  <c r="Q137" i="6"/>
  <c r="V136" i="6"/>
  <c r="E136" i="6"/>
  <c r="M136" i="6" s="1"/>
  <c r="F126" i="21" s="1"/>
  <c r="Q136" i="6"/>
  <c r="V135" i="6"/>
  <c r="Q135" i="6"/>
  <c r="V131" i="6"/>
  <c r="Q131" i="6"/>
  <c r="V130" i="6"/>
  <c r="Q130" i="6"/>
  <c r="V129" i="6"/>
  <c r="Q129" i="6"/>
  <c r="V128" i="6"/>
  <c r="Q128" i="6"/>
  <c r="V127" i="6"/>
  <c r="Q127" i="6"/>
  <c r="V126" i="6"/>
  <c r="Q126" i="6"/>
  <c r="V125" i="6"/>
  <c r="Q125" i="6"/>
  <c r="V123" i="6"/>
  <c r="Q123" i="6"/>
  <c r="V122" i="6"/>
  <c r="Q122" i="6"/>
  <c r="V121" i="6"/>
  <c r="Q121" i="6"/>
  <c r="V120" i="6"/>
  <c r="Q120" i="6"/>
  <c r="V119" i="6"/>
  <c r="Q119" i="6"/>
  <c r="V118" i="6"/>
  <c r="Q118" i="6"/>
  <c r="V117" i="6"/>
  <c r="Q117" i="6"/>
  <c r="V113" i="6"/>
  <c r="V112" i="6"/>
  <c r="V111" i="6"/>
  <c r="V110" i="6"/>
  <c r="V109" i="6"/>
  <c r="V108" i="6"/>
  <c r="V107" i="6"/>
  <c r="V105" i="6"/>
  <c r="Q105" i="6"/>
  <c r="V104" i="6"/>
  <c r="Q104" i="6"/>
  <c r="V103" i="6"/>
  <c r="Q103" i="6"/>
  <c r="V102" i="6"/>
  <c r="Q102" i="6"/>
  <c r="V101" i="6"/>
  <c r="Q101" i="6"/>
  <c r="V100" i="6"/>
  <c r="Q100" i="6"/>
  <c r="V99" i="6"/>
  <c r="Q99" i="6"/>
  <c r="V95" i="6"/>
  <c r="V94" i="6"/>
  <c r="V93" i="6"/>
  <c r="V92" i="6"/>
  <c r="V91" i="6"/>
  <c r="V90" i="6"/>
  <c r="V89" i="6"/>
  <c r="V87" i="6"/>
  <c r="Q87" i="6"/>
  <c r="V86" i="6"/>
  <c r="Q86" i="6"/>
  <c r="V85" i="6"/>
  <c r="Q85" i="6"/>
  <c r="V84" i="6"/>
  <c r="Q84" i="6"/>
  <c r="V83" i="6"/>
  <c r="Q83" i="6"/>
  <c r="V82" i="6"/>
  <c r="Q82" i="6"/>
  <c r="V81" i="6"/>
  <c r="Q81" i="6"/>
  <c r="V77" i="6"/>
  <c r="V76" i="6"/>
  <c r="V75" i="6"/>
  <c r="V74" i="6"/>
  <c r="V73" i="6"/>
  <c r="V72" i="6"/>
  <c r="V71" i="6"/>
  <c r="V69" i="6"/>
  <c r="V68" i="6"/>
  <c r="V67" i="6"/>
  <c r="V66" i="6"/>
  <c r="V65" i="6"/>
  <c r="V64" i="6"/>
  <c r="V63" i="6"/>
  <c r="V59" i="6"/>
  <c r="V58" i="6"/>
  <c r="V57" i="6"/>
  <c r="V56" i="6"/>
  <c r="V55" i="6"/>
  <c r="V54" i="6"/>
  <c r="V53" i="6"/>
  <c r="V51" i="6"/>
  <c r="V50" i="6"/>
  <c r="V49" i="6"/>
  <c r="V48" i="6"/>
  <c r="V47" i="6"/>
  <c r="V46" i="6"/>
  <c r="V45" i="6"/>
  <c r="V39" i="6"/>
  <c r="V38" i="6"/>
  <c r="V36" i="6"/>
  <c r="V31" i="6"/>
  <c r="V30" i="6"/>
  <c r="V28" i="6"/>
  <c r="V23" i="6"/>
  <c r="V22" i="6"/>
  <c r="V21" i="6"/>
  <c r="V20" i="6"/>
  <c r="V19" i="6"/>
  <c r="V18" i="6"/>
  <c r="V17" i="6"/>
  <c r="V15" i="6"/>
  <c r="V14" i="6"/>
  <c r="V13" i="6"/>
  <c r="V12" i="6"/>
  <c r="V11" i="6"/>
  <c r="V10" i="6"/>
  <c r="V9" i="6"/>
  <c r="Y36" i="9"/>
  <c r="Y37" i="9"/>
  <c r="Y38" i="9"/>
  <c r="Y39" i="9"/>
  <c r="Y40" i="9"/>
  <c r="Y41" i="9"/>
  <c r="Y42" i="9"/>
  <c r="X37" i="9"/>
  <c r="X38" i="9"/>
  <c r="X39" i="9"/>
  <c r="X40" i="9"/>
  <c r="X41" i="9"/>
  <c r="X42" i="9"/>
  <c r="X36" i="9"/>
  <c r="Y14" i="9"/>
  <c r="Y15" i="9"/>
  <c r="Y16" i="9"/>
  <c r="Y17" i="9"/>
  <c r="Y18" i="9"/>
  <c r="Y19" i="9"/>
  <c r="Y20" i="9"/>
  <c r="X15" i="9"/>
  <c r="X16" i="9"/>
  <c r="X17" i="9"/>
  <c r="X18" i="9"/>
  <c r="X19" i="9"/>
  <c r="X20" i="9"/>
  <c r="J14" i="2"/>
  <c r="J9" i="2"/>
  <c r="M9" i="2" s="1"/>
  <c r="Q9" i="2" s="1"/>
  <c r="X244" i="2" s="1"/>
  <c r="K9" i="2"/>
  <c r="N9" i="2" s="1"/>
  <c r="R9" i="2" s="1"/>
  <c r="Y244" i="2" s="1"/>
  <c r="J10" i="2"/>
  <c r="M10" i="2"/>
  <c r="Q10" i="2"/>
  <c r="K10" i="2"/>
  <c r="J11" i="2"/>
  <c r="K11" i="2"/>
  <c r="J12" i="2"/>
  <c r="K12" i="2"/>
  <c r="N12" i="2" s="1"/>
  <c r="R12" i="2" s="1"/>
  <c r="J13" i="2"/>
  <c r="K13" i="2"/>
  <c r="K14" i="2"/>
  <c r="K8" i="2"/>
  <c r="C149" i="7"/>
  <c r="C150" i="7"/>
  <c r="C152" i="7"/>
  <c r="C146" i="7"/>
  <c r="C129" i="7"/>
  <c r="C130" i="7"/>
  <c r="C132" i="7"/>
  <c r="C126" i="7"/>
  <c r="C49" i="7"/>
  <c r="C50" i="7"/>
  <c r="C51" i="7"/>
  <c r="C46" i="7"/>
  <c r="C9" i="7"/>
  <c r="C10" i="7"/>
  <c r="C11" i="7"/>
  <c r="C6" i="7"/>
  <c r="C169" i="7"/>
  <c r="C177" i="7"/>
  <c r="C180" i="7"/>
  <c r="C179" i="7"/>
  <c r="C178" i="7"/>
  <c r="C176" i="7"/>
  <c r="C175" i="7"/>
  <c r="C174" i="7"/>
  <c r="C160" i="7"/>
  <c r="C158" i="7"/>
  <c r="C157" i="7"/>
  <c r="C154" i="7"/>
  <c r="C140" i="7"/>
  <c r="C139" i="7"/>
  <c r="C137" i="7"/>
  <c r="C134" i="7"/>
  <c r="C120" i="7"/>
  <c r="C119" i="7"/>
  <c r="C118" i="7"/>
  <c r="C114" i="7"/>
  <c r="C100" i="7"/>
  <c r="C99" i="7"/>
  <c r="C97" i="7"/>
  <c r="C94" i="7"/>
  <c r="C79" i="7"/>
  <c r="C78" i="7"/>
  <c r="C77" i="7"/>
  <c r="C74" i="7"/>
  <c r="C59" i="7"/>
  <c r="C58" i="7"/>
  <c r="C57" i="7"/>
  <c r="C54" i="7"/>
  <c r="C172" i="7"/>
  <c r="C171" i="7"/>
  <c r="C170" i="7"/>
  <c r="C168" i="7"/>
  <c r="C167" i="7"/>
  <c r="C166" i="7"/>
  <c r="C19" i="7"/>
  <c r="C18" i="7"/>
  <c r="C17" i="7"/>
  <c r="C14" i="7"/>
  <c r="I8" i="2"/>
  <c r="I9" i="2"/>
  <c r="I10" i="2"/>
  <c r="I11" i="2"/>
  <c r="I12" i="2"/>
  <c r="I13" i="2"/>
  <c r="I14" i="2"/>
  <c r="I24" i="2"/>
  <c r="I25" i="2"/>
  <c r="I26" i="2"/>
  <c r="I27" i="2"/>
  <c r="I28" i="2"/>
  <c r="I29" i="2"/>
  <c r="I30" i="2"/>
  <c r="I58" i="2"/>
  <c r="I59" i="2"/>
  <c r="I60" i="2"/>
  <c r="I61" i="2"/>
  <c r="I62" i="2"/>
  <c r="I63" i="2"/>
  <c r="I64" i="2"/>
  <c r="I66" i="2"/>
  <c r="I74" i="2"/>
  <c r="I82" i="2"/>
  <c r="I83" i="2"/>
  <c r="I84" i="2"/>
  <c r="P96" i="2"/>
  <c r="H56" i="8"/>
  <c r="I56" i="8"/>
  <c r="J56" i="8" s="1"/>
  <c r="J63" i="8" s="1"/>
  <c r="H57" i="8"/>
  <c r="I57" i="8"/>
  <c r="J57" i="8"/>
  <c r="H58" i="8"/>
  <c r="I58" i="8"/>
  <c r="J58" i="8"/>
  <c r="H59" i="8"/>
  <c r="H63" i="8" s="1"/>
  <c r="I59" i="8"/>
  <c r="J59" i="8"/>
  <c r="H60" i="8"/>
  <c r="I60" i="8"/>
  <c r="J60" i="8" s="1"/>
  <c r="H61" i="8"/>
  <c r="I61" i="8"/>
  <c r="J61" i="8" s="1"/>
  <c r="H62" i="8"/>
  <c r="I62" i="8"/>
  <c r="J62" i="8"/>
  <c r="E71" i="6"/>
  <c r="M71" i="6" s="1"/>
  <c r="F65" i="21" s="1"/>
  <c r="E72" i="6"/>
  <c r="M72" i="6" s="1"/>
  <c r="F66" i="21" s="1"/>
  <c r="E74" i="6"/>
  <c r="M74" i="6" s="1"/>
  <c r="F68" i="21" s="1"/>
  <c r="E76" i="6"/>
  <c r="M76" i="6" s="1"/>
  <c r="F70" i="21" s="1"/>
  <c r="E64" i="6"/>
  <c r="M64" i="6" s="1"/>
  <c r="F58" i="21" s="1"/>
  <c r="F297" i="6"/>
  <c r="N297" i="6" s="1"/>
  <c r="G278" i="21" s="1"/>
  <c r="F287" i="6"/>
  <c r="N287" i="6" s="1"/>
  <c r="G269" i="21" s="1"/>
  <c r="E365" i="6"/>
  <c r="M365" i="6" s="1"/>
  <c r="F343" i="21" s="1"/>
  <c r="E363" i="6"/>
  <c r="M363" i="6" s="1"/>
  <c r="F341" i="21" s="1"/>
  <c r="E361" i="6"/>
  <c r="M361" i="6" s="1"/>
  <c r="F339" i="21" s="1"/>
  <c r="E359" i="6"/>
  <c r="M359" i="6" s="1"/>
  <c r="F337" i="21" s="1"/>
  <c r="E353" i="6"/>
  <c r="M353" i="6" s="1"/>
  <c r="F331" i="21" s="1"/>
  <c r="E346" i="6"/>
  <c r="M346" i="6" s="1"/>
  <c r="F325" i="21" s="1"/>
  <c r="E335" i="6"/>
  <c r="M335" i="6" s="1"/>
  <c r="F314" i="21" s="1"/>
  <c r="E328" i="6"/>
  <c r="M328" i="6" s="1"/>
  <c r="F308" i="21" s="1"/>
  <c r="E326" i="6"/>
  <c r="M326" i="6" s="1"/>
  <c r="F306" i="21" s="1"/>
  <c r="E324" i="6"/>
  <c r="M324" i="6" s="1"/>
  <c r="F304" i="21" s="1"/>
  <c r="E321" i="6"/>
  <c r="M321" i="6" s="1"/>
  <c r="F301" i="21" s="1"/>
  <c r="E319" i="6"/>
  <c r="M319" i="6" s="1"/>
  <c r="F299" i="21" s="1"/>
  <c r="E317" i="6"/>
  <c r="M317" i="6" s="1"/>
  <c r="F297" i="21" s="1"/>
  <c r="E315" i="6"/>
  <c r="M315" i="6" s="1"/>
  <c r="F295" i="21" s="1"/>
  <c r="E308" i="6"/>
  <c r="E303" i="6"/>
  <c r="M303" i="6" s="1"/>
  <c r="F284" i="21" s="1"/>
  <c r="E299" i="6"/>
  <c r="M299" i="6" s="1"/>
  <c r="F280" i="21" s="1"/>
  <c r="E293" i="6"/>
  <c r="E289" i="6"/>
  <c r="M289" i="6" s="1"/>
  <c r="F271" i="21" s="1"/>
  <c r="E284" i="6"/>
  <c r="M284" i="6" s="1"/>
  <c r="F266" i="21" s="1"/>
  <c r="E280" i="6"/>
  <c r="M280" i="6" s="1"/>
  <c r="F262" i="21" s="1"/>
  <c r="E274" i="6"/>
  <c r="M274" i="6" s="1"/>
  <c r="F257" i="21" s="1"/>
  <c r="E270" i="6"/>
  <c r="M270" i="6" s="1"/>
  <c r="F253" i="21" s="1"/>
  <c r="E265" i="6"/>
  <c r="M265" i="6" s="1"/>
  <c r="F248" i="21" s="1"/>
  <c r="E261" i="6"/>
  <c r="M261" i="6" s="1"/>
  <c r="F244" i="21" s="1"/>
  <c r="E257" i="6"/>
  <c r="M257" i="6" s="1"/>
  <c r="F241" i="21" s="1"/>
  <c r="E253" i="6"/>
  <c r="M253" i="6" s="1"/>
  <c r="F237" i="21" s="1"/>
  <c r="E248" i="6"/>
  <c r="M248" i="6" s="1"/>
  <c r="F232" i="21" s="1"/>
  <c r="E244" i="6"/>
  <c r="M244" i="6" s="1"/>
  <c r="F228" i="21" s="1"/>
  <c r="E238" i="6"/>
  <c r="M238" i="6" s="1"/>
  <c r="F223" i="21" s="1"/>
  <c r="E234" i="6"/>
  <c r="M234" i="6" s="1"/>
  <c r="F219" i="21" s="1"/>
  <c r="E229" i="6"/>
  <c r="M229" i="6" s="1"/>
  <c r="F214" i="21" s="1"/>
  <c r="E225" i="6"/>
  <c r="M225" i="6" s="1"/>
  <c r="F210" i="21" s="1"/>
  <c r="E220" i="6"/>
  <c r="M220" i="6" s="1"/>
  <c r="F206" i="21" s="1"/>
  <c r="E216" i="6"/>
  <c r="M216" i="6" s="1"/>
  <c r="F202" i="21" s="1"/>
  <c r="E211" i="6"/>
  <c r="M211" i="6" s="1"/>
  <c r="F197" i="21" s="1"/>
  <c r="E207" i="6"/>
  <c r="M207" i="6" s="1"/>
  <c r="F193" i="21" s="1"/>
  <c r="E200" i="6"/>
  <c r="M200" i="6" s="1"/>
  <c r="F187" i="21" s="1"/>
  <c r="E199" i="6"/>
  <c r="M199" i="6" s="1"/>
  <c r="F186" i="21" s="1"/>
  <c r="E195" i="6"/>
  <c r="M195" i="6" s="1"/>
  <c r="F182" i="21" s="1"/>
  <c r="E191" i="6"/>
  <c r="M191" i="6" s="1"/>
  <c r="F178" i="21" s="1"/>
  <c r="E77" i="6"/>
  <c r="M77" i="6" s="1"/>
  <c r="F71" i="21" s="1"/>
  <c r="E65" i="6"/>
  <c r="M65" i="6" s="1"/>
  <c r="F59" i="21" s="1"/>
  <c r="E10" i="6"/>
  <c r="M10" i="6" s="1"/>
  <c r="F7" i="21" s="1"/>
  <c r="E92" i="6"/>
  <c r="M92" i="6" s="1"/>
  <c r="F85" i="21" s="1"/>
  <c r="E58" i="6"/>
  <c r="M58" i="6" s="1"/>
  <c r="F53" i="21" s="1"/>
  <c r="E55" i="6"/>
  <c r="M55" i="6" s="1"/>
  <c r="F50" i="21" s="1"/>
  <c r="E53" i="6"/>
  <c r="M53" i="6" s="1"/>
  <c r="F48" i="21" s="1"/>
  <c r="E82" i="6"/>
  <c r="M82" i="6" s="1"/>
  <c r="F75" i="21" s="1"/>
  <c r="E131" i="6"/>
  <c r="M131" i="6" s="1"/>
  <c r="F122" i="21" s="1"/>
  <c r="E356" i="6"/>
  <c r="M356" i="6" s="1"/>
  <c r="F334" i="21" s="1"/>
  <c r="E354" i="6"/>
  <c r="M354" i="6" s="1"/>
  <c r="F332" i="21" s="1"/>
  <c r="E344" i="6"/>
  <c r="M344" i="6" s="1"/>
  <c r="F323" i="21" s="1"/>
  <c r="E342" i="6"/>
  <c r="M342" i="6" s="1"/>
  <c r="F321" i="21" s="1"/>
  <c r="E338" i="6"/>
  <c r="M338" i="6" s="1"/>
  <c r="F317" i="21" s="1"/>
  <c r="E311" i="6"/>
  <c r="M311" i="6" s="1"/>
  <c r="F292" i="21" s="1"/>
  <c r="E307" i="6"/>
  <c r="M307" i="6" s="1"/>
  <c r="F288" i="21" s="1"/>
  <c r="E302" i="6"/>
  <c r="M302" i="6" s="1"/>
  <c r="F283" i="21" s="1"/>
  <c r="E364" i="6"/>
  <c r="M364" i="6" s="1"/>
  <c r="F342" i="21" s="1"/>
  <c r="E362" i="6"/>
  <c r="M362" i="6" s="1"/>
  <c r="F340" i="21" s="1"/>
  <c r="E360" i="6"/>
  <c r="M360" i="6" s="1"/>
  <c r="F338" i="21" s="1"/>
  <c r="E357" i="6"/>
  <c r="M357" i="6" s="1"/>
  <c r="F335" i="21" s="1"/>
  <c r="E351" i="6"/>
  <c r="M351" i="6" s="1"/>
  <c r="F329" i="21" s="1"/>
  <c r="E347" i="6"/>
  <c r="M347" i="6" s="1"/>
  <c r="F326" i="21" s="1"/>
  <c r="E336" i="6"/>
  <c r="M336" i="6" s="1"/>
  <c r="F315" i="21" s="1"/>
  <c r="E334" i="6"/>
  <c r="M334" i="6" s="1"/>
  <c r="F313" i="21" s="1"/>
  <c r="E333" i="6"/>
  <c r="M333" i="6" s="1"/>
  <c r="F312" i="21" s="1"/>
  <c r="E329" i="6"/>
  <c r="M329" i="6" s="1"/>
  <c r="F309" i="21" s="1"/>
  <c r="E327" i="6"/>
  <c r="M327" i="6" s="1"/>
  <c r="F307" i="21" s="1"/>
  <c r="E325" i="6"/>
  <c r="M325" i="6" s="1"/>
  <c r="F305" i="21" s="1"/>
  <c r="E323" i="6"/>
  <c r="M323" i="6" s="1"/>
  <c r="F303" i="21" s="1"/>
  <c r="E320" i="6"/>
  <c r="M320" i="6" s="1"/>
  <c r="F300" i="21" s="1"/>
  <c r="E318" i="6"/>
  <c r="M318" i="6" s="1"/>
  <c r="F298" i="21" s="1"/>
  <c r="E316" i="6"/>
  <c r="M316" i="6" s="1"/>
  <c r="F296" i="21" s="1"/>
  <c r="E310" i="6"/>
  <c r="M310" i="6" s="1"/>
  <c r="F291" i="21" s="1"/>
  <c r="E306" i="6"/>
  <c r="M306" i="6" s="1"/>
  <c r="F287" i="21" s="1"/>
  <c r="E301" i="6"/>
  <c r="M301" i="6" s="1"/>
  <c r="F282" i="21" s="1"/>
  <c r="E297" i="6"/>
  <c r="M297" i="6" s="1"/>
  <c r="F278" i="21" s="1"/>
  <c r="E291" i="6"/>
  <c r="E287" i="6"/>
  <c r="M287" i="6" s="1"/>
  <c r="F269" i="21" s="1"/>
  <c r="E282" i="6"/>
  <c r="M282" i="6" s="1"/>
  <c r="F264" i="21" s="1"/>
  <c r="E272" i="6"/>
  <c r="M272" i="6" s="1"/>
  <c r="F255" i="21" s="1"/>
  <c r="E267" i="6"/>
  <c r="M267" i="6" s="1"/>
  <c r="F250" i="21" s="1"/>
  <c r="E263" i="6"/>
  <c r="M263" i="6" s="1"/>
  <c r="F246" i="21" s="1"/>
  <c r="E255" i="6"/>
  <c r="M255" i="6" s="1"/>
  <c r="F239" i="21" s="1"/>
  <c r="E251" i="6"/>
  <c r="M251" i="6" s="1"/>
  <c r="F235" i="21" s="1"/>
  <c r="E246" i="6"/>
  <c r="M246" i="6" s="1"/>
  <c r="F230" i="21" s="1"/>
  <c r="E236" i="6"/>
  <c r="M236" i="6" s="1"/>
  <c r="F221" i="21" s="1"/>
  <c r="E231" i="6"/>
  <c r="M231" i="6" s="1"/>
  <c r="F216" i="21" s="1"/>
  <c r="E227" i="6"/>
  <c r="M227" i="6" s="1"/>
  <c r="F212" i="21" s="1"/>
  <c r="E218" i="6"/>
  <c r="M218" i="6" s="1"/>
  <c r="F204" i="21" s="1"/>
  <c r="E213" i="6"/>
  <c r="M213" i="6" s="1"/>
  <c r="F199" i="21" s="1"/>
  <c r="E209" i="6"/>
  <c r="M209" i="6" s="1"/>
  <c r="F195" i="21" s="1"/>
  <c r="E193" i="6"/>
  <c r="E189" i="6"/>
  <c r="M189" i="6" s="1"/>
  <c r="F176" i="21" s="1"/>
  <c r="E190" i="6"/>
  <c r="M190" i="6" s="1"/>
  <c r="F177" i="21" s="1"/>
  <c r="E192" i="6"/>
  <c r="M192" i="6" s="1"/>
  <c r="F179" i="21" s="1"/>
  <c r="E194" i="6"/>
  <c r="M194" i="6" s="1"/>
  <c r="F181" i="21" s="1"/>
  <c r="E197" i="6"/>
  <c r="M197" i="6" s="1"/>
  <c r="F184" i="21" s="1"/>
  <c r="E203" i="6"/>
  <c r="M203" i="6" s="1"/>
  <c r="F190" i="21" s="1"/>
  <c r="E208" i="6"/>
  <c r="M208" i="6" s="1"/>
  <c r="F194" i="21" s="1"/>
  <c r="E210" i="6"/>
  <c r="M210" i="6" s="1"/>
  <c r="F196" i="21" s="1"/>
  <c r="E212" i="6"/>
  <c r="M212" i="6" s="1"/>
  <c r="F198" i="21" s="1"/>
  <c r="E215" i="6"/>
  <c r="M215" i="6" s="1"/>
  <c r="F201" i="21" s="1"/>
  <c r="E217" i="6"/>
  <c r="E219" i="6"/>
  <c r="M219" i="6" s="1"/>
  <c r="F205" i="21" s="1"/>
  <c r="E221" i="6"/>
  <c r="M221" i="6" s="1"/>
  <c r="F207" i="21" s="1"/>
  <c r="E298" i="6"/>
  <c r="M298" i="6" s="1"/>
  <c r="F279" i="21" s="1"/>
  <c r="E300" i="6"/>
  <c r="M300" i="6" s="1"/>
  <c r="F281" i="21" s="1"/>
  <c r="E339" i="6"/>
  <c r="M339" i="6" s="1"/>
  <c r="F318" i="21" s="1"/>
  <c r="E345" i="6"/>
  <c r="M345" i="6" s="1"/>
  <c r="F324" i="21" s="1"/>
  <c r="E63" i="6"/>
  <c r="M63" i="6" s="1"/>
  <c r="F57" i="21" s="1"/>
  <c r="E68" i="6"/>
  <c r="M68" i="6" s="1"/>
  <c r="F62" i="21" s="1"/>
  <c r="E75" i="6"/>
  <c r="M75" i="6" s="1"/>
  <c r="F69" i="21" s="1"/>
  <c r="E201" i="6"/>
  <c r="M201" i="6" s="1"/>
  <c r="F188" i="21" s="1"/>
  <c r="E226" i="6"/>
  <c r="M226" i="6" s="1"/>
  <c r="F211" i="21" s="1"/>
  <c r="E228" i="6"/>
  <c r="M228" i="6" s="1"/>
  <c r="F213" i="21" s="1"/>
  <c r="E230" i="6"/>
  <c r="M230" i="6" s="1"/>
  <c r="F215" i="21" s="1"/>
  <c r="E233" i="6"/>
  <c r="M233" i="6" s="1"/>
  <c r="F218" i="21" s="1"/>
  <c r="E235" i="6"/>
  <c r="M235" i="6" s="1"/>
  <c r="F220" i="21" s="1"/>
  <c r="E237" i="6"/>
  <c r="M237" i="6" s="1"/>
  <c r="F222" i="21" s="1"/>
  <c r="E239" i="6"/>
  <c r="M239" i="6" s="1"/>
  <c r="F224" i="21" s="1"/>
  <c r="E262" i="6"/>
  <c r="M262" i="6" s="1"/>
  <c r="F245" i="21" s="1"/>
  <c r="E264" i="6"/>
  <c r="M264" i="6" s="1"/>
  <c r="F247" i="21" s="1"/>
  <c r="E266" i="6"/>
  <c r="M266" i="6" s="1"/>
  <c r="F249" i="21" s="1"/>
  <c r="E269" i="6"/>
  <c r="M269" i="6" s="1"/>
  <c r="F252" i="21" s="1"/>
  <c r="E271" i="6"/>
  <c r="M271" i="6" s="1"/>
  <c r="F254" i="21" s="1"/>
  <c r="E273" i="6"/>
  <c r="M273" i="6" s="1"/>
  <c r="F256" i="21" s="1"/>
  <c r="E275" i="6"/>
  <c r="M275" i="6" s="1"/>
  <c r="F258" i="21" s="1"/>
  <c r="E309" i="6"/>
  <c r="M309" i="6" s="1"/>
  <c r="F290" i="21" s="1"/>
  <c r="E341" i="6"/>
  <c r="M341" i="6" s="1"/>
  <c r="F320" i="21" s="1"/>
  <c r="E69" i="6"/>
  <c r="M69" i="6" s="1"/>
  <c r="F63" i="21" s="1"/>
  <c r="E198" i="6"/>
  <c r="M198" i="6" s="1"/>
  <c r="F185" i="21" s="1"/>
  <c r="E243" i="6"/>
  <c r="M243" i="6" s="1"/>
  <c r="F227" i="21" s="1"/>
  <c r="E245" i="6"/>
  <c r="M245" i="6" s="1"/>
  <c r="F229" i="21" s="1"/>
  <c r="E247" i="6"/>
  <c r="M247" i="6" s="1"/>
  <c r="F231" i="21" s="1"/>
  <c r="E249" i="6"/>
  <c r="M249" i="6" s="1"/>
  <c r="F233" i="21" s="1"/>
  <c r="E252" i="6"/>
  <c r="M252" i="6" s="1"/>
  <c r="F236" i="21" s="1"/>
  <c r="E254" i="6"/>
  <c r="M254" i="6" s="1"/>
  <c r="F238" i="21" s="1"/>
  <c r="E256" i="6"/>
  <c r="M256" i="6" s="1"/>
  <c r="F240" i="21" s="1"/>
  <c r="E279" i="6"/>
  <c r="M279" i="6" s="1"/>
  <c r="F261" i="21" s="1"/>
  <c r="E281" i="6"/>
  <c r="E283" i="6"/>
  <c r="M283" i="6" s="1"/>
  <c r="F265" i="21" s="1"/>
  <c r="E285" i="6"/>
  <c r="M285" i="6" s="1"/>
  <c r="F267" i="21" s="1"/>
  <c r="E288" i="6"/>
  <c r="E290" i="6"/>
  <c r="E292" i="6"/>
  <c r="M292" i="6" s="1"/>
  <c r="F274" i="21" s="1"/>
  <c r="E305" i="6"/>
  <c r="M305" i="6" s="1"/>
  <c r="F286" i="21" s="1"/>
  <c r="E337" i="6"/>
  <c r="M337" i="6" s="1"/>
  <c r="F316" i="21" s="1"/>
  <c r="E343" i="6"/>
  <c r="M343" i="6" s="1"/>
  <c r="F322" i="21" s="1"/>
  <c r="E355" i="6"/>
  <c r="M355" i="6" s="1"/>
  <c r="F333" i="21" s="1"/>
  <c r="F266" i="6"/>
  <c r="N266" i="6" s="1"/>
  <c r="G249" i="21" s="1"/>
  <c r="F318" i="6"/>
  <c r="N318" i="6" s="1"/>
  <c r="G298" i="21" s="1"/>
  <c r="F194" i="6"/>
  <c r="N194" i="6" s="1"/>
  <c r="G181" i="21" s="1"/>
  <c r="F273" i="6"/>
  <c r="N273" i="6" s="1"/>
  <c r="G256" i="21" s="1"/>
  <c r="O537" i="2"/>
  <c r="D577" i="2"/>
  <c r="AF33" i="6"/>
  <c r="U235" i="2"/>
  <c r="N550" i="2"/>
  <c r="P550" i="2"/>
  <c r="N537" i="2"/>
  <c r="C577" i="2"/>
  <c r="N11" i="2"/>
  <c r="R11" i="2"/>
  <c r="Y246" i="2" s="1"/>
  <c r="J43" i="2"/>
  <c r="N536" i="2"/>
  <c r="C563" i="2"/>
  <c r="AE94" i="6"/>
  <c r="N543" i="2"/>
  <c r="U230" i="2"/>
  <c r="N509" i="2"/>
  <c r="P509" i="2" s="1"/>
  <c r="N523" i="2"/>
  <c r="C575" i="2"/>
  <c r="AE95" i="6"/>
  <c r="U225" i="2"/>
  <c r="AE110" i="6"/>
  <c r="O491" i="2"/>
  <c r="D564" i="2" s="1"/>
  <c r="M561" i="2" s="1"/>
  <c r="K148" i="2"/>
  <c r="J58" i="6"/>
  <c r="U228" i="2"/>
  <c r="K51" i="2"/>
  <c r="AA235" i="2" s="1"/>
  <c r="J144" i="2"/>
  <c r="I54" i="6"/>
  <c r="R54" i="6"/>
  <c r="J163" i="2"/>
  <c r="I73" i="6" s="1"/>
  <c r="J165" i="2"/>
  <c r="I75" i="6"/>
  <c r="J180" i="2"/>
  <c r="I90" i="6"/>
  <c r="J184" i="2"/>
  <c r="I94" i="6"/>
  <c r="R94" i="6" s="1"/>
  <c r="J199" i="2"/>
  <c r="I109" i="6"/>
  <c r="N551" i="2"/>
  <c r="C579" i="2"/>
  <c r="J49" i="2"/>
  <c r="Z233" i="2"/>
  <c r="J41" i="2"/>
  <c r="P58" i="2"/>
  <c r="K164" i="2"/>
  <c r="J74" i="6"/>
  <c r="AE93" i="6"/>
  <c r="O522" i="2"/>
  <c r="D581" i="2" s="1"/>
  <c r="K203" i="2"/>
  <c r="J113" i="6" s="1"/>
  <c r="AM113" i="6" s="1"/>
  <c r="Q247" i="2"/>
  <c r="X231" i="2"/>
  <c r="AE75" i="6"/>
  <c r="K180" i="2"/>
  <c r="J90" i="6"/>
  <c r="L82" i="6" s="1"/>
  <c r="AH82" i="6" s="1"/>
  <c r="K184" i="2"/>
  <c r="J94" i="6" s="1"/>
  <c r="J51" i="2"/>
  <c r="Z235" i="2" s="1"/>
  <c r="K50" i="2"/>
  <c r="J122" i="6"/>
  <c r="AM122" i="6"/>
  <c r="Q14" i="2"/>
  <c r="U231" i="2"/>
  <c r="U236" i="2"/>
  <c r="O551" i="2"/>
  <c r="D579" i="2"/>
  <c r="N515" i="2"/>
  <c r="C580" i="2" s="1"/>
  <c r="L565" i="2" s="1"/>
  <c r="N252" i="2"/>
  <c r="R252" i="2"/>
  <c r="N530" i="2"/>
  <c r="C576" i="2"/>
  <c r="K53" i="2"/>
  <c r="AA237" i="2"/>
  <c r="N502" i="2"/>
  <c r="C572" i="2"/>
  <c r="O92" i="2"/>
  <c r="T226" i="2"/>
  <c r="AE90" i="6"/>
  <c r="M11" i="2"/>
  <c r="Q11" i="2"/>
  <c r="W237" i="2"/>
  <c r="N251" i="2"/>
  <c r="R251" i="2" s="1"/>
  <c r="J44" i="2"/>
  <c r="N61" i="2" s="1"/>
  <c r="K45" i="2"/>
  <c r="O508" i="2"/>
  <c r="D561" i="2"/>
  <c r="K199" i="2"/>
  <c r="J109" i="6" s="1"/>
  <c r="J149" i="2"/>
  <c r="I59" i="6" s="1"/>
  <c r="R59" i="6" s="1"/>
  <c r="J166" i="2"/>
  <c r="I76" i="6" s="1"/>
  <c r="J181" i="2"/>
  <c r="I91" i="6"/>
  <c r="J183" i="2"/>
  <c r="I93" i="6" s="1"/>
  <c r="J185" i="2"/>
  <c r="I95" i="6"/>
  <c r="Y95" i="6" s="1"/>
  <c r="J198" i="2"/>
  <c r="I108" i="6"/>
  <c r="K165" i="2"/>
  <c r="J75" i="6"/>
  <c r="AF74" i="6"/>
  <c r="AE57" i="6"/>
  <c r="J147" i="2"/>
  <c r="I57" i="6"/>
  <c r="O501" i="2"/>
  <c r="Q501" i="2" s="1"/>
  <c r="D566" i="2"/>
  <c r="R19" i="2"/>
  <c r="N22" i="2"/>
  <c r="R22" i="2" s="1"/>
  <c r="X228" i="2"/>
  <c r="N247" i="2"/>
  <c r="R247" i="2" s="1"/>
  <c r="Y247" i="2" s="1"/>
  <c r="J15" i="6"/>
  <c r="AM15" i="6"/>
  <c r="N481" i="2"/>
  <c r="C559" i="2" s="1"/>
  <c r="L559" i="2" s="1"/>
  <c r="N501" i="2"/>
  <c r="J52" i="2"/>
  <c r="J46" i="2"/>
  <c r="O63" i="2" s="1"/>
  <c r="AE55" i="6"/>
  <c r="AE72" i="6"/>
  <c r="AE76" i="6"/>
  <c r="AE91" i="6"/>
  <c r="AE111" i="6"/>
  <c r="K202" i="2"/>
  <c r="J112" i="6" s="1"/>
  <c r="AF111" i="6" s="1"/>
  <c r="N243" i="2"/>
  <c r="R243" i="2"/>
  <c r="Q59" i="6"/>
  <c r="X230" i="2"/>
  <c r="J50" i="2"/>
  <c r="N8" i="2"/>
  <c r="R8" i="2" s="1"/>
  <c r="N10" i="2"/>
  <c r="R10" i="2" s="1"/>
  <c r="Y245" i="2" s="1"/>
  <c r="AE113" i="6"/>
  <c r="M253" i="2"/>
  <c r="Q253" i="2" s="1"/>
  <c r="X253" i="2" s="1"/>
  <c r="N491" i="2"/>
  <c r="C564" i="2"/>
  <c r="L561" i="2" s="1"/>
  <c r="Q56" i="6"/>
  <c r="J146" i="2"/>
  <c r="I56" i="6" s="1"/>
  <c r="Y56" i="6" s="1"/>
  <c r="T234" i="2"/>
  <c r="N516" i="2"/>
  <c r="N529" i="2"/>
  <c r="O536" i="2"/>
  <c r="N486" i="2"/>
  <c r="AA488" i="2" s="1"/>
  <c r="K162" i="2"/>
  <c r="J72" i="6"/>
  <c r="J197" i="2"/>
  <c r="I107" i="6"/>
  <c r="Q112" i="6"/>
  <c r="K181" i="2"/>
  <c r="J91" i="6" s="1"/>
  <c r="AM91" i="6"/>
  <c r="K47" i="2"/>
  <c r="AA231" i="2" s="1"/>
  <c r="AE73" i="6"/>
  <c r="AE77" i="6"/>
  <c r="AE92" i="6"/>
  <c r="AE107" i="6"/>
  <c r="AE112" i="6"/>
  <c r="O516" i="2"/>
  <c r="D574" i="2"/>
  <c r="K166" i="2"/>
  <c r="J76" i="6"/>
  <c r="L68" i="6"/>
  <c r="K185" i="2"/>
  <c r="J95" i="6"/>
  <c r="AF94" i="6"/>
  <c r="X238" i="2"/>
  <c r="Q76" i="6"/>
  <c r="M18" i="2"/>
  <c r="Q18" i="2"/>
  <c r="M19" i="2"/>
  <c r="Q19" i="2" s="1"/>
  <c r="M20" i="2"/>
  <c r="Q20" i="2"/>
  <c r="M21" i="2"/>
  <c r="Q21" i="2" s="1"/>
  <c r="M22" i="2"/>
  <c r="Q22" i="2"/>
  <c r="M248" i="2"/>
  <c r="Q248" i="2" s="1"/>
  <c r="Q254" i="2"/>
  <c r="X254" i="2"/>
  <c r="O482" i="2"/>
  <c r="D568" i="2"/>
  <c r="N487" i="2"/>
  <c r="N492" i="2"/>
  <c r="C570" i="2" s="1"/>
  <c r="J45" i="2"/>
  <c r="P62" i="2"/>
  <c r="J42" i="2"/>
  <c r="Z226" i="2" s="1"/>
  <c r="K147" i="2"/>
  <c r="J57" i="6"/>
  <c r="J167" i="2"/>
  <c r="I77" i="6"/>
  <c r="Y77" i="6"/>
  <c r="J182" i="2"/>
  <c r="I92" i="6" s="1"/>
  <c r="AE109" i="6"/>
  <c r="J200" i="2"/>
  <c r="I110" i="6" s="1"/>
  <c r="J202" i="2"/>
  <c r="I112" i="6"/>
  <c r="Y112" i="6" s="1"/>
  <c r="N544" i="2"/>
  <c r="C578" i="2"/>
  <c r="N522" i="2"/>
  <c r="C581" i="2" s="1"/>
  <c r="U227" i="2"/>
  <c r="B4" i="6"/>
  <c r="N496" i="2"/>
  <c r="Q496" i="2" s="1"/>
  <c r="N497" i="2"/>
  <c r="W226" i="2"/>
  <c r="J179" i="2"/>
  <c r="I89" i="6"/>
  <c r="Y89" i="6"/>
  <c r="N257" i="2"/>
  <c r="R257" i="2" s="1"/>
  <c r="Y257" i="2" s="1"/>
  <c r="N254" i="2"/>
  <c r="R254" i="2"/>
  <c r="O550" i="2"/>
  <c r="X236" i="2"/>
  <c r="Z238" i="2"/>
  <c r="K182" i="2"/>
  <c r="J92" i="6" s="1"/>
  <c r="Q93" i="6"/>
  <c r="M16" i="2"/>
  <c r="Q16" i="2" s="1"/>
  <c r="M17" i="2"/>
  <c r="J146" i="6"/>
  <c r="J164" i="6"/>
  <c r="AF164" i="6" s="1"/>
  <c r="O481" i="2"/>
  <c r="D559" i="2"/>
  <c r="M559" i="2" s="1"/>
  <c r="N482" i="2"/>
  <c r="C568" i="2" s="1"/>
  <c r="O487" i="2"/>
  <c r="D569" i="2"/>
  <c r="K43" i="2"/>
  <c r="T60" i="2" s="1"/>
  <c r="AE108" i="6"/>
  <c r="K200" i="2"/>
  <c r="J110" i="6"/>
  <c r="W228" i="2"/>
  <c r="U238" i="2"/>
  <c r="K179" i="2"/>
  <c r="J89" i="6"/>
  <c r="O91" i="2"/>
  <c r="N249" i="2"/>
  <c r="R249" i="2"/>
  <c r="K49" i="2"/>
  <c r="K52" i="2"/>
  <c r="AA236" i="2"/>
  <c r="K197" i="2"/>
  <c r="J107" i="6" s="1"/>
  <c r="J201" i="2"/>
  <c r="I111" i="6" s="1"/>
  <c r="N246" i="2"/>
  <c r="R246" i="2"/>
  <c r="N248" i="2"/>
  <c r="R248" i="2"/>
  <c r="M251" i="2"/>
  <c r="Q251" i="2"/>
  <c r="N92" i="2"/>
  <c r="C455" i="2"/>
  <c r="C347" i="6"/>
  <c r="J55" i="2"/>
  <c r="K46" i="2"/>
  <c r="U63" i="2"/>
  <c r="J145" i="2"/>
  <c r="I55" i="6" s="1"/>
  <c r="J148" i="2"/>
  <c r="I58" i="6" s="1"/>
  <c r="K161" i="2"/>
  <c r="J71" i="6"/>
  <c r="AM71" i="6"/>
  <c r="AF325" i="6"/>
  <c r="J9" i="6"/>
  <c r="X225" i="2"/>
  <c r="Q53" i="6"/>
  <c r="AE53" i="6"/>
  <c r="K143" i="2"/>
  <c r="J53" i="6"/>
  <c r="L45" i="6" s="1"/>
  <c r="AH53" i="6" s="1"/>
  <c r="N255" i="2"/>
  <c r="R255" i="2" s="1"/>
  <c r="Y255" i="2" s="1"/>
  <c r="J165" i="6"/>
  <c r="W236" i="2"/>
  <c r="AE71" i="6"/>
  <c r="T227" i="2"/>
  <c r="I37" i="6"/>
  <c r="Y37" i="6" s="1"/>
  <c r="T235" i="2"/>
  <c r="Q55" i="6"/>
  <c r="I143" i="6"/>
  <c r="T233" i="2"/>
  <c r="I18" i="6"/>
  <c r="W234" i="2"/>
  <c r="Q58" i="6"/>
  <c r="AE58" i="6"/>
  <c r="W238" i="2"/>
  <c r="X227" i="2"/>
  <c r="W233" i="2"/>
  <c r="T239" i="2"/>
  <c r="T225" i="2"/>
  <c r="I30" i="6"/>
  <c r="T228" i="2"/>
  <c r="O497" i="2"/>
  <c r="D571" i="2"/>
  <c r="O515" i="2"/>
  <c r="D580" i="2" s="1"/>
  <c r="M565" i="2" s="1"/>
  <c r="O486" i="2"/>
  <c r="D560" i="2" s="1"/>
  <c r="O496" i="2"/>
  <c r="K44" i="2"/>
  <c r="S61" i="2"/>
  <c r="K145" i="2"/>
  <c r="J55" i="6"/>
  <c r="J162" i="2"/>
  <c r="I72" i="6" s="1"/>
  <c r="M245" i="2"/>
  <c r="Q245" i="2"/>
  <c r="X245" i="2" s="1"/>
  <c r="I155" i="6"/>
  <c r="M249" i="2"/>
  <c r="Q249" i="2" s="1"/>
  <c r="Q13" i="2"/>
  <c r="N13" i="2"/>
  <c r="R13" i="2" s="1"/>
  <c r="R18" i="2"/>
  <c r="N20" i="2"/>
  <c r="R20" i="2" s="1"/>
  <c r="R21" i="2"/>
  <c r="Y256" i="2" s="1"/>
  <c r="N256" i="2"/>
  <c r="R256" i="2"/>
  <c r="K42" i="2"/>
  <c r="T59" i="2" s="1"/>
  <c r="J143" i="2"/>
  <c r="I53" i="6"/>
  <c r="O544" i="2"/>
  <c r="Q544" i="2" s="1"/>
  <c r="O543" i="2"/>
  <c r="D582" i="2" s="1"/>
  <c r="O492" i="2"/>
  <c r="D570" i="2"/>
  <c r="N508" i="2"/>
  <c r="O509" i="2"/>
  <c r="K163" i="2"/>
  <c r="J73" i="6"/>
  <c r="AF73" i="6" s="1"/>
  <c r="J203" i="2"/>
  <c r="I113" i="6"/>
  <c r="R113" i="6"/>
  <c r="AE89" i="6"/>
  <c r="K201" i="2"/>
  <c r="J111" i="6"/>
  <c r="M256" i="2"/>
  <c r="Q256" i="2" s="1"/>
  <c r="J139" i="6"/>
  <c r="AF138" i="6"/>
  <c r="X229" i="2"/>
  <c r="I154" i="6"/>
  <c r="R153" i="6" s="1"/>
  <c r="M244" i="2"/>
  <c r="Q244" i="2" s="1"/>
  <c r="W231" i="2"/>
  <c r="I141" i="6"/>
  <c r="T231" i="2"/>
  <c r="W235" i="2"/>
  <c r="I145" i="6"/>
  <c r="R144" i="6"/>
  <c r="U239" i="2"/>
  <c r="X239" i="2"/>
  <c r="J149" i="6"/>
  <c r="I13" i="6"/>
  <c r="K13" i="6" s="1"/>
  <c r="Q74" i="6"/>
  <c r="J164" i="2"/>
  <c r="I74" i="6"/>
  <c r="AE74" i="6"/>
  <c r="U229" i="2"/>
  <c r="C452" i="2"/>
  <c r="C344" i="6"/>
  <c r="C450" i="2"/>
  <c r="C342" i="6"/>
  <c r="C434" i="2"/>
  <c r="C326" i="6"/>
  <c r="C433" i="2"/>
  <c r="C325" i="6"/>
  <c r="C473" i="2"/>
  <c r="C365" i="6"/>
  <c r="C468" i="2"/>
  <c r="C360" i="6"/>
  <c r="C418" i="2"/>
  <c r="C310" i="6"/>
  <c r="C382" i="2"/>
  <c r="C274" i="6"/>
  <c r="C359" i="2"/>
  <c r="C251" i="6"/>
  <c r="C419" i="2"/>
  <c r="C311" i="6"/>
  <c r="C416" i="2"/>
  <c r="C308" i="6"/>
  <c r="C346" i="2"/>
  <c r="C238" i="6"/>
  <c r="C398" i="2"/>
  <c r="C290" i="6"/>
  <c r="C397" i="2"/>
  <c r="C289" i="6"/>
  <c r="C360" i="2"/>
  <c r="C252" i="6"/>
  <c r="C329" i="2"/>
  <c r="C221" i="6"/>
  <c r="C239" i="2"/>
  <c r="C149" i="6"/>
  <c r="C161" i="2"/>
  <c r="C71" i="6"/>
  <c r="C143" i="2"/>
  <c r="C53" i="6"/>
  <c r="C202" i="2"/>
  <c r="C112" i="6"/>
  <c r="C221" i="2"/>
  <c r="C131" i="6"/>
  <c r="C274" i="2"/>
  <c r="C166" i="6"/>
  <c r="C146" i="2"/>
  <c r="C56" i="6"/>
  <c r="C291" i="2"/>
  <c r="C183" i="6"/>
  <c r="C342" i="2"/>
  <c r="C234" i="6"/>
  <c r="C379" i="2"/>
  <c r="C271" i="6"/>
  <c r="C327" i="2"/>
  <c r="C219" i="6"/>
  <c r="C34" i="2"/>
  <c r="C254" i="2"/>
  <c r="C149" i="2"/>
  <c r="C59" i="6"/>
  <c r="C219" i="2"/>
  <c r="C129" i="6"/>
  <c r="C200" i="2"/>
  <c r="C110" i="6"/>
  <c r="C16" i="2"/>
  <c r="C252" i="2"/>
  <c r="C257" i="2"/>
  <c r="C220" i="2"/>
  <c r="C130" i="6" s="1"/>
  <c r="C235" i="2"/>
  <c r="C145" i="6"/>
  <c r="Q17" i="2"/>
  <c r="N16" i="2"/>
  <c r="T230" i="2"/>
  <c r="W230" i="2"/>
  <c r="J145" i="6"/>
  <c r="X235" i="2"/>
  <c r="I147" i="6"/>
  <c r="T237" i="2"/>
  <c r="W227" i="2"/>
  <c r="Z234" i="2"/>
  <c r="I40" i="6"/>
  <c r="T238" i="2"/>
  <c r="K54" i="2"/>
  <c r="AA238" i="2" s="1"/>
  <c r="K146" i="2"/>
  <c r="J56" i="6" s="1"/>
  <c r="AM56" i="6" s="1"/>
  <c r="AE56" i="6"/>
  <c r="K149" i="2"/>
  <c r="J59" i="6" s="1"/>
  <c r="AE59" i="6"/>
  <c r="K198" i="2"/>
  <c r="J108" i="6"/>
  <c r="Q108" i="6"/>
  <c r="M12" i="2"/>
  <c r="Q12" i="2" s="1"/>
  <c r="N91" i="2"/>
  <c r="AE54" i="6"/>
  <c r="K144" i="2"/>
  <c r="J54" i="6" s="1"/>
  <c r="O502" i="2"/>
  <c r="D572" i="2" s="1"/>
  <c r="J47" i="2"/>
  <c r="M246" i="2"/>
  <c r="Q246" i="2" s="1"/>
  <c r="M257" i="2"/>
  <c r="Q257" i="2"/>
  <c r="I167" i="6"/>
  <c r="O523" i="2"/>
  <c r="J161" i="2"/>
  <c r="I71" i="6"/>
  <c r="R71" i="6" s="1"/>
  <c r="M243" i="2"/>
  <c r="Q243" i="2" s="1"/>
  <c r="X243" i="2"/>
  <c r="I153" i="6"/>
  <c r="N253" i="2"/>
  <c r="R253" i="2" s="1"/>
  <c r="Y253" i="2" s="1"/>
  <c r="Q73" i="6"/>
  <c r="J53" i="2"/>
  <c r="Z237" i="2" s="1"/>
  <c r="K41" i="2"/>
  <c r="T58" i="2"/>
  <c r="K55" i="2"/>
  <c r="AA239" i="2" s="1"/>
  <c r="K167" i="2"/>
  <c r="J77" i="6"/>
  <c r="AF76" i="6"/>
  <c r="K183" i="2"/>
  <c r="J93" i="6" s="1"/>
  <c r="N245" i="2"/>
  <c r="R245" i="2"/>
  <c r="M255" i="2"/>
  <c r="Q255" i="2"/>
  <c r="X255" i="2" s="1"/>
  <c r="I165" i="6"/>
  <c r="K284" i="6"/>
  <c r="T284" i="6" s="1"/>
  <c r="O529" i="2"/>
  <c r="P529" i="2" s="1"/>
  <c r="O530" i="2"/>
  <c r="D576" i="2"/>
  <c r="AF317" i="6"/>
  <c r="AF324" i="6"/>
  <c r="D354" i="7"/>
  <c r="D208" i="7"/>
  <c r="R287" i="6"/>
  <c r="AF103" i="6"/>
  <c r="R266" i="6"/>
  <c r="L281" i="6"/>
  <c r="D255" i="7"/>
  <c r="AF266" i="6"/>
  <c r="D168" i="7"/>
  <c r="B295" i="6"/>
  <c r="AF225" i="6"/>
  <c r="AF287" i="6"/>
  <c r="D347" i="7"/>
  <c r="D126" i="7"/>
  <c r="R11" i="6"/>
  <c r="L267" i="6"/>
  <c r="AH275" i="6"/>
  <c r="R279" i="6"/>
  <c r="AF303" i="6"/>
  <c r="K191" i="6"/>
  <c r="L300" i="6"/>
  <c r="L118" i="6"/>
  <c r="L120" i="6"/>
  <c r="AH128" i="6" s="1"/>
  <c r="AF292" i="6"/>
  <c r="D191" i="7"/>
  <c r="D214" i="7"/>
  <c r="D155" i="7"/>
  <c r="D159" i="7"/>
  <c r="D140" i="7"/>
  <c r="D15" i="7"/>
  <c r="D256" i="7"/>
  <c r="D312" i="7"/>
  <c r="L117" i="6"/>
  <c r="AH117" i="6" s="1"/>
  <c r="L209" i="6"/>
  <c r="R14" i="6"/>
  <c r="B103" i="6"/>
  <c r="G103" i="6"/>
  <c r="D67" i="7"/>
  <c r="D94" i="7"/>
  <c r="AF161" i="6"/>
  <c r="AF141" i="6"/>
  <c r="D54" i="7"/>
  <c r="D69" i="7"/>
  <c r="L262" i="6"/>
  <c r="AH262" i="6"/>
  <c r="AF11" i="6"/>
  <c r="M263" i="7"/>
  <c r="C263" i="7" s="1"/>
  <c r="AF270" i="6"/>
  <c r="Y137" i="6"/>
  <c r="R136" i="6"/>
  <c r="K136" i="6"/>
  <c r="T136" i="6"/>
  <c r="K189" i="6"/>
  <c r="AF280" i="6"/>
  <c r="AF327" i="6"/>
  <c r="Y344" i="6"/>
  <c r="AF117" i="6"/>
  <c r="K263" i="6"/>
  <c r="T271" i="6"/>
  <c r="K279" i="6"/>
  <c r="R120" i="6"/>
  <c r="D116" i="7"/>
  <c r="Y84" i="6"/>
  <c r="R84" i="6"/>
  <c r="D136" i="7"/>
  <c r="B79" i="6"/>
  <c r="B83" i="6" s="1"/>
  <c r="H83" i="6" s="1"/>
  <c r="K192" i="6"/>
  <c r="T200" i="6"/>
  <c r="D187" i="7"/>
  <c r="D197" i="7"/>
  <c r="D210" i="7"/>
  <c r="D257" i="7"/>
  <c r="R190" i="6"/>
  <c r="D206" i="7"/>
  <c r="D114" i="7"/>
  <c r="D146" i="7"/>
  <c r="D188" i="7"/>
  <c r="K249" i="6"/>
  <c r="D139" i="7"/>
  <c r="D279" i="7"/>
  <c r="B264" i="6"/>
  <c r="G264" i="6"/>
  <c r="AF275" i="6"/>
  <c r="AF274" i="6"/>
  <c r="L302" i="6"/>
  <c r="AH310" i="6"/>
  <c r="D99" i="7"/>
  <c r="R269" i="6"/>
  <c r="L298" i="6"/>
  <c r="D16" i="7"/>
  <c r="R215" i="6"/>
  <c r="D160" i="7"/>
  <c r="D194" i="7"/>
  <c r="B205" i="6"/>
  <c r="D249" i="7"/>
  <c r="R264" i="6"/>
  <c r="R199" i="6"/>
  <c r="D199" i="7"/>
  <c r="R209" i="6"/>
  <c r="D254" i="7"/>
  <c r="B272" i="6"/>
  <c r="B267" i="6"/>
  <c r="H267" i="6" s="1"/>
  <c r="B274" i="6"/>
  <c r="B269" i="6"/>
  <c r="L13" i="6"/>
  <c r="AF48" i="6"/>
  <c r="K299" i="6"/>
  <c r="T299" i="6"/>
  <c r="AF28" i="6"/>
  <c r="D36" i="7"/>
  <c r="D14" i="7"/>
  <c r="R255" i="6"/>
  <c r="R253" i="6"/>
  <c r="R189" i="6"/>
  <c r="L195" i="6"/>
  <c r="AH195" i="6" s="1"/>
  <c r="AF85" i="6"/>
  <c r="AF192" i="6"/>
  <c r="R137" i="6"/>
  <c r="M283" i="7"/>
  <c r="C283" i="7" s="1"/>
  <c r="D306" i="7"/>
  <c r="R298" i="6"/>
  <c r="D310" i="7"/>
  <c r="R307" i="6"/>
  <c r="L334" i="6"/>
  <c r="AH334" i="6" s="1"/>
  <c r="AF279" i="6"/>
  <c r="R281" i="6"/>
  <c r="L283" i="6"/>
  <c r="AH283" i="6"/>
  <c r="D292" i="7"/>
  <c r="D300" i="7"/>
  <c r="R302" i="6"/>
  <c r="AF333" i="6"/>
  <c r="R213" i="6"/>
  <c r="L207" i="6"/>
  <c r="D220" i="7"/>
  <c r="D287" i="7"/>
  <c r="D291" i="7"/>
  <c r="R280" i="6"/>
  <c r="AF267" i="6"/>
  <c r="D98" i="7"/>
  <c r="R251" i="6"/>
  <c r="AF254" i="6"/>
  <c r="B262" i="6"/>
  <c r="L264" i="6"/>
  <c r="AH272" i="6" s="1"/>
  <c r="L265" i="6"/>
  <c r="AH265" i="6" s="1"/>
  <c r="AF265" i="6"/>
  <c r="D275" i="7"/>
  <c r="D280" i="7"/>
  <c r="R293" i="6"/>
  <c r="D319" i="7"/>
  <c r="R326" i="6"/>
  <c r="D79" i="7"/>
  <c r="D154" i="7"/>
  <c r="L192" i="6"/>
  <c r="L190" i="6"/>
  <c r="K194" i="6"/>
  <c r="T194" i="6" s="1"/>
  <c r="D12" i="7"/>
  <c r="Y183" i="6"/>
  <c r="R207" i="6"/>
  <c r="D274" i="7"/>
  <c r="D38" i="7"/>
  <c r="AF305" i="6"/>
  <c r="B100" i="6"/>
  <c r="B273" i="6"/>
  <c r="G273" i="6"/>
  <c r="B275" i="6"/>
  <c r="L193" i="6"/>
  <c r="AH193" i="6" s="1"/>
  <c r="D217" i="7"/>
  <c r="D331" i="7"/>
  <c r="D267" i="7"/>
  <c r="D120" i="7"/>
  <c r="D288" i="7"/>
  <c r="D186" i="7"/>
  <c r="D311" i="7"/>
  <c r="D134" i="7"/>
  <c r="AM40" i="6"/>
  <c r="Y284" i="6"/>
  <c r="Y271" i="6"/>
  <c r="Y299" i="6"/>
  <c r="Y35" i="6"/>
  <c r="Y212" i="6"/>
  <c r="Y12" i="6"/>
  <c r="AM308" i="6"/>
  <c r="AM128" i="6"/>
  <c r="Y291" i="6"/>
  <c r="Y117" i="6"/>
  <c r="Y308" i="6"/>
  <c r="Y336" i="6"/>
  <c r="Y264" i="6"/>
  <c r="Y311" i="6"/>
  <c r="Y144" i="6"/>
  <c r="Y82" i="6"/>
  <c r="Y199" i="6"/>
  <c r="Y231" i="6"/>
  <c r="Y265" i="6"/>
  <c r="Y230" i="6"/>
  <c r="Y10" i="6"/>
  <c r="AM203" i="6"/>
  <c r="AM82" i="6"/>
  <c r="AM252" i="6"/>
  <c r="AM320" i="6"/>
  <c r="AM281" i="6"/>
  <c r="AM249" i="6"/>
  <c r="AM307" i="6"/>
  <c r="AM33" i="6"/>
  <c r="AM274" i="6"/>
  <c r="AM12" i="6"/>
  <c r="AM120" i="6"/>
  <c r="AM126" i="6"/>
  <c r="AM282" i="6"/>
  <c r="F211" i="6"/>
  <c r="N211" i="6" s="1"/>
  <c r="G197" i="21" s="1"/>
  <c r="AM297" i="6"/>
  <c r="AM154" i="6"/>
  <c r="AM190" i="6"/>
  <c r="AM159" i="6"/>
  <c r="AM123" i="6"/>
  <c r="AM30" i="6"/>
  <c r="AM48" i="6"/>
  <c r="AM194" i="6"/>
  <c r="AM105" i="6"/>
  <c r="Y197" i="6"/>
  <c r="F284" i="6"/>
  <c r="AM275" i="6"/>
  <c r="AM138" i="6"/>
  <c r="AM266" i="6"/>
  <c r="AM256" i="6"/>
  <c r="AM184" i="6"/>
  <c r="AM199" i="6"/>
  <c r="AM270" i="6"/>
  <c r="AM264" i="6"/>
  <c r="AM220" i="6"/>
  <c r="AM13" i="6"/>
  <c r="AM85" i="6"/>
  <c r="AM131" i="6"/>
  <c r="AM21" i="6"/>
  <c r="AM225" i="6"/>
  <c r="AM267" i="6"/>
  <c r="AM284" i="6"/>
  <c r="AM335" i="6"/>
  <c r="AM293" i="6"/>
  <c r="AM87" i="6"/>
  <c r="AM83" i="6"/>
  <c r="AM327" i="6"/>
  <c r="AM288" i="6"/>
  <c r="AM337" i="6"/>
  <c r="AM64" i="6"/>
  <c r="AM279" i="6"/>
  <c r="AM207" i="6"/>
  <c r="AM29" i="6"/>
  <c r="AM141" i="6"/>
  <c r="AM119" i="6"/>
  <c r="AM100" i="6"/>
  <c r="AM251" i="6"/>
  <c r="AM262" i="6"/>
  <c r="AM189" i="6"/>
  <c r="AM212" i="6"/>
  <c r="AM137" i="6"/>
  <c r="Y193" i="6"/>
  <c r="Y228" i="6"/>
  <c r="Y273" i="6"/>
  <c r="Y274" i="6"/>
  <c r="Y219" i="6"/>
  <c r="Y121" i="6"/>
  <c r="Y15" i="6"/>
  <c r="Y279" i="6"/>
  <c r="Y316" i="6"/>
  <c r="Y180" i="6"/>
  <c r="Y185" i="6"/>
  <c r="Y335" i="6"/>
  <c r="Y216" i="6"/>
  <c r="Y105" i="6"/>
  <c r="Y211" i="6"/>
  <c r="Y275" i="6"/>
  <c r="Y247" i="6"/>
  <c r="Y85" i="6"/>
  <c r="Y300" i="6"/>
  <c r="Y9" i="6"/>
  <c r="Y136" i="6"/>
  <c r="Y198" i="6"/>
  <c r="Y179" i="6"/>
  <c r="Y353" i="6"/>
  <c r="AM28" i="6"/>
  <c r="Y267" i="6"/>
  <c r="AM254" i="6"/>
  <c r="AM47" i="6"/>
  <c r="AM215" i="6"/>
  <c r="AM323" i="6"/>
  <c r="AM272" i="6"/>
  <c r="AM269" i="6"/>
  <c r="AM255" i="6"/>
  <c r="AM230" i="6"/>
  <c r="AM185" i="6"/>
  <c r="AM127" i="6"/>
  <c r="AM118" i="6"/>
  <c r="AM86" i="6"/>
  <c r="AM51" i="6"/>
  <c r="AM23" i="6"/>
  <c r="AM81" i="6"/>
  <c r="AM99" i="6"/>
  <c r="AM49" i="6"/>
  <c r="AM27" i="6"/>
  <c r="AM166" i="6"/>
  <c r="AM121" i="6"/>
  <c r="AM104" i="6"/>
  <c r="AM285" i="6"/>
  <c r="AM202" i="6"/>
  <c r="AM228" i="6"/>
  <c r="AM229" i="6"/>
  <c r="AM303" i="6"/>
  <c r="AM102" i="6"/>
  <c r="AM310" i="6"/>
  <c r="Y225" i="6"/>
  <c r="Y249" i="6"/>
  <c r="Y208" i="6"/>
  <c r="Y261" i="6"/>
  <c r="Y104" i="6"/>
  <c r="Y103" i="6"/>
  <c r="Y99" i="6"/>
  <c r="Y101" i="6"/>
  <c r="Y202" i="6"/>
  <c r="Y207" i="6"/>
  <c r="Y253" i="6"/>
  <c r="Y255" i="6"/>
  <c r="AM265" i="6"/>
  <c r="Y266" i="6"/>
  <c r="Y269" i="6"/>
  <c r="AM271" i="6"/>
  <c r="AM280" i="6"/>
  <c r="Y281" i="6"/>
  <c r="AM283" i="6"/>
  <c r="AM300" i="6"/>
  <c r="Y315" i="6"/>
  <c r="Y323" i="6"/>
  <c r="Y343" i="6"/>
  <c r="Y120" i="6"/>
  <c r="Y130" i="6"/>
  <c r="Y29" i="6"/>
  <c r="Y181" i="6"/>
  <c r="AM200" i="6"/>
  <c r="AM193" i="6"/>
  <c r="Y194" i="6"/>
  <c r="Y213" i="6"/>
  <c r="Y215" i="6"/>
  <c r="AM216" i="6"/>
  <c r="Y236" i="6"/>
  <c r="Y263" i="6"/>
  <c r="Y270" i="6"/>
  <c r="Y282" i="6"/>
  <c r="AM290" i="6"/>
  <c r="Y292" i="6"/>
  <c r="Y298" i="6"/>
  <c r="Y309" i="6"/>
  <c r="Y357" i="6"/>
  <c r="Y256" i="6"/>
  <c r="Y190" i="6"/>
  <c r="Y195" i="6"/>
  <c r="Y221" i="6"/>
  <c r="Y251" i="6"/>
  <c r="Y252" i="6"/>
  <c r="Y280" i="6"/>
  <c r="Y283" i="6"/>
  <c r="Y289" i="6"/>
  <c r="Y319" i="6"/>
  <c r="Y345" i="6"/>
  <c r="L51" i="6"/>
  <c r="Y53" i="6"/>
  <c r="Y57" i="6"/>
  <c r="C238" i="2"/>
  <c r="C148" i="6" s="1"/>
  <c r="C215" i="2"/>
  <c r="C125" i="6" s="1"/>
  <c r="C131" i="2"/>
  <c r="C41" i="6" s="1"/>
  <c r="C377" i="2"/>
  <c r="C269" i="6" s="1"/>
  <c r="C307" i="2"/>
  <c r="C199" i="6" s="1"/>
  <c r="C113" i="2"/>
  <c r="C23" i="6" s="1"/>
  <c r="C255" i="2"/>
  <c r="C361" i="2"/>
  <c r="C253" i="6"/>
  <c r="C399" i="2"/>
  <c r="C291" i="6"/>
  <c r="C381" i="2"/>
  <c r="C273" i="6"/>
  <c r="C470" i="2"/>
  <c r="C362" i="6"/>
  <c r="C449" i="2"/>
  <c r="C341" i="6"/>
  <c r="X249" i="2"/>
  <c r="O60" i="2"/>
  <c r="W60" i="2" s="1"/>
  <c r="Z60" i="2" s="1"/>
  <c r="B18" i="6"/>
  <c r="AA491" i="2"/>
  <c r="Q537" i="2"/>
  <c r="C183" i="2"/>
  <c r="C93" i="6" s="1"/>
  <c r="C162" i="2"/>
  <c r="C72" i="6" s="1"/>
  <c r="C55" i="2"/>
  <c r="C234" i="2"/>
  <c r="C144" i="6"/>
  <c r="C326" i="2"/>
  <c r="C218" i="6"/>
  <c r="C341" i="2"/>
  <c r="C233" i="6"/>
  <c r="C310" i="2"/>
  <c r="C202" i="6"/>
  <c r="C21" i="2"/>
  <c r="C272" i="2"/>
  <c r="C164" i="6" s="1"/>
  <c r="C130" i="2"/>
  <c r="C40" i="6" s="1"/>
  <c r="C396" i="2"/>
  <c r="C288" i="6" s="1"/>
  <c r="C347" i="2"/>
  <c r="C239" i="6" s="1"/>
  <c r="C325" i="2"/>
  <c r="C217" i="6" s="1"/>
  <c r="C401" i="2"/>
  <c r="C293" i="6" s="1"/>
  <c r="C472" i="2"/>
  <c r="C364" i="6" s="1"/>
  <c r="C435" i="2"/>
  <c r="C327" i="6" s="1"/>
  <c r="C454" i="2"/>
  <c r="C346" i="6" s="1"/>
  <c r="Q550" i="2"/>
  <c r="P537" i="2"/>
  <c r="Z228" i="2"/>
  <c r="C567" i="2"/>
  <c r="Y91" i="6"/>
  <c r="K82" i="6"/>
  <c r="T90" i="6"/>
  <c r="X246" i="2"/>
  <c r="P492" i="2"/>
  <c r="X248" i="2"/>
  <c r="AF57" i="6"/>
  <c r="Q536" i="2"/>
  <c r="Q551" i="2"/>
  <c r="Y155" i="6"/>
  <c r="AM139" i="6"/>
  <c r="K99" i="6"/>
  <c r="T107" i="6"/>
  <c r="L86" i="6"/>
  <c r="C203" i="2"/>
  <c r="C113" i="6" s="1"/>
  <c r="C306" i="2"/>
  <c r="C198" i="6" s="1"/>
  <c r="C17" i="2"/>
  <c r="C127" i="2"/>
  <c r="C37" i="6"/>
  <c r="C126" i="2"/>
  <c r="C36" i="6"/>
  <c r="C324" i="2"/>
  <c r="C216" i="6"/>
  <c r="C378" i="2"/>
  <c r="C270" i="6"/>
  <c r="C343" i="2"/>
  <c r="C235" i="6"/>
  <c r="C125" i="2"/>
  <c r="C35" i="6"/>
  <c r="C112" i="2"/>
  <c r="C22" i="6"/>
  <c r="C50" i="2"/>
  <c r="C182" i="2"/>
  <c r="C92" i="6" s="1"/>
  <c r="C323" i="2"/>
  <c r="C215" i="6" s="1"/>
  <c r="C362" i="2"/>
  <c r="C254" i="6" s="1"/>
  <c r="C345" i="2"/>
  <c r="C237" i="6" s="1"/>
  <c r="C415" i="2"/>
  <c r="C307" i="6" s="1"/>
  <c r="C364" i="2"/>
  <c r="C256" i="6" s="1"/>
  <c r="C400" i="2"/>
  <c r="C292" i="6" s="1"/>
  <c r="C469" i="2"/>
  <c r="C361" i="6" s="1"/>
  <c r="C431" i="2"/>
  <c r="C323" i="6" s="1"/>
  <c r="C437" i="2"/>
  <c r="C329" i="6" s="1"/>
  <c r="C453" i="2"/>
  <c r="C345" i="6" s="1"/>
  <c r="C566" i="2"/>
  <c r="E567" i="2" s="1"/>
  <c r="L563" i="2" s="1"/>
  <c r="P551" i="2"/>
  <c r="N60" i="2"/>
  <c r="M60" i="2"/>
  <c r="Z227" i="2"/>
  <c r="Y108" i="6"/>
  <c r="Y75" i="6"/>
  <c r="Q508" i="2"/>
  <c r="P501" i="2"/>
  <c r="C560" i="2"/>
  <c r="AM59" i="6"/>
  <c r="AF59" i="6"/>
  <c r="R108" i="6"/>
  <c r="Y252" i="2"/>
  <c r="P487" i="2"/>
  <c r="AM74" i="6"/>
  <c r="L83" i="6"/>
  <c r="AH83" i="6" s="1"/>
  <c r="P516" i="2"/>
  <c r="D567" i="2"/>
  <c r="X252" i="2"/>
  <c r="S62" i="2"/>
  <c r="Q516" i="2"/>
  <c r="P482" i="2"/>
  <c r="N58" i="2"/>
  <c r="W58" i="2" s="1"/>
  <c r="Z225" i="2"/>
  <c r="M58" i="2"/>
  <c r="P497" i="2"/>
  <c r="O58" i="2"/>
  <c r="M61" i="2"/>
  <c r="Y107" i="6"/>
  <c r="AF91" i="6"/>
  <c r="B20" i="6"/>
  <c r="C571" i="2"/>
  <c r="C37" i="2"/>
  <c r="C109" i="2"/>
  <c r="C19" i="6" s="1"/>
  <c r="C309" i="2"/>
  <c r="C201" i="6" s="1"/>
  <c r="C185" i="2"/>
  <c r="C95" i="6" s="1"/>
  <c r="C20" i="2"/>
  <c r="C217" i="2"/>
  <c r="C127" i="6"/>
  <c r="C35" i="2"/>
  <c r="C19" i="2"/>
  <c r="C328" i="2"/>
  <c r="C220" i="6"/>
  <c r="C395" i="2"/>
  <c r="C287" i="6"/>
  <c r="C288" i="2"/>
  <c r="C180" i="6"/>
  <c r="C236" i="2"/>
  <c r="C146" i="6"/>
  <c r="C163" i="2"/>
  <c r="C73" i="6"/>
  <c r="C144" i="2"/>
  <c r="C54" i="6"/>
  <c r="C147" i="2"/>
  <c r="C57" i="6"/>
  <c r="C167" i="2"/>
  <c r="C77" i="6"/>
  <c r="C179" i="2"/>
  <c r="C89" i="6"/>
  <c r="C344" i="2"/>
  <c r="C236" i="6"/>
  <c r="C380" i="2"/>
  <c r="C272" i="6"/>
  <c r="C414" i="2"/>
  <c r="C306" i="6"/>
  <c r="C363" i="2"/>
  <c r="C255" i="6"/>
  <c r="C417" i="2"/>
  <c r="C309" i="6"/>
  <c r="C365" i="2"/>
  <c r="C257" i="6"/>
  <c r="C383" i="2"/>
  <c r="C275" i="6"/>
  <c r="C467" i="2"/>
  <c r="C359" i="6"/>
  <c r="C471" i="2"/>
  <c r="C363" i="6"/>
  <c r="C432" i="2"/>
  <c r="C324" i="6"/>
  <c r="C436" i="2"/>
  <c r="C328" i="6"/>
  <c r="C451" i="2"/>
  <c r="C343" i="6"/>
  <c r="C562" i="2"/>
  <c r="M63" i="2"/>
  <c r="AM165" i="6"/>
  <c r="B19" i="6"/>
  <c r="T62" i="2"/>
  <c r="P481" i="2"/>
  <c r="AA229" i="2"/>
  <c r="U62" i="2"/>
  <c r="Y243" i="2"/>
  <c r="Y254" i="2"/>
  <c r="AM92" i="6"/>
  <c r="K87" i="6"/>
  <c r="T95" i="6" s="1"/>
  <c r="B15" i="6"/>
  <c r="G15" i="6" s="1"/>
  <c r="AA490" i="2"/>
  <c r="AM72" i="6"/>
  <c r="AF15" i="6"/>
  <c r="K85" i="6"/>
  <c r="T93" i="6" s="1"/>
  <c r="Z230" i="2"/>
  <c r="P491" i="2"/>
  <c r="P63" i="2"/>
  <c r="Q486" i="2"/>
  <c r="P59" i="2"/>
  <c r="X257" i="2"/>
  <c r="Q491" i="2"/>
  <c r="N63" i="2"/>
  <c r="O59" i="2"/>
  <c r="Y248" i="2"/>
  <c r="L141" i="6"/>
  <c r="AH149" i="6"/>
  <c r="L138" i="6"/>
  <c r="R109" i="6"/>
  <c r="Q523" i="2"/>
  <c r="D575" i="2"/>
  <c r="U61" i="2"/>
  <c r="Q497" i="2"/>
  <c r="Q482" i="2"/>
  <c r="D573" i="2"/>
  <c r="N62" i="2"/>
  <c r="W62" i="2" s="1"/>
  <c r="AM111" i="6"/>
  <c r="P522" i="2"/>
  <c r="S64" i="2"/>
  <c r="P536" i="2"/>
  <c r="M24" i="2"/>
  <c r="X256" i="2"/>
  <c r="AA489" i="2"/>
  <c r="X251" i="2"/>
  <c r="AA230" i="2"/>
  <c r="O62" i="2"/>
  <c r="N59" i="2"/>
  <c r="M59" i="2"/>
  <c r="M62" i="2"/>
  <c r="D563" i="2"/>
  <c r="AM76" i="6"/>
  <c r="R155" i="6"/>
  <c r="R64" i="2"/>
  <c r="U64" i="2"/>
  <c r="T64" i="2"/>
  <c r="AM149" i="6"/>
  <c r="R112" i="6"/>
  <c r="L99" i="6"/>
  <c r="Y55" i="6"/>
  <c r="K157" i="6"/>
  <c r="M25" i="2"/>
  <c r="C561" i="2"/>
  <c r="R59" i="2"/>
  <c r="R89" i="6"/>
  <c r="P508" i="2"/>
  <c r="C413" i="2"/>
  <c r="C305" i="6" s="1"/>
  <c r="C53" i="2"/>
  <c r="C111" i="2"/>
  <c r="C21" i="6"/>
  <c r="C269" i="2"/>
  <c r="C161" i="6"/>
  <c r="C237" i="2"/>
  <c r="C147" i="6"/>
  <c r="C166" i="2"/>
  <c r="C76" i="6"/>
  <c r="C18" i="2"/>
  <c r="C49" i="2"/>
  <c r="C32" i="2"/>
  <c r="C198" i="2"/>
  <c r="C108" i="6"/>
  <c r="C128" i="2"/>
  <c r="C38" i="6" s="1"/>
  <c r="C181" i="2"/>
  <c r="C91" i="6"/>
  <c r="C180" i="2"/>
  <c r="C90" i="6" s="1"/>
  <c r="C293" i="2"/>
  <c r="C185" i="6"/>
  <c r="C287" i="2"/>
  <c r="C179" i="6" s="1"/>
  <c r="C253" i="2"/>
  <c r="C165" i="2"/>
  <c r="C75" i="6" s="1"/>
  <c r="C271" i="2"/>
  <c r="C163" i="6"/>
  <c r="C164" i="2"/>
  <c r="C74" i="6" s="1"/>
  <c r="C38" i="2"/>
  <c r="C129" i="2"/>
  <c r="C39" i="6"/>
  <c r="C184" i="2"/>
  <c r="C94" i="6" s="1"/>
  <c r="C110" i="2"/>
  <c r="C20" i="6"/>
  <c r="C51" i="2"/>
  <c r="C251" i="2"/>
  <c r="C308" i="2"/>
  <c r="C200" i="6"/>
  <c r="C290" i="2"/>
  <c r="C182" i="6" s="1"/>
  <c r="C36" i="2"/>
  <c r="C199" i="2"/>
  <c r="C109" i="6" s="1"/>
  <c r="C52" i="2"/>
  <c r="C233" i="2"/>
  <c r="C143" i="6"/>
  <c r="C275" i="2"/>
  <c r="C167" i="6" s="1"/>
  <c r="C145" i="2"/>
  <c r="C55" i="6"/>
  <c r="C218" i="2"/>
  <c r="C128" i="6" s="1"/>
  <c r="C273" i="2"/>
  <c r="C165" i="6"/>
  <c r="C270" i="2"/>
  <c r="C162" i="6" s="1"/>
  <c r="C108" i="2"/>
  <c r="C18" i="6"/>
  <c r="C216" i="2"/>
  <c r="C126" i="6" s="1"/>
  <c r="C54" i="2"/>
  <c r="C305" i="2"/>
  <c r="C197" i="6" s="1"/>
  <c r="C289" i="2"/>
  <c r="C181" i="6"/>
  <c r="C197" i="2"/>
  <c r="C107" i="6" s="1"/>
  <c r="C107" i="2"/>
  <c r="C17" i="6"/>
  <c r="C256" i="2"/>
  <c r="C201" i="2"/>
  <c r="C111" i="6" s="1"/>
  <c r="C33" i="2"/>
  <c r="C22" i="2"/>
  <c r="C148" i="2"/>
  <c r="C58" i="6" s="1"/>
  <c r="C311" i="2"/>
  <c r="C203" i="6"/>
  <c r="C292" i="2"/>
  <c r="C184" i="6" s="1"/>
  <c r="Q481" i="2"/>
  <c r="D565" i="2"/>
  <c r="M562" i="2" s="1"/>
  <c r="T61" i="2"/>
  <c r="T63" i="2"/>
  <c r="R60" i="2"/>
  <c r="X60" i="2" s="1"/>
  <c r="U60" i="2"/>
  <c r="AA227" i="2"/>
  <c r="S60" i="2"/>
  <c r="R63" i="2"/>
  <c r="X63" i="2" s="1"/>
  <c r="Q487" i="2"/>
  <c r="S63" i="2"/>
  <c r="Y113" i="6"/>
  <c r="Y30" i="6"/>
  <c r="L137" i="6"/>
  <c r="P543" i="2"/>
  <c r="Q543" i="2"/>
  <c r="AA228" i="2"/>
  <c r="R61" i="2"/>
  <c r="X61" i="2" s="1"/>
  <c r="D38" i="8" s="1"/>
  <c r="Y141" i="6"/>
  <c r="R141" i="6"/>
  <c r="Q492" i="2"/>
  <c r="P486" i="2"/>
  <c r="D562" i="2"/>
  <c r="P523" i="2"/>
  <c r="Q529" i="2"/>
  <c r="Y40" i="6"/>
  <c r="R40" i="6"/>
  <c r="R58" i="2"/>
  <c r="X58" i="2" s="1"/>
  <c r="D35" i="8" s="1"/>
  <c r="U58" i="2"/>
  <c r="S58" i="2"/>
  <c r="AA225" i="2"/>
  <c r="C447" i="2"/>
  <c r="C339" i="6" s="1"/>
  <c r="C446" i="2"/>
  <c r="C338" i="6"/>
  <c r="C445" i="2"/>
  <c r="C337" i="6" s="1"/>
  <c r="C444" i="2"/>
  <c r="C336" i="6"/>
  <c r="C443" i="2"/>
  <c r="C335" i="6" s="1"/>
  <c r="C442" i="2"/>
  <c r="C334" i="6"/>
  <c r="C441" i="2"/>
  <c r="C333" i="6" s="1"/>
  <c r="C429" i="2"/>
  <c r="C321" i="6"/>
  <c r="C428" i="2"/>
  <c r="C320" i="6" s="1"/>
  <c r="C427" i="2"/>
  <c r="C319" i="6"/>
  <c r="C426" i="2"/>
  <c r="C318" i="6" s="1"/>
  <c r="C425" i="2"/>
  <c r="C317" i="6"/>
  <c r="C424" i="2"/>
  <c r="C316" i="6" s="1"/>
  <c r="C423" i="2"/>
  <c r="C315" i="6"/>
  <c r="C465" i="2"/>
  <c r="C357" i="6" s="1"/>
  <c r="C464" i="2"/>
  <c r="C356" i="6"/>
  <c r="C463" i="2"/>
  <c r="C355" i="6" s="1"/>
  <c r="C462" i="2"/>
  <c r="C354" i="6"/>
  <c r="C461" i="2"/>
  <c r="C353" i="6" s="1"/>
  <c r="C460" i="2"/>
  <c r="C352" i="6"/>
  <c r="C459" i="2"/>
  <c r="C351" i="6" s="1"/>
  <c r="C409" i="2"/>
  <c r="C301" i="6"/>
  <c r="C393" i="2"/>
  <c r="C285" i="6" s="1"/>
  <c r="C392" i="2"/>
  <c r="C284" i="6"/>
  <c r="E291" i="7" s="1"/>
  <c r="E21" i="19" s="1"/>
  <c r="C391" i="2"/>
  <c r="C283" i="6" s="1"/>
  <c r="C374" i="2"/>
  <c r="C266" i="6"/>
  <c r="C373" i="2"/>
  <c r="C265" i="6" s="1"/>
  <c r="C372" i="2"/>
  <c r="C264" i="6"/>
  <c r="C339" i="2"/>
  <c r="C231" i="6" s="1"/>
  <c r="C405" i="2"/>
  <c r="C297" i="6"/>
  <c r="C375" i="2"/>
  <c r="C267" i="6" s="1"/>
  <c r="C353" i="2"/>
  <c r="C245" i="6"/>
  <c r="C352" i="2"/>
  <c r="C244" i="6" s="1"/>
  <c r="C351" i="2"/>
  <c r="C243" i="6"/>
  <c r="C335" i="2"/>
  <c r="C227" i="6" s="1"/>
  <c r="C390" i="2"/>
  <c r="C282" i="6"/>
  <c r="C334" i="2"/>
  <c r="C226" i="6" s="1"/>
  <c r="C333" i="2"/>
  <c r="C225" i="6"/>
  <c r="C389" i="2"/>
  <c r="C281" i="6" s="1"/>
  <c r="C388" i="2"/>
  <c r="C280" i="6"/>
  <c r="C387" i="2"/>
  <c r="C279" i="6" s="1"/>
  <c r="C371" i="2"/>
  <c r="C263" i="6"/>
  <c r="C357" i="2"/>
  <c r="C249" i="6" s="1"/>
  <c r="C356" i="2"/>
  <c r="C248" i="6"/>
  <c r="C355" i="2"/>
  <c r="C247" i="6" s="1"/>
  <c r="C338" i="2"/>
  <c r="C230" i="6"/>
  <c r="C337" i="2"/>
  <c r="C229" i="6" s="1"/>
  <c r="C336" i="2"/>
  <c r="C228" i="6"/>
  <c r="C370" i="2"/>
  <c r="C262" i="6" s="1"/>
  <c r="C369" i="2"/>
  <c r="C261" i="6"/>
  <c r="C354" i="2"/>
  <c r="C246" i="6" s="1"/>
  <c r="C8" i="2"/>
  <c r="C208" i="2"/>
  <c r="C118" i="6"/>
  <c r="C122" i="2"/>
  <c r="C32" i="6" s="1"/>
  <c r="C84" i="2"/>
  <c r="C245" i="2"/>
  <c r="C74" i="2"/>
  <c r="C228" i="2"/>
  <c r="C138" i="6"/>
  <c r="C303" i="2"/>
  <c r="C195" i="6" s="1"/>
  <c r="C299" i="2"/>
  <c r="C191" i="6"/>
  <c r="C285" i="2"/>
  <c r="C177" i="6" s="1"/>
  <c r="C283" i="2"/>
  <c r="C175" i="6"/>
  <c r="C281" i="2"/>
  <c r="C173" i="6" s="1"/>
  <c r="C279" i="2"/>
  <c r="C171" i="6"/>
  <c r="C29" i="2"/>
  <c r="C123" i="2"/>
  <c r="C33" i="6" s="1"/>
  <c r="C231" i="2"/>
  <c r="C141" i="6" s="1"/>
  <c r="C177" i="2"/>
  <c r="C87" i="6" s="1"/>
  <c r="C175" i="2"/>
  <c r="C85" i="6"/>
  <c r="C26" i="2"/>
  <c r="C138" i="2"/>
  <c r="C48" i="6"/>
  <c r="C60" i="2"/>
  <c r="C44" i="2"/>
  <c r="C211" i="2"/>
  <c r="C121" i="6"/>
  <c r="C42" i="2"/>
  <c r="C105" i="2"/>
  <c r="C15" i="6" s="1"/>
  <c r="C316" i="2"/>
  <c r="C208" i="6" s="1"/>
  <c r="C43" i="2"/>
  <c r="C101" i="2"/>
  <c r="C11" i="6"/>
  <c r="C88" i="2"/>
  <c r="C157" i="2"/>
  <c r="C67" i="6" s="1"/>
  <c r="C25" i="2"/>
  <c r="C176" i="2"/>
  <c r="C86" i="6" s="1"/>
  <c r="C77" i="2"/>
  <c r="C155" i="2"/>
  <c r="C65" i="6" s="1"/>
  <c r="C71" i="2"/>
  <c r="C190" i="2"/>
  <c r="C100" i="6"/>
  <c r="C225" i="2"/>
  <c r="C135" i="6" s="1"/>
  <c r="C83" i="2"/>
  <c r="C301" i="2"/>
  <c r="C193" i="6"/>
  <c r="C297" i="2"/>
  <c r="C189" i="6" s="1"/>
  <c r="C280" i="2"/>
  <c r="C172" i="6" s="1"/>
  <c r="C267" i="2"/>
  <c r="C159" i="6" s="1"/>
  <c r="C14" i="2"/>
  <c r="C85" i="2"/>
  <c r="C265" i="2"/>
  <c r="C157" i="6" s="1"/>
  <c r="C45" i="2"/>
  <c r="C156" i="2"/>
  <c r="C66" i="6" s="1"/>
  <c r="C117" i="2"/>
  <c r="C27" i="6"/>
  <c r="C226" i="2"/>
  <c r="C136" i="6" s="1"/>
  <c r="C28" i="2"/>
  <c r="C47" i="2"/>
  <c r="C61" i="2"/>
  <c r="C103" i="2"/>
  <c r="C13" i="6" s="1"/>
  <c r="C118" i="2"/>
  <c r="C28" i="6" s="1"/>
  <c r="C59" i="2"/>
  <c r="C172" i="2"/>
  <c r="C82" i="6"/>
  <c r="C41" i="2"/>
  <c r="C317" i="2"/>
  <c r="C209" i="6" s="1"/>
  <c r="C100" i="2"/>
  <c r="C10" i="6" s="1"/>
  <c r="C192" i="2"/>
  <c r="C102" i="6" s="1"/>
  <c r="C158" i="2"/>
  <c r="C68" i="6"/>
  <c r="C191" i="2"/>
  <c r="C101" i="6" s="1"/>
  <c r="C411" i="2"/>
  <c r="C303" i="6"/>
  <c r="C410" i="2"/>
  <c r="C302" i="6"/>
  <c r="C194" i="2"/>
  <c r="C104" i="6"/>
  <c r="C64" i="2"/>
  <c r="C209" i="2"/>
  <c r="C119" i="6"/>
  <c r="C86" i="2"/>
  <c r="C300" i="2"/>
  <c r="C192" i="6"/>
  <c r="C282" i="2"/>
  <c r="C174" i="6"/>
  <c r="C249" i="2"/>
  <c r="C210" i="2"/>
  <c r="C120" i="6"/>
  <c r="C24" i="2"/>
  <c r="C99" i="2"/>
  <c r="C9" i="6"/>
  <c r="C213" i="2"/>
  <c r="C123" i="6"/>
  <c r="C72" i="2"/>
  <c r="C193" i="2"/>
  <c r="C103" i="6"/>
  <c r="C136" i="2"/>
  <c r="C46" i="6" s="1"/>
  <c r="C141" i="2"/>
  <c r="C51" i="6"/>
  <c r="C319" i="2"/>
  <c r="C211" i="6" s="1"/>
  <c r="C315" i="2"/>
  <c r="C207" i="6"/>
  <c r="C119" i="2"/>
  <c r="C29" i="6" s="1"/>
  <c r="C70" i="2"/>
  <c r="C102" i="2"/>
  <c r="C12" i="6"/>
  <c r="C135" i="2"/>
  <c r="C45" i="6"/>
  <c r="C230" i="2"/>
  <c r="C140" i="6"/>
  <c r="C246" i="2"/>
  <c r="C58" i="2"/>
  <c r="C227" i="2"/>
  <c r="C137" i="6"/>
  <c r="C284" i="2"/>
  <c r="C176" i="6"/>
  <c r="C207" i="2"/>
  <c r="C117" i="6"/>
  <c r="C120" i="2"/>
  <c r="C30" i="6"/>
  <c r="C68" i="2"/>
  <c r="C195" i="2"/>
  <c r="C105" i="6" s="1"/>
  <c r="C87" i="2"/>
  <c r="C171" i="2"/>
  <c r="C81" i="6"/>
  <c r="C27" i="2"/>
  <c r="C302" i="2"/>
  <c r="C194" i="6"/>
  <c r="C298" i="2"/>
  <c r="C190" i="6" s="1"/>
  <c r="C244" i="2"/>
  <c r="C153" i="2"/>
  <c r="C63" i="6"/>
  <c r="C266" i="2"/>
  <c r="C158" i="6"/>
  <c r="C63" i="2"/>
  <c r="C104" i="2"/>
  <c r="C14" i="6" s="1"/>
  <c r="C78" i="2"/>
  <c r="C229" i="2"/>
  <c r="C139" i="6" s="1"/>
  <c r="C46" i="2"/>
  <c r="C76" i="2"/>
  <c r="C154" i="2"/>
  <c r="C64" i="6" s="1"/>
  <c r="C67" i="2"/>
  <c r="C12" i="2"/>
  <c r="C212" i="2"/>
  <c r="C122" i="6" s="1"/>
  <c r="C247" i="2"/>
  <c r="C261" i="2"/>
  <c r="C153" i="6"/>
  <c r="C318" i="2"/>
  <c r="C210" i="6" s="1"/>
  <c r="C137" i="2"/>
  <c r="C47" i="6"/>
  <c r="C82" i="2"/>
  <c r="C159" i="2"/>
  <c r="C69" i="6"/>
  <c r="C9" i="2"/>
  <c r="C320" i="2"/>
  <c r="C212" i="6" s="1"/>
  <c r="C408" i="2"/>
  <c r="C300" i="6"/>
  <c r="C407" i="2"/>
  <c r="C299" i="6" s="1"/>
  <c r="C406" i="2"/>
  <c r="C298" i="6"/>
  <c r="C140" i="2"/>
  <c r="C50" i="6" s="1"/>
  <c r="C75" i="2"/>
  <c r="N96" i="2"/>
  <c r="C243" i="2"/>
  <c r="C62" i="2"/>
  <c r="C264" i="2"/>
  <c r="C156" i="6"/>
  <c r="C66" i="2"/>
  <c r="C262" i="2"/>
  <c r="C154" i="6" s="1"/>
  <c r="C69" i="2"/>
  <c r="C30" i="2"/>
  <c r="C11" i="2"/>
  <c r="C139" i="2"/>
  <c r="C49" i="6"/>
  <c r="C321" i="2"/>
  <c r="C213" i="6" s="1"/>
  <c r="C10" i="2"/>
  <c r="C189" i="2"/>
  <c r="C99" i="6"/>
  <c r="C80" i="2"/>
  <c r="C173" i="2"/>
  <c r="C83" i="6"/>
  <c r="C248" i="2"/>
  <c r="C13" i="2"/>
  <c r="C174" i="2"/>
  <c r="C84" i="6"/>
  <c r="C263" i="2"/>
  <c r="C155" i="6" s="1"/>
  <c r="C121" i="2"/>
  <c r="C31" i="6"/>
  <c r="C79" i="2"/>
  <c r="R39" i="6"/>
  <c r="Q530" i="2"/>
  <c r="P530" i="2"/>
  <c r="M27" i="2"/>
  <c r="M15" i="2"/>
  <c r="Q15" i="2"/>
  <c r="K153" i="6"/>
  <c r="R147" i="6"/>
  <c r="N64" i="2"/>
  <c r="M64" i="2"/>
  <c r="W64" i="2" s="1"/>
  <c r="P64" i="2"/>
  <c r="O64" i="2"/>
  <c r="N25" i="2"/>
  <c r="R16" i="2"/>
  <c r="Y251" i="2" s="1"/>
  <c r="Z231" i="2"/>
  <c r="B301" i="6"/>
  <c r="G301" i="6"/>
  <c r="B300" i="6"/>
  <c r="B302" i="6"/>
  <c r="B303" i="6"/>
  <c r="B298" i="6"/>
  <c r="B305" i="6"/>
  <c r="B310" i="6"/>
  <c r="B306" i="6"/>
  <c r="G306" i="6"/>
  <c r="B86" i="6"/>
  <c r="B308" i="6"/>
  <c r="G308" i="6"/>
  <c r="B299" i="6"/>
  <c r="H103" i="6"/>
  <c r="AH125" i="6"/>
  <c r="B120" i="6"/>
  <c r="G120" i="6" s="1"/>
  <c r="B118" i="6"/>
  <c r="G118" i="6"/>
  <c r="AH270" i="6"/>
  <c r="T144" i="6"/>
  <c r="B128" i="6"/>
  <c r="H128" i="6"/>
  <c r="B126" i="6"/>
  <c r="G126" i="6" s="1"/>
  <c r="B127" i="6"/>
  <c r="G127" i="6"/>
  <c r="AH155" i="6"/>
  <c r="B85" i="6"/>
  <c r="B87" i="6"/>
  <c r="H87" i="6" s="1"/>
  <c r="G87" i="6"/>
  <c r="B95" i="6"/>
  <c r="H95" i="6" s="1"/>
  <c r="B82" i="6"/>
  <c r="B219" i="6"/>
  <c r="G219" i="6" s="1"/>
  <c r="G274" i="6"/>
  <c r="H274" i="6"/>
  <c r="AH203" i="6"/>
  <c r="H269" i="6"/>
  <c r="G269" i="6"/>
  <c r="G267" i="6"/>
  <c r="AH291" i="6"/>
  <c r="T365" i="6"/>
  <c r="AH207" i="6"/>
  <c r="AH215" i="6"/>
  <c r="B342" i="6"/>
  <c r="H342" i="6"/>
  <c r="B336" i="6"/>
  <c r="B291" i="6"/>
  <c r="H291" i="6" s="1"/>
  <c r="B290" i="6"/>
  <c r="H290" i="6"/>
  <c r="B281" i="6"/>
  <c r="H281" i="6" s="1"/>
  <c r="B282" i="6"/>
  <c r="H282" i="6" s="1"/>
  <c r="B285" i="6"/>
  <c r="B279" i="6"/>
  <c r="B283" i="6"/>
  <c r="G283" i="6"/>
  <c r="B284" i="6"/>
  <c r="H284" i="6" s="1"/>
  <c r="B288" i="6"/>
  <c r="G288" i="6"/>
  <c r="B280" i="6"/>
  <c r="B289" i="6"/>
  <c r="B287" i="6"/>
  <c r="H287" i="6" s="1"/>
  <c r="B292" i="6"/>
  <c r="G292" i="6" s="1"/>
  <c r="B293" i="6"/>
  <c r="H293" i="6" s="1"/>
  <c r="G293" i="6"/>
  <c r="H273" i="6"/>
  <c r="H15" i="6"/>
  <c r="AH91" i="6"/>
  <c r="X64" i="2"/>
  <c r="AA64" i="2" s="1"/>
  <c r="X62" i="2"/>
  <c r="AA62" i="2" s="1"/>
  <c r="C37" i="8"/>
  <c r="E563" i="2"/>
  <c r="L560" i="2" s="1"/>
  <c r="W59" i="2"/>
  <c r="W307" i="6"/>
  <c r="W209" i="6"/>
  <c r="G563" i="2"/>
  <c r="AA61" i="2"/>
  <c r="H563" i="2"/>
  <c r="AA58" i="2"/>
  <c r="D39" i="8"/>
  <c r="AK345" i="6" s="1"/>
  <c r="AK103" i="6"/>
  <c r="G342" i="6"/>
  <c r="G290" i="6"/>
  <c r="H292" i="6"/>
  <c r="G291" i="6"/>
  <c r="W37" i="6"/>
  <c r="W317" i="6"/>
  <c r="W173" i="6"/>
  <c r="W271" i="6"/>
  <c r="W127" i="6"/>
  <c r="W65" i="6"/>
  <c r="W227" i="6"/>
  <c r="W91" i="6"/>
  <c r="W19" i="6"/>
  <c r="D41" i="8"/>
  <c r="AK210" i="6"/>
  <c r="AK56" i="6"/>
  <c r="AK269" i="6"/>
  <c r="AK17" i="6"/>
  <c r="AK321" i="6"/>
  <c r="AK33" i="6"/>
  <c r="AK311" i="6"/>
  <c r="F356" i="6"/>
  <c r="N356" i="6" s="1"/>
  <c r="G334" i="21" s="1"/>
  <c r="F9" i="6"/>
  <c r="N9" i="6" s="1"/>
  <c r="G6" i="21" s="1"/>
  <c r="F183" i="6"/>
  <c r="N183" i="6" s="1"/>
  <c r="G171" i="21" s="1"/>
  <c r="F174" i="6"/>
  <c r="N174" i="6" s="1"/>
  <c r="G162" i="21" s="1"/>
  <c r="F163" i="6"/>
  <c r="N163" i="6" s="1"/>
  <c r="G152" i="21" s="1"/>
  <c r="F154" i="6"/>
  <c r="N154" i="6" s="1"/>
  <c r="G143" i="21" s="1"/>
  <c r="F143" i="6"/>
  <c r="N143" i="6" s="1"/>
  <c r="G133" i="21" s="1"/>
  <c r="F131" i="6"/>
  <c r="N131" i="6" s="1"/>
  <c r="G122" i="21" s="1"/>
  <c r="F122" i="6"/>
  <c r="N122" i="6" s="1"/>
  <c r="G113" i="21" s="1"/>
  <c r="F112" i="6"/>
  <c r="N112" i="6" s="1"/>
  <c r="G104" i="21" s="1"/>
  <c r="F108" i="6"/>
  <c r="N108" i="6" s="1"/>
  <c r="G100" i="21" s="1"/>
  <c r="F101" i="6"/>
  <c r="N101" i="6" s="1"/>
  <c r="G93" i="21" s="1"/>
  <c r="F58" i="6"/>
  <c r="N58" i="6" s="1"/>
  <c r="G53" i="21" s="1"/>
  <c r="F54" i="6"/>
  <c r="N54" i="6" s="1"/>
  <c r="G49" i="21" s="1"/>
  <c r="F49" i="6"/>
  <c r="N49" i="6" s="1"/>
  <c r="G44" i="21" s="1"/>
  <c r="F45" i="6"/>
  <c r="N45" i="6" s="1"/>
  <c r="G40" i="21" s="1"/>
  <c r="F31" i="6"/>
  <c r="N31" i="6" s="1"/>
  <c r="G27" i="21" s="1"/>
  <c r="F21" i="6"/>
  <c r="N21" i="6" s="1"/>
  <c r="G18" i="21" s="1"/>
  <c r="F13" i="6"/>
  <c r="N13" i="6" s="1"/>
  <c r="G10" i="21" s="1"/>
  <c r="F66" i="6"/>
  <c r="N66" i="6" s="1"/>
  <c r="G60" i="21" s="1"/>
  <c r="F251" i="6"/>
  <c r="N251" i="6" s="1"/>
  <c r="G235" i="21" s="1"/>
  <c r="F328" i="6"/>
  <c r="N328" i="6" s="1"/>
  <c r="G308" i="21" s="1"/>
  <c r="F234" i="6"/>
  <c r="N234" i="6" s="1"/>
  <c r="G219" i="21" s="1"/>
  <c r="F316" i="6"/>
  <c r="N316" i="6" s="1"/>
  <c r="G296" i="21" s="1"/>
  <c r="F217" i="6"/>
  <c r="N217" i="6" s="1"/>
  <c r="G203" i="21" s="1"/>
  <c r="F254" i="6"/>
  <c r="N254" i="6" s="1"/>
  <c r="G238" i="21" s="1"/>
  <c r="F300" i="6"/>
  <c r="N300" i="6" s="1"/>
  <c r="G281" i="21" s="1"/>
  <c r="F352" i="6"/>
  <c r="N352" i="6" s="1"/>
  <c r="G330" i="21" s="1"/>
  <c r="F333" i="6"/>
  <c r="N333" i="6" s="1"/>
  <c r="G312" i="21" s="1"/>
  <c r="F364" i="6"/>
  <c r="N364" i="6" s="1"/>
  <c r="G342" i="21" s="1"/>
  <c r="F219" i="6"/>
  <c r="F264" i="6"/>
  <c r="F302" i="6"/>
  <c r="N302" i="6" s="1"/>
  <c r="G283" i="21" s="1"/>
  <c r="F257" i="6"/>
  <c r="N257" i="6" s="1"/>
  <c r="G241" i="21" s="1"/>
  <c r="F227" i="6"/>
  <c r="N227" i="6" s="1"/>
  <c r="G212" i="21" s="1"/>
  <c r="F195" i="6"/>
  <c r="N195" i="6" s="1"/>
  <c r="G182" i="21" s="1"/>
  <c r="F71" i="6"/>
  <c r="F182" i="6"/>
  <c r="N182" i="6" s="1"/>
  <c r="G170" i="21" s="1"/>
  <c r="F173" i="6"/>
  <c r="N173" i="6" s="1"/>
  <c r="G161" i="21" s="1"/>
  <c r="F162" i="6"/>
  <c r="N162" i="6" s="1"/>
  <c r="G151" i="21" s="1"/>
  <c r="F153" i="6"/>
  <c r="N153" i="6" s="1"/>
  <c r="G142" i="21" s="1"/>
  <c r="F141" i="6"/>
  <c r="N141" i="6" s="1"/>
  <c r="G131" i="21" s="1"/>
  <c r="F130" i="6"/>
  <c r="N130" i="6" s="1"/>
  <c r="G121" i="21" s="1"/>
  <c r="F121" i="6"/>
  <c r="N121" i="6" s="1"/>
  <c r="G112" i="21" s="1"/>
  <c r="F104" i="6"/>
  <c r="N104" i="6" s="1"/>
  <c r="G96" i="21" s="1"/>
  <c r="F94" i="6"/>
  <c r="N94" i="6" s="1"/>
  <c r="G87" i="21" s="1"/>
  <c r="F90" i="6"/>
  <c r="N90" i="6" s="1"/>
  <c r="G83" i="21" s="1"/>
  <c r="F83" i="6"/>
  <c r="N83" i="6" s="1"/>
  <c r="G76" i="21" s="1"/>
  <c r="F12" i="6"/>
  <c r="N12" i="6" s="1"/>
  <c r="G9" i="21" s="1"/>
  <c r="F67" i="6"/>
  <c r="N67" i="6" s="1"/>
  <c r="G61" i="21" s="1"/>
  <c r="F282" i="6"/>
  <c r="F189" i="6"/>
  <c r="N189" i="6" s="1"/>
  <c r="G176" i="21" s="1"/>
  <c r="F265" i="6"/>
  <c r="N265" i="6" s="1"/>
  <c r="G248" i="21" s="1"/>
  <c r="F363" i="6"/>
  <c r="N363" i="6" s="1"/>
  <c r="G341" i="21" s="1"/>
  <c r="F212" i="6"/>
  <c r="N212" i="6" s="1"/>
  <c r="G198" i="21" s="1"/>
  <c r="F249" i="6"/>
  <c r="N249" i="6" s="1"/>
  <c r="G233" i="21" s="1"/>
  <c r="F290" i="6"/>
  <c r="N290" i="6" s="1"/>
  <c r="G272" i="21" s="1"/>
  <c r="F345" i="6"/>
  <c r="N345" i="6" s="1"/>
  <c r="G324" i="21" s="1"/>
  <c r="F329" i="6"/>
  <c r="N329" i="6" s="1"/>
  <c r="G309" i="21" s="1"/>
  <c r="F362" i="6"/>
  <c r="N362" i="6" s="1"/>
  <c r="G340" i="21" s="1"/>
  <c r="F215" i="6"/>
  <c r="F256" i="6"/>
  <c r="N256" i="6" s="1"/>
  <c r="G240" i="21" s="1"/>
  <c r="F298" i="6"/>
  <c r="N298" i="6" s="1"/>
  <c r="G279" i="21" s="1"/>
  <c r="F326" i="6"/>
  <c r="N326" i="6" s="1"/>
  <c r="G306" i="21" s="1"/>
  <c r="F293" i="6"/>
  <c r="N293" i="6" s="1"/>
  <c r="G275" i="21" s="1"/>
  <c r="F272" i="6"/>
  <c r="N272" i="6" s="1"/>
  <c r="G255" i="21" s="1"/>
  <c r="F303" i="6"/>
  <c r="E73" i="6"/>
  <c r="M73" i="6" s="1"/>
  <c r="F67" i="21" s="1"/>
  <c r="E66" i="6"/>
  <c r="M66" i="6" s="1"/>
  <c r="F60" i="21" s="1"/>
  <c r="E9" i="6"/>
  <c r="M9" i="6" s="1"/>
  <c r="F6" i="21" s="1"/>
  <c r="E91" i="6"/>
  <c r="M91" i="6" s="1"/>
  <c r="F84" i="21" s="1"/>
  <c r="E57" i="6"/>
  <c r="M57" i="6" s="1"/>
  <c r="F52" i="21" s="1"/>
  <c r="E85" i="6"/>
  <c r="M85" i="6" s="1"/>
  <c r="F78" i="21" s="1"/>
  <c r="E50" i="6"/>
  <c r="M50" i="6" s="1"/>
  <c r="F45" i="21" s="1"/>
  <c r="E130" i="6"/>
  <c r="M130" i="6" s="1"/>
  <c r="F121" i="21" s="1"/>
  <c r="E126" i="6"/>
  <c r="E121" i="6"/>
  <c r="M121" i="6" s="1"/>
  <c r="F112" i="21" s="1"/>
  <c r="G333" i="6"/>
  <c r="H333" i="6"/>
  <c r="G284" i="6"/>
  <c r="H127" i="6"/>
  <c r="T82" i="6"/>
  <c r="T292" i="6"/>
  <c r="K30" i="6"/>
  <c r="T38" i="6"/>
  <c r="R29" i="6"/>
  <c r="R32" i="6"/>
  <c r="Y32" i="6"/>
  <c r="Y51" i="6"/>
  <c r="K51" i="6"/>
  <c r="T59" i="6" s="1"/>
  <c r="K64" i="6"/>
  <c r="R66" i="6"/>
  <c r="E26" i="21"/>
  <c r="D29" i="7"/>
  <c r="M23" i="7"/>
  <c r="C23" i="7" s="1"/>
  <c r="B25" i="6"/>
  <c r="B113" i="6"/>
  <c r="B109" i="6"/>
  <c r="B111" i="6"/>
  <c r="Y118" i="6"/>
  <c r="E143" i="21"/>
  <c r="D167" i="7"/>
  <c r="AF319" i="6"/>
  <c r="R320" i="6"/>
  <c r="Y320" i="6"/>
  <c r="AF321" i="6"/>
  <c r="AM321" i="6"/>
  <c r="R323" i="6"/>
  <c r="AM324" i="6"/>
  <c r="R325" i="6"/>
  <c r="Y325" i="6"/>
  <c r="E306" i="21"/>
  <c r="D337" i="7"/>
  <c r="AM326" i="6"/>
  <c r="L338" i="6"/>
  <c r="AM343" i="6"/>
  <c r="E324" i="21"/>
  <c r="D358" i="7"/>
  <c r="E326" i="21"/>
  <c r="D360" i="7"/>
  <c r="G83" i="6"/>
  <c r="B84" i="6"/>
  <c r="G84" i="6" s="1"/>
  <c r="B81" i="6"/>
  <c r="B123" i="6"/>
  <c r="H123" i="6" s="1"/>
  <c r="B121" i="6"/>
  <c r="T192" i="6"/>
  <c r="B93" i="6"/>
  <c r="B92" i="6"/>
  <c r="H92" i="6"/>
  <c r="R13" i="6"/>
  <c r="Y346" i="6"/>
  <c r="AM319" i="6"/>
  <c r="AM155" i="6"/>
  <c r="AM338" i="6"/>
  <c r="AM341" i="6"/>
  <c r="R327" i="6"/>
  <c r="M343" i="7"/>
  <c r="C343" i="7" s="1"/>
  <c r="R347" i="6"/>
  <c r="B151" i="6"/>
  <c r="B158" i="6"/>
  <c r="M123" i="7"/>
  <c r="C123" i="7" s="1"/>
  <c r="B107" i="6"/>
  <c r="D336" i="7"/>
  <c r="B133" i="6"/>
  <c r="D356" i="7"/>
  <c r="B307" i="6"/>
  <c r="B297" i="6"/>
  <c r="G297" i="6"/>
  <c r="M103" i="7"/>
  <c r="C103" i="7" s="1"/>
  <c r="D349" i="7"/>
  <c r="AF326" i="6"/>
  <c r="R15" i="6"/>
  <c r="AM46" i="6"/>
  <c r="E10" i="21"/>
  <c r="D10" i="7"/>
  <c r="E67" i="21"/>
  <c r="D76" i="7"/>
  <c r="E92" i="21"/>
  <c r="D107" i="7"/>
  <c r="E94" i="21"/>
  <c r="D109" i="7"/>
  <c r="E103" i="21"/>
  <c r="D118" i="7"/>
  <c r="E109" i="21"/>
  <c r="D127" i="7"/>
  <c r="E126" i="21"/>
  <c r="D147" i="7"/>
  <c r="E135" i="21"/>
  <c r="D156" i="7"/>
  <c r="E137" i="21"/>
  <c r="D158" i="7"/>
  <c r="K190" i="6"/>
  <c r="AM191" i="6"/>
  <c r="L191" i="6"/>
  <c r="Y192" i="6"/>
  <c r="R192" i="6"/>
  <c r="E180" i="21"/>
  <c r="D190" i="7"/>
  <c r="AF193" i="6"/>
  <c r="E182" i="21"/>
  <c r="D192" i="7"/>
  <c r="AM195" i="6"/>
  <c r="E154" i="21"/>
  <c r="D178" i="7"/>
  <c r="E156" i="21"/>
  <c r="D180" i="7"/>
  <c r="E142" i="21"/>
  <c r="D166" i="7"/>
  <c r="R165" i="6"/>
  <c r="E298" i="21"/>
  <c r="D329" i="7"/>
  <c r="E303" i="21"/>
  <c r="D334" i="7"/>
  <c r="R324" i="6"/>
  <c r="Y324" i="6"/>
  <c r="AM325" i="6"/>
  <c r="Y326" i="6"/>
  <c r="E307" i="21"/>
  <c r="D338" i="7"/>
  <c r="Y328" i="6"/>
  <c r="E309" i="21"/>
  <c r="D340" i="7"/>
  <c r="AF329" i="6"/>
  <c r="AM329" i="6"/>
  <c r="L333" i="6"/>
  <c r="K334" i="6"/>
  <c r="R334" i="6"/>
  <c r="E321" i="21"/>
  <c r="D355" i="7"/>
  <c r="R364" i="6"/>
  <c r="Y364" i="6"/>
  <c r="B91" i="6"/>
  <c r="G91" i="6"/>
  <c r="B89" i="6"/>
  <c r="H89" i="6" s="1"/>
  <c r="B90" i="6"/>
  <c r="H90" i="6"/>
  <c r="B117" i="6"/>
  <c r="G128" i="6"/>
  <c r="T263" i="6"/>
  <c r="B94" i="6"/>
  <c r="H94" i="6"/>
  <c r="AM77" i="6"/>
  <c r="R72" i="6"/>
  <c r="AF110" i="6"/>
  <c r="K137" i="6"/>
  <c r="T137" i="6" s="1"/>
  <c r="R74" i="6"/>
  <c r="K69" i="6"/>
  <c r="K32" i="6"/>
  <c r="Y45" i="6"/>
  <c r="AM318" i="6"/>
  <c r="Y33" i="6"/>
  <c r="Y41" i="6"/>
  <c r="AM153" i="6"/>
  <c r="AM333" i="6"/>
  <c r="D39" i="7"/>
  <c r="D32" i="7"/>
  <c r="B104" i="6"/>
  <c r="G104" i="6" s="1"/>
  <c r="L318" i="6"/>
  <c r="AF341" i="6"/>
  <c r="AF323" i="6"/>
  <c r="L102" i="6"/>
  <c r="AH102" i="6" s="1"/>
  <c r="R93" i="6"/>
  <c r="AF47" i="6"/>
  <c r="AM68" i="6"/>
  <c r="E83" i="21"/>
  <c r="D95" i="7"/>
  <c r="E85" i="21"/>
  <c r="D97" i="7"/>
  <c r="E91" i="21"/>
  <c r="D106" i="7"/>
  <c r="E112" i="21"/>
  <c r="D130" i="7"/>
  <c r="E129" i="21"/>
  <c r="D150" i="7"/>
  <c r="E131" i="21"/>
  <c r="D152" i="7"/>
  <c r="E136" i="21"/>
  <c r="D157" i="7"/>
  <c r="R185" i="6"/>
  <c r="M183" i="7"/>
  <c r="C183" i="7" s="1"/>
  <c r="B187" i="6"/>
  <c r="AF190" i="6"/>
  <c r="E179" i="21"/>
  <c r="D189" i="7"/>
  <c r="AM192" i="6"/>
  <c r="AF194" i="6"/>
  <c r="R198" i="6"/>
  <c r="AF199" i="6"/>
  <c r="R200" i="6"/>
  <c r="Y200" i="6"/>
  <c r="E190" i="21"/>
  <c r="D200" i="7"/>
  <c r="Y226" i="6"/>
  <c r="K225" i="6"/>
  <c r="AF45" i="6"/>
  <c r="AF184" i="6"/>
  <c r="L282" i="6"/>
  <c r="K15" i="6"/>
  <c r="T15" i="6" s="1"/>
  <c r="K316" i="6"/>
  <c r="AH45" i="6"/>
  <c r="T23" i="6"/>
  <c r="H288" i="6"/>
  <c r="R53" i="6"/>
  <c r="L47" i="6"/>
  <c r="AF107" i="6"/>
  <c r="Y59" i="6"/>
  <c r="R56" i="6"/>
  <c r="AF75" i="6"/>
  <c r="K84" i="6"/>
  <c r="T92" i="6"/>
  <c r="R55" i="6"/>
  <c r="R91" i="6"/>
  <c r="L67" i="6"/>
  <c r="D48" i="7"/>
  <c r="Y73" i="6"/>
  <c r="Y17" i="6"/>
  <c r="R35" i="6"/>
  <c r="Y36" i="6"/>
  <c r="R50" i="6"/>
  <c r="R64" i="6"/>
  <c r="E37" i="21"/>
  <c r="D40" i="7"/>
  <c r="E41" i="21"/>
  <c r="D47" i="7"/>
  <c r="E215" i="21"/>
  <c r="D231" i="7"/>
  <c r="AF229" i="6"/>
  <c r="R231" i="6"/>
  <c r="K226" i="6"/>
  <c r="Y234" i="6"/>
  <c r="E220" i="21"/>
  <c r="D236" i="7"/>
  <c r="AM235" i="6"/>
  <c r="K228" i="6"/>
  <c r="T228" i="6"/>
  <c r="AM237" i="6"/>
  <c r="AF347" i="6"/>
  <c r="L339" i="6"/>
  <c r="Y352" i="6"/>
  <c r="K352" i="6"/>
  <c r="T352" i="6"/>
  <c r="L353" i="6"/>
  <c r="AM353" i="6"/>
  <c r="E333" i="21"/>
  <c r="D370" i="7"/>
  <c r="R356" i="6"/>
  <c r="AF364" i="6"/>
  <c r="W11" i="6"/>
  <c r="T87" i="6"/>
  <c r="H104" i="6"/>
  <c r="AF92" i="6"/>
  <c r="AM110" i="6"/>
  <c r="L48" i="6"/>
  <c r="AH48" i="6" s="1"/>
  <c r="R154" i="6"/>
  <c r="AM57" i="6"/>
  <c r="Y93" i="6"/>
  <c r="AM95" i="6"/>
  <c r="AF14" i="6"/>
  <c r="R92" i="6"/>
  <c r="L100" i="6"/>
  <c r="AH108" i="6" s="1"/>
  <c r="R73" i="6"/>
  <c r="AM108" i="6"/>
  <c r="K49" i="6"/>
  <c r="T57" i="6" s="1"/>
  <c r="Y54" i="6"/>
  <c r="L15" i="6"/>
  <c r="AH15" i="6" s="1"/>
  <c r="R37" i="6"/>
  <c r="AF58" i="6"/>
  <c r="R76" i="6"/>
  <c r="AF121" i="6"/>
  <c r="AM164" i="6"/>
  <c r="K45" i="6"/>
  <c r="T45" i="6"/>
  <c r="R36" i="6"/>
  <c r="AM55" i="6"/>
  <c r="Y11" i="6"/>
  <c r="AM359" i="6"/>
  <c r="AM179" i="6"/>
  <c r="Y49" i="6"/>
  <c r="Y69" i="6"/>
  <c r="D372" i="7"/>
  <c r="K356" i="6"/>
  <c r="L227" i="6"/>
  <c r="D8" i="7"/>
  <c r="AF230" i="6"/>
  <c r="AM90" i="6"/>
  <c r="Y20" i="6"/>
  <c r="AF31" i="6"/>
  <c r="L28" i="6"/>
  <c r="AH36" i="6" s="1"/>
  <c r="AM36" i="6"/>
  <c r="E19" i="21"/>
  <c r="D19" i="7"/>
  <c r="E52" i="21"/>
  <c r="D58" i="7"/>
  <c r="E54" i="21"/>
  <c r="D60" i="7"/>
  <c r="AF156" i="6"/>
  <c r="AM156" i="6"/>
  <c r="AF159" i="6"/>
  <c r="AM163" i="6"/>
  <c r="AF209" i="6"/>
  <c r="AM209" i="6"/>
  <c r="R210" i="6"/>
  <c r="Y210" i="6"/>
  <c r="L211" i="6"/>
  <c r="AM211" i="6"/>
  <c r="R212" i="6"/>
  <c r="E206" i="21"/>
  <c r="D219" i="7"/>
  <c r="E265" i="21"/>
  <c r="D290" i="7"/>
  <c r="AF283" i="6"/>
  <c r="AF282" i="6"/>
  <c r="L285" i="6"/>
  <c r="AH293" i="6" s="1"/>
  <c r="E270" i="21"/>
  <c r="D295" i="7"/>
  <c r="AF288" i="6"/>
  <c r="E274" i="21"/>
  <c r="D299" i="7"/>
  <c r="K297" i="6"/>
  <c r="R297" i="6"/>
  <c r="Y297" i="6"/>
  <c r="E279" i="21"/>
  <c r="D307" i="7"/>
  <c r="AF298" i="6"/>
  <c r="R299" i="6"/>
  <c r="R301" i="6"/>
  <c r="E286" i="21"/>
  <c r="D314" i="7"/>
  <c r="AM305" i="6"/>
  <c r="AF307" i="6"/>
  <c r="L301" i="6"/>
  <c r="Y64" i="6"/>
  <c r="R230" i="6"/>
  <c r="AM244" i="6"/>
  <c r="E232" i="21"/>
  <c r="D251" i="7"/>
  <c r="K351" i="6"/>
  <c r="E330" i="21"/>
  <c r="D367" i="7"/>
  <c r="R360" i="6"/>
  <c r="Y360" i="6"/>
  <c r="E339" i="21"/>
  <c r="D376" i="7"/>
  <c r="E341" i="21"/>
  <c r="D378" i="7"/>
  <c r="AM363" i="6"/>
  <c r="W361" i="6"/>
  <c r="W47" i="6"/>
  <c r="T307" i="6"/>
  <c r="H264" i="6"/>
  <c r="T202" i="6"/>
  <c r="AH302" i="6"/>
  <c r="AF53" i="6"/>
  <c r="AF93" i="6"/>
  <c r="AM89" i="6"/>
  <c r="AF56" i="6"/>
  <c r="AF109" i="6"/>
  <c r="L49" i="6"/>
  <c r="AF95" i="6"/>
  <c r="K29" i="6"/>
  <c r="Y74" i="6"/>
  <c r="B10" i="6"/>
  <c r="H10" i="6"/>
  <c r="AF89" i="6"/>
  <c r="AM53" i="6"/>
  <c r="AM58" i="6"/>
  <c r="R90" i="6"/>
  <c r="AF108" i="6"/>
  <c r="Y66" i="6"/>
  <c r="AM347" i="6"/>
  <c r="R351" i="6"/>
  <c r="D374" i="7"/>
  <c r="D375" i="7"/>
  <c r="R233" i="6"/>
  <c r="D7" i="7"/>
  <c r="K9" i="6"/>
  <c r="K11" i="6"/>
  <c r="Y19" i="6"/>
  <c r="R23" i="6"/>
  <c r="Y23" i="6"/>
  <c r="Y38" i="6"/>
  <c r="E20" i="21"/>
  <c r="D20" i="7"/>
  <c r="E51" i="21"/>
  <c r="D57" i="7"/>
  <c r="AF210" i="6"/>
  <c r="AM210" i="6"/>
  <c r="E203" i="21"/>
  <c r="D216" i="7"/>
  <c r="AM219" i="6"/>
  <c r="R283" i="6"/>
  <c r="R282" i="6"/>
  <c r="E269" i="21"/>
  <c r="D294" i="7"/>
  <c r="L279" i="6"/>
  <c r="AM287" i="6"/>
  <c r="Y288" i="6"/>
  <c r="K280" i="6"/>
  <c r="E271" i="21"/>
  <c r="D296" i="7"/>
  <c r="AM289" i="6"/>
  <c r="K282" i="6"/>
  <c r="Y290" i="6"/>
  <c r="E273" i="21"/>
  <c r="D298" i="7"/>
  <c r="AF291" i="6"/>
  <c r="AM291" i="6"/>
  <c r="R292" i="6"/>
  <c r="L297" i="6"/>
  <c r="AH305" i="6" s="1"/>
  <c r="E280" i="21"/>
  <c r="D308" i="7"/>
  <c r="AM299" i="6"/>
  <c r="K300" i="6"/>
  <c r="AM301" i="6"/>
  <c r="Y302" i="6"/>
  <c r="R305" i="6"/>
  <c r="Y305" i="6"/>
  <c r="E287" i="21"/>
  <c r="D315" i="7"/>
  <c r="AM306" i="6"/>
  <c r="Y307" i="6"/>
  <c r="E289" i="21"/>
  <c r="D317" i="7"/>
  <c r="E295" i="21"/>
  <c r="D326" i="7"/>
  <c r="E297" i="21"/>
  <c r="D328" i="7"/>
  <c r="B216" i="6"/>
  <c r="G216" i="6" s="1"/>
  <c r="B99" i="6"/>
  <c r="L320" i="6"/>
  <c r="L337" i="6"/>
  <c r="T157" i="6"/>
  <c r="T165" i="6"/>
  <c r="R67" i="6"/>
  <c r="AF18" i="6"/>
  <c r="R164" i="6"/>
  <c r="Y164" i="6"/>
  <c r="L176" i="6"/>
  <c r="Y182" i="6"/>
  <c r="K176" i="6"/>
  <c r="Y184" i="6"/>
  <c r="E223" i="21"/>
  <c r="D239" i="7"/>
  <c r="R239" i="6"/>
  <c r="K231" i="6"/>
  <c r="T239" i="6"/>
  <c r="R238" i="6"/>
  <c r="K247" i="6"/>
  <c r="L248" i="6"/>
  <c r="AF248" i="6"/>
  <c r="AM248" i="6"/>
  <c r="Y317" i="6"/>
  <c r="R317" i="6"/>
  <c r="G287" i="6"/>
  <c r="K65" i="6"/>
  <c r="T65" i="6" s="1"/>
  <c r="H18" i="6"/>
  <c r="G18" i="6"/>
  <c r="AM18" i="6"/>
  <c r="AM183" i="6"/>
  <c r="AM309" i="6"/>
  <c r="AM176" i="6"/>
  <c r="B125" i="6"/>
  <c r="B119" i="6"/>
  <c r="H119" i="6" s="1"/>
  <c r="B122" i="6"/>
  <c r="B131" i="6"/>
  <c r="H131" i="6" s="1"/>
  <c r="B129" i="6"/>
  <c r="G129" i="6"/>
  <c r="T279" i="6"/>
  <c r="T287" i="6"/>
  <c r="L316" i="6"/>
  <c r="AH316" i="6"/>
  <c r="AM145" i="6"/>
  <c r="Y13" i="6"/>
  <c r="R12" i="6"/>
  <c r="B11" i="6"/>
  <c r="H11" i="6" s="1"/>
  <c r="B13" i="6"/>
  <c r="H13" i="6" s="1"/>
  <c r="B23" i="6"/>
  <c r="H23" i="6"/>
  <c r="B12" i="6"/>
  <c r="R110" i="6"/>
  <c r="K102" i="6"/>
  <c r="T110" i="6" s="1"/>
  <c r="K28" i="6"/>
  <c r="R28" i="6"/>
  <c r="Y28" i="6"/>
  <c r="L12" i="6"/>
  <c r="AH20" i="6" s="1"/>
  <c r="AF20" i="6"/>
  <c r="AF36" i="6"/>
  <c r="L29" i="6"/>
  <c r="E25" i="21"/>
  <c r="D28" i="7"/>
  <c r="E66" i="21"/>
  <c r="D75" i="7"/>
  <c r="E145" i="21"/>
  <c r="D169" i="7"/>
  <c r="E152" i="21"/>
  <c r="D176" i="7"/>
  <c r="B43" i="6"/>
  <c r="M43" i="7"/>
  <c r="C43" i="7" s="1"/>
  <c r="AF153" i="6"/>
  <c r="L154" i="6"/>
  <c r="Y159" i="6"/>
  <c r="R163" i="6"/>
  <c r="Y163" i="6"/>
  <c r="R177" i="6"/>
  <c r="AF181" i="6"/>
  <c r="AF237" i="6"/>
  <c r="L230" i="6"/>
  <c r="B251" i="6"/>
  <c r="H251" i="6" s="1"/>
  <c r="B254" i="6"/>
  <c r="H254" i="6" s="1"/>
  <c r="E228" i="21"/>
  <c r="D247" i="7"/>
  <c r="K245" i="6"/>
  <c r="Y245" i="6"/>
  <c r="L246" i="6"/>
  <c r="AH254" i="6" s="1"/>
  <c r="AM246" i="6"/>
  <c r="E290" i="21"/>
  <c r="D318" i="7"/>
  <c r="B309" i="6"/>
  <c r="G309" i="6" s="1"/>
  <c r="AF308" i="6"/>
  <c r="AF309" i="6"/>
  <c r="R309" i="6"/>
  <c r="R310" i="6"/>
  <c r="Y310" i="6"/>
  <c r="E292" i="21"/>
  <c r="D320" i="7"/>
  <c r="B313" i="6"/>
  <c r="B327" i="6" s="1"/>
  <c r="M323" i="7"/>
  <c r="C323" i="7" s="1"/>
  <c r="B166" i="6"/>
  <c r="AH120" i="6"/>
  <c r="K154" i="6"/>
  <c r="Y50" i="6"/>
  <c r="Y65" i="6"/>
  <c r="Y243" i="6"/>
  <c r="W163" i="6"/>
  <c r="G123" i="6"/>
  <c r="H301" i="6"/>
  <c r="T85" i="6"/>
  <c r="AH56" i="6"/>
  <c r="AH141" i="6"/>
  <c r="AH39" i="6"/>
  <c r="T51" i="6"/>
  <c r="AF145" i="6"/>
  <c r="Y67" i="6"/>
  <c r="AM20" i="6"/>
  <c r="B194" i="6"/>
  <c r="B198" i="6"/>
  <c r="B203" i="6"/>
  <c r="H203" i="6" s="1"/>
  <c r="B201" i="6"/>
  <c r="M243" i="7"/>
  <c r="C243" i="7" s="1"/>
  <c r="Y63" i="6"/>
  <c r="R63" i="6"/>
  <c r="D26" i="7"/>
  <c r="E23" i="21"/>
  <c r="B27" i="6"/>
  <c r="H27" i="6" s="1"/>
  <c r="E63" i="21"/>
  <c r="D72" i="7"/>
  <c r="E147" i="21"/>
  <c r="D171" i="7"/>
  <c r="G281" i="6"/>
  <c r="H308" i="6"/>
  <c r="G95" i="6"/>
  <c r="H306" i="6"/>
  <c r="AH110" i="6"/>
  <c r="T243" i="6"/>
  <c r="B29" i="6"/>
  <c r="AH267" i="6"/>
  <c r="B311" i="6"/>
  <c r="G311" i="6"/>
  <c r="T99" i="6"/>
  <c r="Y177" i="6"/>
  <c r="AM37" i="6"/>
  <c r="AM238" i="6"/>
  <c r="AM39" i="6"/>
  <c r="L244" i="6"/>
  <c r="K302" i="6"/>
  <c r="D174" i="7"/>
  <c r="R77" i="6"/>
  <c r="AF99" i="6"/>
  <c r="L103" i="6"/>
  <c r="AH111" i="6" s="1"/>
  <c r="K122" i="6"/>
  <c r="Y138" i="6"/>
  <c r="R139" i="6"/>
  <c r="R9" i="6"/>
  <c r="E50" i="21"/>
  <c r="D56" i="7"/>
  <c r="K264" i="6"/>
  <c r="R263" i="6"/>
  <c r="E248" i="21"/>
  <c r="D270" i="7"/>
  <c r="AF264" i="6"/>
  <c r="E250" i="21"/>
  <c r="D272" i="7"/>
  <c r="AF269" i="6"/>
  <c r="R270" i="6"/>
  <c r="L280" i="6"/>
  <c r="AM93" i="6"/>
  <c r="R27" i="6"/>
  <c r="AF179" i="6"/>
  <c r="AF180" i="6"/>
  <c r="AF182" i="6"/>
  <c r="K230" i="6"/>
  <c r="T230" i="6" s="1"/>
  <c r="B247" i="6"/>
  <c r="H247" i="6" s="1"/>
  <c r="AF246" i="6"/>
  <c r="L247" i="6"/>
  <c r="AH255" i="6" s="1"/>
  <c r="R357" i="6"/>
  <c r="L357" i="6"/>
  <c r="AF365" i="6"/>
  <c r="K104" i="6"/>
  <c r="AF118" i="6"/>
  <c r="AF119" i="6"/>
  <c r="L119" i="6"/>
  <c r="AH119" i="6"/>
  <c r="AF123" i="6"/>
  <c r="AF137" i="6"/>
  <c r="R31" i="6"/>
  <c r="AF12" i="6"/>
  <c r="AF23" i="6"/>
  <c r="AF202" i="6"/>
  <c r="AF203" i="6"/>
  <c r="E210" i="21"/>
  <c r="D226" i="7"/>
  <c r="L229" i="6"/>
  <c r="Y257" i="6"/>
  <c r="R257" i="6"/>
  <c r="B271" i="6"/>
  <c r="B270" i="6"/>
  <c r="K261" i="6"/>
  <c r="E304" i="21"/>
  <c r="D335" i="7"/>
  <c r="K319" i="6"/>
  <c r="E308" i="21"/>
  <c r="D339" i="7"/>
  <c r="AF335" i="6"/>
  <c r="K337" i="6"/>
  <c r="E317" i="21"/>
  <c r="D351" i="7"/>
  <c r="K266" i="6"/>
  <c r="K333" i="6"/>
  <c r="K335" i="6"/>
  <c r="B22" i="6"/>
  <c r="AF262" i="6"/>
  <c r="R265" i="6"/>
  <c r="R19" i="6"/>
  <c r="E227" i="21"/>
  <c r="D246" i="7"/>
  <c r="G90" i="6"/>
  <c r="G289" i="6"/>
  <c r="H289" i="6"/>
  <c r="H336" i="6"/>
  <c r="G336" i="6"/>
  <c r="AH127" i="6"/>
  <c r="G94" i="6"/>
  <c r="G10" i="6"/>
  <c r="AH228" i="6"/>
  <c r="AH236" i="6"/>
  <c r="B344" i="6"/>
  <c r="B341" i="6"/>
  <c r="B334" i="6"/>
  <c r="B339" i="6"/>
  <c r="B345" i="6"/>
  <c r="AK341" i="6"/>
  <c r="AK207" i="6"/>
  <c r="AK189" i="6"/>
  <c r="AK171" i="6"/>
  <c r="AK9" i="6"/>
  <c r="B335" i="6"/>
  <c r="G89" i="6"/>
  <c r="H121" i="6"/>
  <c r="G121" i="6"/>
  <c r="H310" i="6"/>
  <c r="G310" i="6"/>
  <c r="T102" i="6"/>
  <c r="T326" i="6"/>
  <c r="T318" i="6"/>
  <c r="AH247" i="6"/>
  <c r="B217" i="6"/>
  <c r="H217" i="6"/>
  <c r="B221" i="6"/>
  <c r="G221" i="6" s="1"/>
  <c r="AH285" i="6"/>
  <c r="L243" i="6"/>
  <c r="AF243" i="6"/>
  <c r="AM243" i="6"/>
  <c r="R244" i="6"/>
  <c r="R243" i="6"/>
  <c r="K244" i="6"/>
  <c r="Y244" i="6"/>
  <c r="E229" i="21"/>
  <c r="D248" i="7"/>
  <c r="AF244" i="6"/>
  <c r="L245" i="6"/>
  <c r="AM245" i="6"/>
  <c r="AF245" i="6"/>
  <c r="R245" i="6"/>
  <c r="K246" i="6"/>
  <c r="Y246" i="6"/>
  <c r="R246" i="6"/>
  <c r="K248" i="6"/>
  <c r="R248" i="6"/>
  <c r="L249" i="6"/>
  <c r="AM257" i="6"/>
  <c r="AF257" i="6"/>
  <c r="E244" i="21"/>
  <c r="D266" i="7"/>
  <c r="B261" i="6"/>
  <c r="L261" i="6"/>
  <c r="AM261" i="6"/>
  <c r="R261" i="6"/>
  <c r="K262" i="6"/>
  <c r="Y262" i="6"/>
  <c r="E246" i="21"/>
  <c r="B263" i="6"/>
  <c r="D268" i="7"/>
  <c r="W263" i="6"/>
  <c r="AF263" i="6"/>
  <c r="AM263" i="6"/>
  <c r="L263" i="6"/>
  <c r="AK267" i="6"/>
  <c r="AK221" i="6"/>
  <c r="AK213" i="6"/>
  <c r="H283" i="6"/>
  <c r="H126" i="6"/>
  <c r="U284" i="6"/>
  <c r="G282" i="6"/>
  <c r="B343" i="6"/>
  <c r="G343" i="6"/>
  <c r="B338" i="6"/>
  <c r="H120" i="6"/>
  <c r="R247" i="6"/>
  <c r="G100" i="6"/>
  <c r="H100" i="6"/>
  <c r="T189" i="6"/>
  <c r="T197" i="6"/>
  <c r="AF256" i="6"/>
  <c r="E219" i="21"/>
  <c r="D235" i="7"/>
  <c r="AF234" i="6"/>
  <c r="AM234" i="6"/>
  <c r="R234" i="6"/>
  <c r="R235" i="6"/>
  <c r="Y235" i="6"/>
  <c r="E221" i="21"/>
  <c r="D237" i="7"/>
  <c r="AF236" i="6"/>
  <c r="AF235" i="6"/>
  <c r="AM236" i="6"/>
  <c r="W335" i="6"/>
  <c r="W343" i="6"/>
  <c r="W191" i="6"/>
  <c r="W325" i="6"/>
  <c r="W299" i="6"/>
  <c r="W137" i="6"/>
  <c r="H118" i="6"/>
  <c r="W289" i="6"/>
  <c r="W235" i="6"/>
  <c r="AH28" i="6"/>
  <c r="R18" i="6"/>
  <c r="Y18" i="6"/>
  <c r="K10" i="6"/>
  <c r="R17" i="6"/>
  <c r="Y127" i="6"/>
  <c r="R127" i="6"/>
  <c r="K119" i="6"/>
  <c r="R128" i="6"/>
  <c r="K120" i="6"/>
  <c r="Y128" i="6"/>
  <c r="AF40" i="6"/>
  <c r="AM45" i="6"/>
  <c r="AF50" i="6"/>
  <c r="AM50" i="6"/>
  <c r="AF49" i="6"/>
  <c r="L50" i="6"/>
  <c r="AM63" i="6"/>
  <c r="AF63" i="6"/>
  <c r="L63" i="6"/>
  <c r="AF64" i="6"/>
  <c r="AM65" i="6"/>
  <c r="AF65" i="6"/>
  <c r="AF66" i="6"/>
  <c r="AM67" i="6"/>
  <c r="D9" i="7"/>
  <c r="E9" i="21"/>
  <c r="E17" i="21"/>
  <c r="D17" i="7"/>
  <c r="E24" i="21"/>
  <c r="D27" i="7"/>
  <c r="E34" i="21"/>
  <c r="D37" i="7"/>
  <c r="E43" i="21"/>
  <c r="D49" i="7"/>
  <c r="E49" i="21"/>
  <c r="D55" i="7"/>
  <c r="AF167" i="6"/>
  <c r="L159" i="6"/>
  <c r="AM171" i="6"/>
  <c r="L171" i="6"/>
  <c r="AM173" i="6"/>
  <c r="AF173" i="6"/>
  <c r="L173" i="6"/>
  <c r="K174" i="6"/>
  <c r="Y174" i="6"/>
  <c r="R173" i="6"/>
  <c r="AF174" i="6"/>
  <c r="L175" i="6"/>
  <c r="AM175" i="6"/>
  <c r="R176" i="6"/>
  <c r="K173" i="6"/>
  <c r="R181" i="6"/>
  <c r="R180" i="6"/>
  <c r="R182" i="6"/>
  <c r="K175" i="6"/>
  <c r="B223" i="6"/>
  <c r="B230" i="6"/>
  <c r="M223" i="7"/>
  <c r="C223" i="7" s="1"/>
  <c r="R225" i="6"/>
  <c r="E211" i="21"/>
  <c r="D227" i="7"/>
  <c r="L226" i="6"/>
  <c r="AF226" i="6"/>
  <c r="AM226" i="6"/>
  <c r="K227" i="6"/>
  <c r="R226" i="6"/>
  <c r="Y227" i="6"/>
  <c r="AF228" i="6"/>
  <c r="R229" i="6"/>
  <c r="Y229" i="6"/>
  <c r="AH209" i="6"/>
  <c r="AH217" i="6"/>
  <c r="AM73" i="6"/>
  <c r="AF72" i="6"/>
  <c r="K156" i="6"/>
  <c r="Y156" i="6"/>
  <c r="R22" i="6"/>
  <c r="Y22" i="6"/>
  <c r="K31" i="6"/>
  <c r="R30" i="6"/>
  <c r="Y46" i="6"/>
  <c r="K46" i="6"/>
  <c r="R45" i="6"/>
  <c r="K48" i="6"/>
  <c r="Y48" i="6"/>
  <c r="R48" i="6"/>
  <c r="AM10" i="6"/>
  <c r="L10" i="6"/>
  <c r="AF17" i="6"/>
  <c r="AF22" i="6"/>
  <c r="AF21" i="6"/>
  <c r="AM22" i="6"/>
  <c r="L30" i="6"/>
  <c r="AF29" i="6"/>
  <c r="AM32" i="6"/>
  <c r="AF32" i="6"/>
  <c r="L32" i="6"/>
  <c r="AF35" i="6"/>
  <c r="L27" i="6"/>
  <c r="AM35" i="6"/>
  <c r="AF68" i="6"/>
  <c r="AM69" i="6"/>
  <c r="L69" i="6"/>
  <c r="E6" i="21"/>
  <c r="D6" i="7"/>
  <c r="B9" i="6"/>
  <c r="D11" i="7"/>
  <c r="B14" i="6"/>
  <c r="E14" i="21"/>
  <c r="B17" i="6"/>
  <c r="G17" i="6"/>
  <c r="D31" i="7"/>
  <c r="E28" i="21"/>
  <c r="E31" i="21"/>
  <c r="D34" i="7"/>
  <c r="E40" i="21"/>
  <c r="D46" i="7"/>
  <c r="D59" i="7"/>
  <c r="E53" i="21"/>
  <c r="E57" i="21"/>
  <c r="D66" i="7"/>
  <c r="E59" i="21"/>
  <c r="D68" i="7"/>
  <c r="E71" i="21"/>
  <c r="D80" i="7"/>
  <c r="E75" i="21"/>
  <c r="D87" i="7"/>
  <c r="E77" i="21"/>
  <c r="D89" i="7"/>
  <c r="L87" i="6"/>
  <c r="R82" i="6"/>
  <c r="K83" i="6"/>
  <c r="Y83" i="6"/>
  <c r="E254" i="21"/>
  <c r="D276" i="7"/>
  <c r="R271" i="6"/>
  <c r="Y272" i="6"/>
  <c r="AM273" i="6"/>
  <c r="AF273" i="6"/>
  <c r="E314" i="21"/>
  <c r="D348" i="7"/>
  <c r="L335" i="6"/>
  <c r="AH343" i="6" s="1"/>
  <c r="R335" i="6"/>
  <c r="R336" i="6"/>
  <c r="E316" i="21"/>
  <c r="D350" i="7"/>
  <c r="AF337" i="6"/>
  <c r="AF336" i="6"/>
  <c r="R338" i="6"/>
  <c r="K338" i="6"/>
  <c r="R337" i="6"/>
  <c r="E318" i="21"/>
  <c r="D352" i="7"/>
  <c r="AF342" i="6"/>
  <c r="E323" i="21"/>
  <c r="D357" i="7"/>
  <c r="AF343" i="6"/>
  <c r="L336" i="6"/>
  <c r="AM344" i="6"/>
  <c r="R344" i="6"/>
  <c r="E325" i="21"/>
  <c r="D359" i="7"/>
  <c r="K339" i="6"/>
  <c r="R346" i="6"/>
  <c r="Y359" i="6"/>
  <c r="R359" i="6"/>
  <c r="AM360" i="6"/>
  <c r="AF359" i="6"/>
  <c r="R361" i="6"/>
  <c r="E340" i="21"/>
  <c r="D377" i="7"/>
  <c r="R363" i="6"/>
  <c r="E342" i="21"/>
  <c r="D379" i="7"/>
  <c r="AF363" i="6"/>
  <c r="Y365" i="6"/>
  <c r="E97" i="21"/>
  <c r="D112" i="7"/>
  <c r="B105" i="6"/>
  <c r="E100" i="21"/>
  <c r="D115" i="7"/>
  <c r="E104" i="21"/>
  <c r="D119" i="7"/>
  <c r="E110" i="21"/>
  <c r="D128" i="7"/>
  <c r="E117" i="21"/>
  <c r="D135" i="7"/>
  <c r="E119" i="21"/>
  <c r="D137" i="7"/>
  <c r="E127" i="21"/>
  <c r="D148" i="7"/>
  <c r="E194" i="21"/>
  <c r="D207" i="7"/>
  <c r="AF208" i="6"/>
  <c r="L208" i="6"/>
  <c r="AH216" i="6" s="1"/>
  <c r="AM208" i="6"/>
  <c r="K209" i="6"/>
  <c r="Y209" i="6"/>
  <c r="R208" i="6"/>
  <c r="E196" i="21"/>
  <c r="D209" i="7"/>
  <c r="L210" i="6"/>
  <c r="R211" i="6"/>
  <c r="E198" i="21"/>
  <c r="D211" i="7"/>
  <c r="AF211" i="6"/>
  <c r="K213" i="6"/>
  <c r="AF215" i="6"/>
  <c r="K208" i="6"/>
  <c r="AF216" i="6"/>
  <c r="R218" i="6"/>
  <c r="Y218" i="6"/>
  <c r="K210" i="6"/>
  <c r="E205" i="21"/>
  <c r="D218" i="7"/>
  <c r="K212" i="6"/>
  <c r="R219" i="6"/>
  <c r="R220" i="6"/>
  <c r="AM231" i="6"/>
  <c r="L231" i="6"/>
  <c r="Y233" i="6"/>
  <c r="AF239" i="6"/>
  <c r="AM239" i="6"/>
  <c r="AF238" i="6"/>
  <c r="AF251" i="6"/>
  <c r="R252" i="6"/>
  <c r="AF252" i="6"/>
  <c r="AM253" i="6"/>
  <c r="AF253" i="6"/>
  <c r="R254" i="6"/>
  <c r="Y254" i="6"/>
  <c r="E239" i="21"/>
  <c r="D258" i="7"/>
  <c r="AF255" i="6"/>
  <c r="E241" i="21"/>
  <c r="D260" i="7"/>
  <c r="AF285" i="6"/>
  <c r="AF284" i="6"/>
  <c r="Y287" i="6"/>
  <c r="K281" i="6"/>
  <c r="R289" i="6"/>
  <c r="R288" i="6"/>
  <c r="E272" i="21"/>
  <c r="D297" i="7"/>
  <c r="AF289" i="6"/>
  <c r="AF290" i="6"/>
  <c r="R291" i="6"/>
  <c r="K283" i="6"/>
  <c r="R290" i="6"/>
  <c r="L284" i="6"/>
  <c r="Y293" i="6"/>
  <c r="AM298" i="6"/>
  <c r="AF297" i="6"/>
  <c r="E281" i="21"/>
  <c r="D309" i="7"/>
  <c r="AF300" i="6"/>
  <c r="AF299" i="6"/>
  <c r="R300" i="6"/>
  <c r="Y301" i="6"/>
  <c r="K301" i="6"/>
  <c r="T309" i="6"/>
  <c r="AF302" i="6"/>
  <c r="AF301" i="6"/>
  <c r="AM302" i="6"/>
  <c r="K303" i="6"/>
  <c r="T311" i="6" s="1"/>
  <c r="R306" i="6"/>
  <c r="K298" i="6"/>
  <c r="Y306" i="6"/>
  <c r="E288" i="21"/>
  <c r="D316" i="7"/>
  <c r="AF306" i="6"/>
  <c r="L299" i="6"/>
  <c r="R308" i="6"/>
  <c r="R318" i="6"/>
  <c r="Y318" i="6"/>
  <c r="E299" i="21"/>
  <c r="D330" i="7"/>
  <c r="AF318" i="6"/>
  <c r="L319" i="6"/>
  <c r="R319" i="6"/>
  <c r="K320" i="6"/>
  <c r="L352" i="6"/>
  <c r="AF351" i="6"/>
  <c r="K353" i="6"/>
  <c r="T353" i="6" s="1"/>
  <c r="E332" i="21"/>
  <c r="D369" i="7"/>
  <c r="L354" i="6"/>
  <c r="K355" i="6"/>
  <c r="E334" i="21"/>
  <c r="D371" i="7"/>
  <c r="AF355" i="6"/>
  <c r="L356" i="6"/>
  <c r="AH356" i="6" s="1"/>
  <c r="AM356" i="6"/>
  <c r="Y154" i="6"/>
  <c r="AF131" i="6"/>
  <c r="L123" i="6"/>
  <c r="K14" i="6"/>
  <c r="E128" i="21"/>
  <c r="D149" i="7"/>
  <c r="AF155" i="6"/>
  <c r="AF166" i="6"/>
  <c r="R191" i="6"/>
  <c r="R193" i="6"/>
  <c r="K193" i="6"/>
  <c r="AF197" i="6"/>
  <c r="R275" i="6"/>
  <c r="E264" i="21"/>
  <c r="D289" i="7"/>
  <c r="E296" i="21"/>
  <c r="D327" i="7"/>
  <c r="L321" i="6"/>
  <c r="AF320" i="6"/>
  <c r="AF328" i="6"/>
  <c r="AM135" i="6"/>
  <c r="K33" i="6"/>
  <c r="B112" i="6"/>
  <c r="B54" i="6"/>
  <c r="H54" i="6"/>
  <c r="R184" i="6"/>
  <c r="B102" i="6"/>
  <c r="B101" i="6"/>
  <c r="L189" i="6"/>
  <c r="R197" i="6"/>
  <c r="AF27" i="6"/>
  <c r="L14" i="6"/>
  <c r="AH14" i="6"/>
  <c r="R118" i="6"/>
  <c r="AF191" i="6"/>
  <c r="L158" i="6"/>
  <c r="AH158" i="6"/>
  <c r="K177" i="6"/>
  <c r="AF189" i="6"/>
  <c r="AF207" i="6"/>
  <c r="B108" i="6"/>
  <c r="Y153" i="6"/>
  <c r="K100" i="6"/>
  <c r="AF87" i="6"/>
  <c r="AF101" i="6"/>
  <c r="AF102" i="6"/>
  <c r="AF104" i="6"/>
  <c r="AM117" i="6"/>
  <c r="K121" i="6"/>
  <c r="E80" i="21"/>
  <c r="D92" i="7"/>
  <c r="E247" i="21"/>
  <c r="D269" i="7"/>
  <c r="K267" i="6"/>
  <c r="R175" i="6"/>
  <c r="AK200" i="6"/>
  <c r="AK38" i="6"/>
  <c r="AK30" i="6"/>
  <c r="AK354" i="6"/>
  <c r="AK84" i="6"/>
  <c r="AK246" i="6"/>
  <c r="AK218" i="6"/>
  <c r="AK174" i="6"/>
  <c r="AK102" i="6"/>
  <c r="AK362" i="6"/>
  <c r="AK20" i="6"/>
  <c r="AK254" i="6"/>
  <c r="AK201" i="6"/>
  <c r="AK175" i="6"/>
  <c r="AK247" i="6"/>
  <c r="AK147" i="6"/>
  <c r="H82" i="6"/>
  <c r="G82" i="6"/>
  <c r="G85" i="6"/>
  <c r="H85" i="6"/>
  <c r="G247" i="6"/>
  <c r="E250" i="7" s="1"/>
  <c r="G130" i="6"/>
  <c r="H130" i="6"/>
  <c r="G251" i="6"/>
  <c r="G303" i="6"/>
  <c r="E312" i="7" s="1"/>
  <c r="H303" i="6"/>
  <c r="AH190" i="6"/>
  <c r="AH198" i="6"/>
  <c r="B207" i="6"/>
  <c r="B213" i="6"/>
  <c r="B211" i="6"/>
  <c r="B215" i="6"/>
  <c r="H215" i="6" s="1"/>
  <c r="B210" i="6"/>
  <c r="B218" i="6"/>
  <c r="B220" i="6"/>
  <c r="B208" i="6"/>
  <c r="B154" i="6"/>
  <c r="B156" i="6"/>
  <c r="B159" i="6"/>
  <c r="B153" i="6"/>
  <c r="B157" i="6"/>
  <c r="B162" i="6"/>
  <c r="H162" i="6"/>
  <c r="B163" i="6"/>
  <c r="G163" i="6"/>
  <c r="B155" i="6"/>
  <c r="B164" i="6"/>
  <c r="AK57" i="6"/>
  <c r="H219" i="6"/>
  <c r="B55" i="6"/>
  <c r="H55" i="6"/>
  <c r="B161" i="6"/>
  <c r="B209" i="6"/>
  <c r="H91" i="6"/>
  <c r="U84" i="6"/>
  <c r="G302" i="6"/>
  <c r="H302" i="6"/>
  <c r="AH107" i="6"/>
  <c r="AH99" i="6"/>
  <c r="T18" i="6"/>
  <c r="T10" i="6"/>
  <c r="AH59" i="6"/>
  <c r="AH51" i="6"/>
  <c r="G275" i="6"/>
  <c r="H275" i="6"/>
  <c r="AH166" i="6"/>
  <c r="B248" i="6"/>
  <c r="B253" i="6"/>
  <c r="B255" i="6"/>
  <c r="B243" i="6"/>
  <c r="G243" i="6" s="1"/>
  <c r="B252" i="6"/>
  <c r="B244" i="6"/>
  <c r="B249" i="6"/>
  <c r="B246" i="6"/>
  <c r="H246" i="6" s="1"/>
  <c r="B256" i="6"/>
  <c r="B257" i="6"/>
  <c r="AH297" i="6"/>
  <c r="AH281" i="6"/>
  <c r="AH289" i="6"/>
  <c r="H158" i="6"/>
  <c r="G158" i="6"/>
  <c r="H216" i="6"/>
  <c r="H298" i="6"/>
  <c r="G298" i="6"/>
  <c r="E307" i="7"/>
  <c r="AH192" i="6"/>
  <c r="AH200" i="6"/>
  <c r="B59" i="6"/>
  <c r="B50" i="6"/>
  <c r="H50" i="6" s="1"/>
  <c r="B51" i="6"/>
  <c r="B48" i="6"/>
  <c r="B47" i="6"/>
  <c r="B57" i="6"/>
  <c r="G57" i="6" s="1"/>
  <c r="B45" i="6"/>
  <c r="B53" i="6"/>
  <c r="B56" i="6"/>
  <c r="H56" i="6"/>
  <c r="B238" i="6"/>
  <c r="B239" i="6"/>
  <c r="AK319" i="6"/>
  <c r="AK290" i="6"/>
  <c r="AK282" i="6"/>
  <c r="AK138" i="6"/>
  <c r="B49" i="6"/>
  <c r="AH264" i="6"/>
  <c r="B165" i="6"/>
  <c r="B212" i="6"/>
  <c r="B167" i="6"/>
  <c r="H12" i="6"/>
  <c r="G12" i="6"/>
  <c r="H17" i="6"/>
  <c r="T46" i="6"/>
  <c r="AH118" i="6"/>
  <c r="AH126" i="6"/>
  <c r="AH308" i="6"/>
  <c r="AH300" i="6"/>
  <c r="T193" i="6"/>
  <c r="T201" i="6"/>
  <c r="G300" i="6"/>
  <c r="H300" i="6"/>
  <c r="T153" i="6"/>
  <c r="T161" i="6"/>
  <c r="AH246" i="6"/>
  <c r="B346" i="6"/>
  <c r="B347" i="6"/>
  <c r="B337" i="6"/>
  <c r="H107" i="6"/>
  <c r="G107" i="6"/>
  <c r="T289" i="6"/>
  <c r="T281" i="6"/>
  <c r="G272" i="6"/>
  <c r="H272" i="6"/>
  <c r="B35" i="6"/>
  <c r="H35" i="6"/>
  <c r="B38" i="6"/>
  <c r="H38" i="6" s="1"/>
  <c r="Y145" i="6"/>
  <c r="AM146" i="6"/>
  <c r="R81" i="6"/>
  <c r="R83" i="6"/>
  <c r="R85" i="6"/>
  <c r="R86" i="6"/>
  <c r="R87" i="6"/>
  <c r="Y129" i="6"/>
  <c r="R129" i="6"/>
  <c r="R130" i="6"/>
  <c r="R131" i="6"/>
  <c r="R140" i="6"/>
  <c r="K140" i="6"/>
  <c r="T140" i="6" s="1"/>
  <c r="K12" i="6"/>
  <c r="T12" i="6" s="1"/>
  <c r="R49" i="6"/>
  <c r="R65" i="6"/>
  <c r="L11" i="6"/>
  <c r="AF39" i="6"/>
  <c r="AF46" i="6"/>
  <c r="E79" i="21"/>
  <c r="D91" i="7"/>
  <c r="E114" i="21"/>
  <c r="D132" i="7"/>
  <c r="R161" i="6"/>
  <c r="R162" i="6"/>
  <c r="K155" i="6"/>
  <c r="AF200" i="6"/>
  <c r="AF201" i="6"/>
  <c r="R227" i="6"/>
  <c r="E231" i="21"/>
  <c r="D250" i="7"/>
  <c r="AF247" i="6"/>
  <c r="AF261" i="6"/>
  <c r="R262" i="6"/>
  <c r="R272" i="6"/>
  <c r="R274" i="6"/>
  <c r="R285" i="6"/>
  <c r="R284" i="6"/>
  <c r="K285" i="6"/>
  <c r="AF311" i="6"/>
  <c r="AF310" i="6"/>
  <c r="L303" i="6"/>
  <c r="B320" i="6"/>
  <c r="H320" i="6" s="1"/>
  <c r="B316" i="6"/>
  <c r="R315" i="6"/>
  <c r="K315" i="6"/>
  <c r="AF316" i="6"/>
  <c r="K317" i="6"/>
  <c r="T317" i="6" s="1"/>
  <c r="R329" i="6"/>
  <c r="R328" i="6"/>
  <c r="R333" i="6"/>
  <c r="AF334" i="6"/>
  <c r="B349" i="6"/>
  <c r="M363" i="7"/>
  <c r="C363" i="7" s="1"/>
  <c r="AF352" i="6"/>
  <c r="AF354" i="6"/>
  <c r="R355" i="6"/>
  <c r="AF81" i="6"/>
  <c r="L81" i="6"/>
  <c r="AF82" i="6"/>
  <c r="AF83" i="6"/>
  <c r="AF86" i="6"/>
  <c r="K27" i="6"/>
  <c r="R51" i="6"/>
  <c r="K66" i="6"/>
  <c r="R68" i="6"/>
  <c r="K68" i="6"/>
  <c r="E32" i="21"/>
  <c r="D35" i="7"/>
  <c r="E46" i="21"/>
  <c r="D52" i="7"/>
  <c r="E68" i="21"/>
  <c r="D77" i="7"/>
  <c r="E74" i="21"/>
  <c r="D86" i="7"/>
  <c r="E78" i="21"/>
  <c r="D90" i="7"/>
  <c r="E111" i="21"/>
  <c r="D129" i="7"/>
  <c r="E120" i="21"/>
  <c r="D138" i="7"/>
  <c r="E146" i="21"/>
  <c r="D170" i="7"/>
  <c r="M63" i="7"/>
  <c r="C63" i="7" s="1"/>
  <c r="B61" i="6"/>
  <c r="AF157" i="6"/>
  <c r="AM157" i="6"/>
  <c r="L153" i="6"/>
  <c r="Y201" i="6"/>
  <c r="L194" i="6"/>
  <c r="E212" i="21"/>
  <c r="D228" i="7"/>
  <c r="AF227" i="6"/>
  <c r="R228" i="6"/>
  <c r="E214" i="21"/>
  <c r="D230" i="7"/>
  <c r="E222" i="21"/>
  <c r="D238" i="7"/>
  <c r="B266" i="6"/>
  <c r="B265" i="6"/>
  <c r="E255" i="21"/>
  <c r="D277" i="7"/>
  <c r="AF271" i="6"/>
  <c r="AF272" i="6"/>
  <c r="R273" i="6"/>
  <c r="K265" i="6"/>
  <c r="L266" i="6"/>
  <c r="L315" i="6"/>
  <c r="AF315" i="6"/>
  <c r="R316" i="6"/>
  <c r="L317" i="6"/>
  <c r="E312" i="21"/>
  <c r="D346" i="7"/>
  <c r="E329" i="21"/>
  <c r="D366" i="7"/>
  <c r="L351" i="6"/>
  <c r="R352" i="6"/>
  <c r="E331" i="21"/>
  <c r="D368" i="7"/>
  <c r="AF353" i="6"/>
  <c r="R354" i="6"/>
  <c r="K354" i="6"/>
  <c r="L355" i="6"/>
  <c r="AF149" i="6"/>
  <c r="R105" i="6"/>
  <c r="R117" i="6"/>
  <c r="AF120" i="6"/>
  <c r="AF125" i="6"/>
  <c r="AF126" i="6"/>
  <c r="E88" i="21"/>
  <c r="D100" i="7"/>
  <c r="AF172" i="6"/>
  <c r="L174" i="6"/>
  <c r="R221" i="6"/>
  <c r="Y239" i="6"/>
  <c r="AF249" i="6"/>
  <c r="E261" i="21"/>
  <c r="D286" i="7"/>
  <c r="AF281" i="6"/>
  <c r="R321" i="6"/>
  <c r="K321" i="6"/>
  <c r="R339" i="6"/>
  <c r="R342" i="6"/>
  <c r="AF345" i="6"/>
  <c r="AF361" i="6"/>
  <c r="R362" i="6"/>
  <c r="E343" i="21"/>
  <c r="D380" i="7"/>
  <c r="AM75" i="6"/>
  <c r="Y94" i="6"/>
  <c r="E65" i="21"/>
  <c r="D74" i="7"/>
  <c r="E155" i="21"/>
  <c r="D179" i="7"/>
  <c r="AF171" i="6"/>
  <c r="K172" i="6"/>
  <c r="T172" i="6" s="1"/>
  <c r="AF175" i="6"/>
  <c r="AF231" i="6"/>
  <c r="R256" i="6"/>
  <c r="R267" i="6"/>
  <c r="AF338" i="6"/>
  <c r="R341" i="6"/>
  <c r="R343" i="6"/>
  <c r="AF346" i="6"/>
  <c r="AF357" i="6"/>
  <c r="AF360" i="6"/>
  <c r="AF362" i="6"/>
  <c r="Y125" i="6"/>
  <c r="R125" i="6"/>
  <c r="K117" i="6"/>
  <c r="E61" i="21"/>
  <c r="D70" i="7"/>
  <c r="B67" i="6"/>
  <c r="AK67" i="6"/>
  <c r="R237" i="6"/>
  <c r="Y237" i="6"/>
  <c r="K229" i="6"/>
  <c r="T237" i="6" s="1"/>
  <c r="R236" i="6"/>
  <c r="R123" i="6"/>
  <c r="K123" i="6"/>
  <c r="R122" i="6"/>
  <c r="Y123" i="6"/>
  <c r="Y126" i="6"/>
  <c r="K118" i="6"/>
  <c r="R126" i="6"/>
  <c r="AF130" i="6"/>
  <c r="L122" i="6"/>
  <c r="AM130" i="6"/>
  <c r="AF140" i="6"/>
  <c r="L140" i="6"/>
  <c r="AM140" i="6"/>
  <c r="AF139" i="6"/>
  <c r="AF148" i="6"/>
  <c r="AM148" i="6"/>
  <c r="R47" i="6"/>
  <c r="Y47" i="6"/>
  <c r="K47" i="6"/>
  <c r="R46" i="6"/>
  <c r="E18" i="21"/>
  <c r="B21" i="6"/>
  <c r="H21" i="6" s="1"/>
  <c r="D18" i="7"/>
  <c r="AK21" i="6"/>
  <c r="AF221" i="6"/>
  <c r="AM221" i="6"/>
  <c r="L213" i="6"/>
  <c r="AF233" i="6"/>
  <c r="L225" i="6"/>
  <c r="AM233" i="6"/>
  <c r="AF129" i="6"/>
  <c r="AM129" i="6"/>
  <c r="L121" i="6"/>
  <c r="AF128" i="6"/>
  <c r="E218" i="21"/>
  <c r="D234" i="7"/>
  <c r="AK233" i="6"/>
  <c r="AK13" i="6"/>
  <c r="AK283" i="6"/>
  <c r="AK49" i="6"/>
  <c r="AK93" i="6"/>
  <c r="AK129" i="6"/>
  <c r="AK255" i="6"/>
  <c r="AK309" i="6"/>
  <c r="AK337" i="6"/>
  <c r="AK31" i="6"/>
  <c r="AK183" i="6"/>
  <c r="AK111" i="6"/>
  <c r="AK157" i="6"/>
  <c r="AK75" i="6"/>
  <c r="AK39" i="6"/>
  <c r="AK121" i="6"/>
  <c r="AK327" i="6"/>
  <c r="AK193" i="6"/>
  <c r="AK139" i="6"/>
  <c r="AK355" i="6"/>
  <c r="AK273" i="6"/>
  <c r="AK165" i="6"/>
  <c r="AK219" i="6"/>
  <c r="AK237" i="6"/>
  <c r="AK265" i="6"/>
  <c r="AK85" i="6"/>
  <c r="AK229" i="6"/>
  <c r="AK301" i="6"/>
  <c r="AK291" i="6"/>
  <c r="AK211" i="6"/>
  <c r="AK363" i="6"/>
  <c r="AH23" i="6"/>
  <c r="G55" i="6"/>
  <c r="E56" i="7" s="1"/>
  <c r="T49" i="6"/>
  <c r="H297" i="6"/>
  <c r="AH145" i="6"/>
  <c r="AH137" i="6"/>
  <c r="G113" i="6"/>
  <c r="H113" i="6"/>
  <c r="T257" i="6"/>
  <c r="T249" i="6"/>
  <c r="H279" i="6"/>
  <c r="G279" i="6"/>
  <c r="H311" i="6"/>
  <c r="T72" i="6"/>
  <c r="T64" i="6"/>
  <c r="G262" i="6"/>
  <c r="H262" i="6"/>
  <c r="AH21" i="6"/>
  <c r="AH13" i="6"/>
  <c r="G35" i="6"/>
  <c r="AK12" i="6"/>
  <c r="AK192" i="6"/>
  <c r="AK236" i="6"/>
  <c r="AK128" i="6"/>
  <c r="AK92" i="6"/>
  <c r="AK146" i="6"/>
  <c r="AK74" i="6"/>
  <c r="AK318" i="6"/>
  <c r="AK300" i="6"/>
  <c r="AK308" i="6"/>
  <c r="AK275" i="6"/>
  <c r="AK77" i="6"/>
  <c r="AK87" i="6"/>
  <c r="AK231" i="6"/>
  <c r="AK113" i="6"/>
  <c r="AK15" i="6"/>
  <c r="AK131" i="6"/>
  <c r="AK105" i="6"/>
  <c r="AK123" i="6"/>
  <c r="AK329" i="6"/>
  <c r="AK357" i="6"/>
  <c r="AK195" i="6"/>
  <c r="E15" i="7"/>
  <c r="H305" i="6"/>
  <c r="G305" i="6"/>
  <c r="T145" i="6"/>
  <c r="H19" i="6"/>
  <c r="G19" i="6"/>
  <c r="T84" i="6"/>
  <c r="T199" i="6"/>
  <c r="T191" i="6"/>
  <c r="AK164" i="6"/>
  <c r="AK66" i="6"/>
  <c r="AK156" i="6"/>
  <c r="AK48" i="6"/>
  <c r="AK110" i="6"/>
  <c r="AK326" i="6"/>
  <c r="AK336" i="6"/>
  <c r="AK228" i="6"/>
  <c r="AK272" i="6"/>
  <c r="AK182" i="6"/>
  <c r="G217" i="6"/>
  <c r="AH100" i="6"/>
  <c r="T73" i="6"/>
  <c r="AH94" i="6"/>
  <c r="AH86" i="6"/>
  <c r="H86" i="6"/>
  <c r="G86" i="6"/>
  <c r="T360" i="6"/>
  <c r="G203" i="6"/>
  <c r="G254" i="6"/>
  <c r="H84" i="6"/>
  <c r="H129" i="6"/>
  <c r="G92" i="6"/>
  <c r="T30" i="6"/>
  <c r="T303" i="6"/>
  <c r="AF165" i="6"/>
  <c r="L157" i="6"/>
  <c r="L9" i="6"/>
  <c r="AH9" i="6" s="1"/>
  <c r="AM9" i="6"/>
  <c r="AF9" i="6"/>
  <c r="AH68" i="6"/>
  <c r="AH76" i="6"/>
  <c r="AH146" i="6"/>
  <c r="AH138" i="6"/>
  <c r="G20" i="6"/>
  <c r="H20" i="6"/>
  <c r="AH298" i="6"/>
  <c r="AH306" i="6"/>
  <c r="T336" i="6"/>
  <c r="T344" i="6"/>
  <c r="R167" i="6"/>
  <c r="K159" i="6"/>
  <c r="R166" i="6"/>
  <c r="Y167" i="6"/>
  <c r="AF54" i="6"/>
  <c r="L46" i="6"/>
  <c r="Y72" i="6"/>
  <c r="R95" i="6"/>
  <c r="R100" i="6"/>
  <c r="R101" i="6"/>
  <c r="R102" i="6"/>
  <c r="Y102" i="6"/>
  <c r="K103" i="6"/>
  <c r="R103" i="6"/>
  <c r="R38" i="6"/>
  <c r="AF38" i="6"/>
  <c r="AM38" i="6"/>
  <c r="AF37" i="6"/>
  <c r="AF41" i="6"/>
  <c r="L33" i="6"/>
  <c r="AF213" i="6"/>
  <c r="AF212" i="6"/>
  <c r="E202" i="21"/>
  <c r="D215" i="7"/>
  <c r="R217" i="6"/>
  <c r="R216" i="6"/>
  <c r="AM218" i="6"/>
  <c r="AF218" i="6"/>
  <c r="AF217" i="6"/>
  <c r="K211" i="6"/>
  <c r="L212" i="6"/>
  <c r="AF220" i="6"/>
  <c r="AF219" i="6"/>
  <c r="AH90" i="6"/>
  <c r="L84" i="6"/>
  <c r="Y90" i="6"/>
  <c r="R21" i="6"/>
  <c r="R20" i="6"/>
  <c r="Y21" i="6"/>
  <c r="AF19" i="6"/>
  <c r="E44" i="21"/>
  <c r="D50" i="7"/>
  <c r="E95" i="21"/>
  <c r="D110" i="7"/>
  <c r="E148" i="21"/>
  <c r="D172" i="7"/>
  <c r="E151" i="21"/>
  <c r="D175" i="7"/>
  <c r="E153" i="21"/>
  <c r="D177" i="7"/>
  <c r="AF154" i="6"/>
  <c r="R157" i="6"/>
  <c r="Y157" i="6"/>
  <c r="R156" i="6"/>
  <c r="K158" i="6"/>
  <c r="R158" i="6"/>
  <c r="AF177" i="6"/>
  <c r="L177" i="6"/>
  <c r="AF176" i="6"/>
  <c r="R179" i="6"/>
  <c r="K171" i="6"/>
  <c r="D396" i="7"/>
  <c r="E168" i="21"/>
  <c r="L172" i="6"/>
  <c r="AM180" i="6"/>
  <c r="D398" i="7"/>
  <c r="E170" i="21"/>
  <c r="AM182" i="6"/>
  <c r="R183" i="6"/>
  <c r="D400" i="7"/>
  <c r="E172" i="21"/>
  <c r="AF183" i="6"/>
  <c r="R203" i="6"/>
  <c r="Y203" i="6"/>
  <c r="R202" i="6"/>
  <c r="K207" i="6"/>
  <c r="T215" i="6" s="1"/>
  <c r="Y165" i="6"/>
  <c r="Y58" i="6"/>
  <c r="AF112" i="6"/>
  <c r="AM112" i="6"/>
  <c r="AF113" i="6"/>
  <c r="E84" i="21"/>
  <c r="D96" i="7"/>
  <c r="AF77" i="6"/>
  <c r="AF122" i="6"/>
  <c r="E76" i="21"/>
  <c r="D88" i="7"/>
  <c r="E130" i="21"/>
  <c r="D151" i="7"/>
  <c r="R195" i="6"/>
  <c r="K195" i="6"/>
  <c r="E188" i="21"/>
  <c r="D198" i="7"/>
  <c r="E216" i="21"/>
  <c r="D232" i="7"/>
  <c r="R249" i="6"/>
  <c r="L85" i="6"/>
  <c r="Y147" i="6"/>
  <c r="L65" i="6"/>
  <c r="AM107" i="6"/>
  <c r="K81" i="6"/>
  <c r="U89" i="6"/>
  <c r="AM109" i="6"/>
  <c r="AM94" i="6"/>
  <c r="L66" i="6"/>
  <c r="K67" i="6"/>
  <c r="R69" i="6"/>
  <c r="D71" i="7"/>
  <c r="E62" i="21"/>
  <c r="D78" i="7"/>
  <c r="E96" i="21"/>
  <c r="D111" i="7"/>
  <c r="AM158" i="6"/>
  <c r="AF162" i="6"/>
  <c r="R171" i="6"/>
  <c r="D388" i="7"/>
  <c r="E160" i="21"/>
  <c r="R172" i="6"/>
  <c r="D390" i="7"/>
  <c r="E162" i="21"/>
  <c r="R174" i="6"/>
  <c r="D392" i="7"/>
  <c r="E164" i="21"/>
  <c r="E213" i="21"/>
  <c r="D229" i="7"/>
  <c r="Y248" i="6"/>
  <c r="K63" i="6"/>
  <c r="L156" i="6"/>
  <c r="Y110" i="6"/>
  <c r="Y109" i="6"/>
  <c r="AF105" i="6"/>
  <c r="AF127" i="6"/>
  <c r="E93" i="21"/>
  <c r="D108" i="7"/>
  <c r="AF185" i="6"/>
  <c r="E185" i="21"/>
  <c r="D195" i="7"/>
  <c r="AF198" i="6"/>
  <c r="E199" i="21"/>
  <c r="D212" i="7"/>
  <c r="D240" i="7"/>
  <c r="E224" i="21"/>
  <c r="R159" i="6"/>
  <c r="D395" i="7"/>
  <c r="E167" i="21"/>
  <c r="D397" i="7"/>
  <c r="E169" i="21"/>
  <c r="D399" i="7"/>
  <c r="E171" i="21"/>
  <c r="D401" i="7"/>
  <c r="E173" i="21"/>
  <c r="Y189" i="6"/>
  <c r="AF195" i="6"/>
  <c r="D196" i="7"/>
  <c r="R365" i="6"/>
  <c r="D387" i="7"/>
  <c r="E159" i="21"/>
  <c r="D389" i="7"/>
  <c r="E161" i="21"/>
  <c r="D391" i="7"/>
  <c r="E163" i="21"/>
  <c r="D393" i="7"/>
  <c r="E165" i="21"/>
  <c r="D259" i="7"/>
  <c r="D271" i="7"/>
  <c r="D278" i="7"/>
  <c r="AF293" i="6"/>
  <c r="R303" i="6"/>
  <c r="R311" i="6"/>
  <c r="D332" i="7"/>
  <c r="AF339" i="6"/>
  <c r="E318" i="7"/>
  <c r="T324" i="6"/>
  <c r="T316" i="6"/>
  <c r="AH326" i="6"/>
  <c r="AH318" i="6"/>
  <c r="AH333" i="6"/>
  <c r="AH341" i="6"/>
  <c r="T198" i="6"/>
  <c r="T190" i="6"/>
  <c r="B36" i="6"/>
  <c r="B33" i="6"/>
  <c r="B40" i="6"/>
  <c r="B28" i="6"/>
  <c r="B37" i="6"/>
  <c r="B30" i="6"/>
  <c r="B31" i="6"/>
  <c r="B41" i="6"/>
  <c r="B39" i="6"/>
  <c r="H309" i="6"/>
  <c r="G27" i="6"/>
  <c r="B317" i="6"/>
  <c r="AH324" i="6"/>
  <c r="B32" i="6"/>
  <c r="AG90" i="6"/>
  <c r="B319" i="6"/>
  <c r="H319" i="6"/>
  <c r="G119" i="6"/>
  <c r="T225" i="6"/>
  <c r="T233" i="6"/>
  <c r="B190" i="6"/>
  <c r="B200" i="6"/>
  <c r="B189" i="6"/>
  <c r="B202" i="6"/>
  <c r="G202" i="6" s="1"/>
  <c r="E199" i="7" s="1"/>
  <c r="B192" i="6"/>
  <c r="B195" i="6"/>
  <c r="B193" i="6"/>
  <c r="B199" i="6"/>
  <c r="H199" i="6" s="1"/>
  <c r="B191" i="6"/>
  <c r="B197" i="6"/>
  <c r="AH191" i="6"/>
  <c r="AH199" i="6"/>
  <c r="B144" i="6"/>
  <c r="B137" i="6"/>
  <c r="B146" i="6"/>
  <c r="B139" i="6"/>
  <c r="G139" i="6" s="1"/>
  <c r="B141" i="6"/>
  <c r="B147" i="6"/>
  <c r="B138" i="6"/>
  <c r="B148" i="6"/>
  <c r="G148" i="6" s="1"/>
  <c r="B136" i="6"/>
  <c r="B149" i="6"/>
  <c r="B140" i="6"/>
  <c r="B143" i="6"/>
  <c r="H143" i="6" s="1"/>
  <c r="B145" i="6"/>
  <c r="B135" i="6"/>
  <c r="G93" i="6"/>
  <c r="U93" i="6"/>
  <c r="H93" i="6"/>
  <c r="G111" i="6"/>
  <c r="H111" i="6"/>
  <c r="T77" i="6"/>
  <c r="T69" i="6"/>
  <c r="T334" i="6"/>
  <c r="T342" i="6"/>
  <c r="H109" i="6"/>
  <c r="G109" i="6"/>
  <c r="AH290" i="6"/>
  <c r="AH282" i="6"/>
  <c r="AH364" i="6"/>
  <c r="U342" i="6"/>
  <c r="G23" i="6"/>
  <c r="AH12" i="6"/>
  <c r="T236" i="6"/>
  <c r="T40" i="6"/>
  <c r="T32" i="6"/>
  <c r="H307" i="6"/>
  <c r="G307" i="6"/>
  <c r="E316" i="7"/>
  <c r="AH338" i="6"/>
  <c r="AH346" i="6"/>
  <c r="H99" i="6"/>
  <c r="G99" i="6"/>
  <c r="T288" i="6"/>
  <c r="T280" i="6"/>
  <c r="AH287" i="6"/>
  <c r="AH279" i="6"/>
  <c r="AH57" i="6"/>
  <c r="AH49" i="6"/>
  <c r="G131" i="6"/>
  <c r="E267" i="7"/>
  <c r="U311" i="6"/>
  <c r="T238" i="6"/>
  <c r="T53" i="6"/>
  <c r="AH345" i="6"/>
  <c r="AH337" i="6"/>
  <c r="T300" i="6"/>
  <c r="T308" i="6"/>
  <c r="T290" i="6"/>
  <c r="T282" i="6"/>
  <c r="T9" i="6"/>
  <c r="T17" i="6"/>
  <c r="AH219" i="6"/>
  <c r="AH211" i="6"/>
  <c r="AH347" i="6"/>
  <c r="AH339" i="6"/>
  <c r="T226" i="6"/>
  <c r="T234" i="6"/>
  <c r="G162" i="6"/>
  <c r="U162" i="6"/>
  <c r="AH328" i="6"/>
  <c r="AH320" i="6"/>
  <c r="T359" i="6"/>
  <c r="T351" i="6"/>
  <c r="T297" i="6"/>
  <c r="T305" i="6"/>
  <c r="T356" i="6"/>
  <c r="T364" i="6"/>
  <c r="AH353" i="6"/>
  <c r="AH361" i="6"/>
  <c r="AH55" i="6"/>
  <c r="AH47" i="6"/>
  <c r="G194" i="6"/>
  <c r="H194" i="6"/>
  <c r="F191" i="7"/>
  <c r="L191" i="7" s="1"/>
  <c r="L18" i="19" s="1"/>
  <c r="AH238" i="6"/>
  <c r="AH230" i="6"/>
  <c r="H125" i="6"/>
  <c r="G125" i="6"/>
  <c r="G13" i="6"/>
  <c r="B227" i="6"/>
  <c r="H227" i="6" s="1"/>
  <c r="U91" i="6"/>
  <c r="T333" i="6"/>
  <c r="T341" i="6"/>
  <c r="T337" i="6"/>
  <c r="T345" i="6"/>
  <c r="H270" i="6"/>
  <c r="G270" i="6"/>
  <c r="AH357" i="6"/>
  <c r="AH365" i="6"/>
  <c r="AH280" i="6"/>
  <c r="AH288" i="6"/>
  <c r="AH103" i="6"/>
  <c r="T302" i="6"/>
  <c r="T310" i="6"/>
  <c r="B324" i="6"/>
  <c r="G324" i="6" s="1"/>
  <c r="B323" i="6"/>
  <c r="B329" i="6"/>
  <c r="B315" i="6"/>
  <c r="B325" i="6"/>
  <c r="H325" i="6" s="1"/>
  <c r="B321" i="6"/>
  <c r="B318" i="6"/>
  <c r="B328" i="6"/>
  <c r="B326" i="6"/>
  <c r="H326" i="6" s="1"/>
  <c r="G11" i="6"/>
  <c r="T255" i="6"/>
  <c r="T247" i="6"/>
  <c r="T184" i="6"/>
  <c r="T176" i="6"/>
  <c r="AH184" i="6"/>
  <c r="AH176" i="6"/>
  <c r="T343" i="6"/>
  <c r="T335" i="6"/>
  <c r="T130" i="6"/>
  <c r="T122" i="6"/>
  <c r="G319" i="6"/>
  <c r="B233" i="6"/>
  <c r="T231" i="6"/>
  <c r="B234" i="6"/>
  <c r="G234" i="6" s="1"/>
  <c r="AH335" i="6"/>
  <c r="H221" i="6"/>
  <c r="T266" i="6"/>
  <c r="T274" i="6"/>
  <c r="H271" i="6"/>
  <c r="G271" i="6"/>
  <c r="AH229" i="6"/>
  <c r="AH237" i="6"/>
  <c r="T104" i="6"/>
  <c r="T112" i="6"/>
  <c r="T264" i="6"/>
  <c r="T272" i="6"/>
  <c r="AH244" i="6"/>
  <c r="AH252" i="6"/>
  <c r="G166" i="6"/>
  <c r="H166" i="6"/>
  <c r="T253" i="6"/>
  <c r="T245" i="6"/>
  <c r="B46" i="6"/>
  <c r="G46" i="6" s="1"/>
  <c r="B58" i="6"/>
  <c r="T36" i="6"/>
  <c r="T28" i="6"/>
  <c r="G122" i="6"/>
  <c r="H122" i="6"/>
  <c r="B229" i="6"/>
  <c r="G229" i="6"/>
  <c r="E356" i="7"/>
  <c r="G22" i="6"/>
  <c r="E19" i="7"/>
  <c r="H22" i="6"/>
  <c r="T319" i="6"/>
  <c r="T327" i="6"/>
  <c r="T269" i="6"/>
  <c r="T261" i="6"/>
  <c r="H29" i="6"/>
  <c r="G29" i="6"/>
  <c r="G198" i="6"/>
  <c r="H198" i="6"/>
  <c r="T154" i="6"/>
  <c r="T162" i="6"/>
  <c r="AH162" i="6"/>
  <c r="AH154" i="6"/>
  <c r="AH29" i="6"/>
  <c r="AH37" i="6"/>
  <c r="AH248" i="6"/>
  <c r="AH256" i="6"/>
  <c r="AH123" i="6"/>
  <c r="AH131" i="6"/>
  <c r="F140" i="7"/>
  <c r="L140" i="7" s="1"/>
  <c r="AH354" i="6"/>
  <c r="AH362" i="6"/>
  <c r="T338" i="6"/>
  <c r="T346" i="6"/>
  <c r="G14" i="6"/>
  <c r="H14" i="6"/>
  <c r="T270" i="6"/>
  <c r="T262" i="6"/>
  <c r="H344" i="6"/>
  <c r="G344" i="6"/>
  <c r="E357" i="7" s="1"/>
  <c r="H343" i="6"/>
  <c r="T177" i="6"/>
  <c r="T185" i="6"/>
  <c r="H101" i="6"/>
  <c r="G101" i="6"/>
  <c r="H112" i="6"/>
  <c r="G112" i="6"/>
  <c r="E119" i="7"/>
  <c r="AH329" i="6"/>
  <c r="AH321" i="6"/>
  <c r="T283" i="6"/>
  <c r="T291" i="6"/>
  <c r="H105" i="6"/>
  <c r="G105" i="6"/>
  <c r="AH69" i="6"/>
  <c r="AH77" i="6"/>
  <c r="AH30" i="6"/>
  <c r="AH38" i="6"/>
  <c r="AH10" i="6"/>
  <c r="AH18" i="6"/>
  <c r="AH181" i="6"/>
  <c r="AH173" i="6"/>
  <c r="AH171" i="6"/>
  <c r="AH179" i="6"/>
  <c r="AH50" i="6"/>
  <c r="AH58" i="6"/>
  <c r="T248" i="6"/>
  <c r="T256" i="6"/>
  <c r="AH253" i="6"/>
  <c r="AH245" i="6"/>
  <c r="H229" i="6"/>
  <c r="AH22" i="6"/>
  <c r="T301" i="6"/>
  <c r="G56" i="6"/>
  <c r="T54" i="6"/>
  <c r="B228" i="6"/>
  <c r="AH299" i="6"/>
  <c r="G54" i="6"/>
  <c r="T129" i="6"/>
  <c r="T121" i="6"/>
  <c r="T108" i="6"/>
  <c r="T100" i="6"/>
  <c r="H102" i="6"/>
  <c r="G102" i="6"/>
  <c r="T33" i="6"/>
  <c r="T41" i="6"/>
  <c r="T14" i="6"/>
  <c r="T22" i="6"/>
  <c r="AH360" i="6"/>
  <c r="AH352" i="6"/>
  <c r="AH327" i="6"/>
  <c r="AH319" i="6"/>
  <c r="AH292" i="6"/>
  <c r="AH284" i="6"/>
  <c r="AH344" i="6"/>
  <c r="AH336" i="6"/>
  <c r="AH87" i="6"/>
  <c r="AH95" i="6"/>
  <c r="H9" i="6"/>
  <c r="G9" i="6"/>
  <c r="AH35" i="6"/>
  <c r="AH27" i="6"/>
  <c r="T48" i="6"/>
  <c r="T56" i="6"/>
  <c r="AH234" i="6"/>
  <c r="AH226" i="6"/>
  <c r="T175" i="6"/>
  <c r="T183" i="6"/>
  <c r="T181" i="6"/>
  <c r="T173" i="6"/>
  <c r="T127" i="6"/>
  <c r="T119" i="6"/>
  <c r="AH271" i="6"/>
  <c r="AH263" i="6"/>
  <c r="AH249" i="6"/>
  <c r="AH257" i="6"/>
  <c r="G334" i="6"/>
  <c r="H334" i="6"/>
  <c r="AH197" i="6"/>
  <c r="AH189" i="6"/>
  <c r="AH208" i="6"/>
  <c r="AH32" i="6"/>
  <c r="AH40" i="6"/>
  <c r="T254" i="6"/>
  <c r="T246" i="6"/>
  <c r="G345" i="6"/>
  <c r="U345" i="6" s="1"/>
  <c r="H345" i="6"/>
  <c r="F358" i="7" s="1"/>
  <c r="L358" i="7" s="1"/>
  <c r="T275" i="6"/>
  <c r="T267" i="6"/>
  <c r="AH231" i="6"/>
  <c r="AH239" i="6"/>
  <c r="T220" i="6"/>
  <c r="T212" i="6"/>
  <c r="T210" i="6"/>
  <c r="T218" i="6"/>
  <c r="T217" i="6"/>
  <c r="T209" i="6"/>
  <c r="T31" i="6"/>
  <c r="T39" i="6"/>
  <c r="B236" i="6"/>
  <c r="H236" i="6" s="1"/>
  <c r="B225" i="6"/>
  <c r="B226" i="6"/>
  <c r="B235" i="6"/>
  <c r="G235" i="6" s="1"/>
  <c r="E236" i="7" s="1"/>
  <c r="AH63" i="6"/>
  <c r="AH71" i="6"/>
  <c r="G263" i="6"/>
  <c r="H263" i="6"/>
  <c r="G261" i="6"/>
  <c r="E266" i="7"/>
  <c r="H261" i="6"/>
  <c r="AH251" i="6"/>
  <c r="AH243" i="6"/>
  <c r="G339" i="6"/>
  <c r="H339" i="6"/>
  <c r="U90" i="6"/>
  <c r="E95" i="7"/>
  <c r="E272" i="7"/>
  <c r="G38" i="6"/>
  <c r="U38" i="6"/>
  <c r="E37" i="7"/>
  <c r="H163" i="6"/>
  <c r="E290" i="7"/>
  <c r="B237" i="6"/>
  <c r="H237" i="6" s="1"/>
  <c r="B231" i="6"/>
  <c r="H231" i="6"/>
  <c r="AH307" i="6"/>
  <c r="T363" i="6"/>
  <c r="T355" i="6"/>
  <c r="T328" i="6"/>
  <c r="T320" i="6"/>
  <c r="T298" i="6"/>
  <c r="T306" i="6"/>
  <c r="T208" i="6"/>
  <c r="T216" i="6"/>
  <c r="T213" i="6"/>
  <c r="T221" i="6"/>
  <c r="AH210" i="6"/>
  <c r="AH218" i="6"/>
  <c r="T347" i="6"/>
  <c r="T339" i="6"/>
  <c r="T91" i="6"/>
  <c r="T83" i="6"/>
  <c r="T164" i="6"/>
  <c r="T156" i="6"/>
  <c r="T235" i="6"/>
  <c r="T227" i="6"/>
  <c r="AH183" i="6"/>
  <c r="AH175" i="6"/>
  <c r="T174" i="6"/>
  <c r="T182" i="6"/>
  <c r="AH167" i="6"/>
  <c r="AH159" i="6"/>
  <c r="T120" i="6"/>
  <c r="T128" i="6"/>
  <c r="H338" i="6"/>
  <c r="G338" i="6"/>
  <c r="U338" i="6"/>
  <c r="AH269" i="6"/>
  <c r="AH261" i="6"/>
  <c r="T252" i="6"/>
  <c r="T244" i="6"/>
  <c r="H335" i="6"/>
  <c r="G335" i="6"/>
  <c r="U335" i="6"/>
  <c r="G341" i="6"/>
  <c r="H341" i="6"/>
  <c r="E88" i="7"/>
  <c r="H159" i="6"/>
  <c r="G159" i="6"/>
  <c r="U159" i="6"/>
  <c r="H220" i="6"/>
  <c r="G220" i="6"/>
  <c r="E219" i="7" s="1"/>
  <c r="H211" i="6"/>
  <c r="G211" i="6"/>
  <c r="AH355" i="6"/>
  <c r="AH363" i="6"/>
  <c r="T74" i="6"/>
  <c r="T66" i="6"/>
  <c r="T35" i="6"/>
  <c r="T27" i="6"/>
  <c r="AH89" i="6"/>
  <c r="AH81" i="6"/>
  <c r="G320" i="6"/>
  <c r="AH11" i="6"/>
  <c r="AH19" i="6"/>
  <c r="F99" i="7"/>
  <c r="L99" i="7" s="1"/>
  <c r="AI94" i="6"/>
  <c r="AG94" i="6"/>
  <c r="G47" i="6"/>
  <c r="H47" i="6"/>
  <c r="H59" i="6"/>
  <c r="G59" i="6"/>
  <c r="G161" i="6"/>
  <c r="H161" i="6"/>
  <c r="U127" i="6"/>
  <c r="Z127" i="6" s="1"/>
  <c r="E136" i="7"/>
  <c r="G165" i="6"/>
  <c r="E178" i="7"/>
  <c r="H165" i="6"/>
  <c r="H257" i="6"/>
  <c r="AI257" i="6" s="1"/>
  <c r="G257" i="6"/>
  <c r="U257" i="6" s="1"/>
  <c r="G244" i="6"/>
  <c r="H244" i="6"/>
  <c r="G253" i="6"/>
  <c r="H253" i="6"/>
  <c r="T329" i="6"/>
  <c r="T321" i="6"/>
  <c r="AH317" i="6"/>
  <c r="AH325" i="6"/>
  <c r="T68" i="6"/>
  <c r="T76" i="6"/>
  <c r="AH311" i="6"/>
  <c r="AH303" i="6"/>
  <c r="T285" i="6"/>
  <c r="T293" i="6"/>
  <c r="H347" i="6"/>
  <c r="G347" i="6"/>
  <c r="E360" i="7" s="1"/>
  <c r="U309" i="6"/>
  <c r="H239" i="6"/>
  <c r="G239" i="6"/>
  <c r="H238" i="6"/>
  <c r="G238" i="6"/>
  <c r="H53" i="6"/>
  <c r="G53" i="6"/>
  <c r="E54" i="7"/>
  <c r="G48" i="6"/>
  <c r="E49" i="7"/>
  <c r="H48" i="6"/>
  <c r="H256" i="6"/>
  <c r="AG256" i="6"/>
  <c r="G256" i="6"/>
  <c r="H252" i="6"/>
  <c r="G252" i="6"/>
  <c r="H248" i="6"/>
  <c r="G248" i="6"/>
  <c r="H156" i="6"/>
  <c r="G156" i="6"/>
  <c r="G218" i="6"/>
  <c r="E217" i="7"/>
  <c r="H218" i="6"/>
  <c r="H213" i="6"/>
  <c r="G213" i="6"/>
  <c r="E212" i="7"/>
  <c r="T180" i="6"/>
  <c r="AH182" i="6"/>
  <c r="AH174" i="6"/>
  <c r="T362" i="6"/>
  <c r="T354" i="6"/>
  <c r="AH315" i="6"/>
  <c r="AH323" i="6"/>
  <c r="T265" i="6"/>
  <c r="T273" i="6"/>
  <c r="G265" i="6"/>
  <c r="H265" i="6"/>
  <c r="AH194" i="6"/>
  <c r="AH202" i="6"/>
  <c r="AH153" i="6"/>
  <c r="AH161" i="6"/>
  <c r="B352" i="6"/>
  <c r="H352" i="6" s="1"/>
  <c r="B354" i="6"/>
  <c r="B364" i="6"/>
  <c r="B362" i="6"/>
  <c r="B365" i="6"/>
  <c r="G365" i="6" s="1"/>
  <c r="U365" i="6" s="1"/>
  <c r="B355" i="6"/>
  <c r="B359" i="6"/>
  <c r="B363" i="6"/>
  <c r="B351" i="6"/>
  <c r="H351" i="6" s="1"/>
  <c r="B357" i="6"/>
  <c r="B361" i="6"/>
  <c r="T325" i="6"/>
  <c r="T323" i="6"/>
  <c r="T315" i="6"/>
  <c r="G316" i="6"/>
  <c r="U316" i="6"/>
  <c r="H316" i="6"/>
  <c r="T155" i="6"/>
  <c r="T163" i="6"/>
  <c r="T148" i="6"/>
  <c r="AI272" i="6"/>
  <c r="G346" i="6"/>
  <c r="H346" i="6"/>
  <c r="G167" i="6"/>
  <c r="U167" i="6" s="1"/>
  <c r="H167" i="6"/>
  <c r="G49" i="6"/>
  <c r="U49" i="6" s="1"/>
  <c r="H49" i="6"/>
  <c r="AG49" i="6"/>
  <c r="H228" i="6"/>
  <c r="G228" i="6"/>
  <c r="H230" i="6"/>
  <c r="G230" i="6"/>
  <c r="U230" i="6" s="1"/>
  <c r="G45" i="6"/>
  <c r="H45" i="6"/>
  <c r="AG45" i="6" s="1"/>
  <c r="H51" i="6"/>
  <c r="G51" i="6"/>
  <c r="G246" i="6"/>
  <c r="H243" i="6"/>
  <c r="U128" i="6"/>
  <c r="E137" i="7"/>
  <c r="G164" i="6"/>
  <c r="E177" i="7"/>
  <c r="H164" i="6"/>
  <c r="F177" i="7" s="1"/>
  <c r="L177" i="7" s="1"/>
  <c r="G157" i="6"/>
  <c r="E170" i="7" s="1"/>
  <c r="H157" i="6"/>
  <c r="G154" i="6"/>
  <c r="U154" i="6" s="1"/>
  <c r="H154" i="6"/>
  <c r="H210" i="6"/>
  <c r="G210" i="6"/>
  <c r="H207" i="6"/>
  <c r="G207" i="6"/>
  <c r="AH351" i="6"/>
  <c r="AH359" i="6"/>
  <c r="G266" i="6"/>
  <c r="U266" i="6" s="1"/>
  <c r="H266" i="6"/>
  <c r="B65" i="6"/>
  <c r="B71" i="6"/>
  <c r="B72" i="6"/>
  <c r="B75" i="6"/>
  <c r="B77" i="6"/>
  <c r="B73" i="6"/>
  <c r="B64" i="6"/>
  <c r="B69" i="6"/>
  <c r="B68" i="6"/>
  <c r="B63" i="6"/>
  <c r="B66" i="6"/>
  <c r="B74" i="6"/>
  <c r="B76" i="6"/>
  <c r="H317" i="6"/>
  <c r="G317" i="6"/>
  <c r="G212" i="6"/>
  <c r="H212" i="6"/>
  <c r="H57" i="6"/>
  <c r="E58" i="7"/>
  <c r="G50" i="6"/>
  <c r="H249" i="6"/>
  <c r="G249" i="6"/>
  <c r="G255" i="6"/>
  <c r="H255" i="6"/>
  <c r="H209" i="6"/>
  <c r="G209" i="6"/>
  <c r="G155" i="6"/>
  <c r="H155" i="6"/>
  <c r="G153" i="6"/>
  <c r="H153" i="6"/>
  <c r="G215" i="6"/>
  <c r="T207" i="6"/>
  <c r="T103" i="6"/>
  <c r="T111" i="6"/>
  <c r="AH221" i="6"/>
  <c r="AH213" i="6"/>
  <c r="T219" i="6"/>
  <c r="T211" i="6"/>
  <c r="U261" i="6"/>
  <c r="U18" i="6"/>
  <c r="E206" i="7"/>
  <c r="AH233" i="6"/>
  <c r="AH225" i="6"/>
  <c r="T47" i="6"/>
  <c r="T55" i="6"/>
  <c r="T63" i="6"/>
  <c r="T71" i="6"/>
  <c r="AH65" i="6"/>
  <c r="AH73" i="6"/>
  <c r="T159" i="6"/>
  <c r="T167" i="6"/>
  <c r="T67" i="6"/>
  <c r="T75" i="6"/>
  <c r="T89" i="6"/>
  <c r="T81" i="6"/>
  <c r="AH92" i="6"/>
  <c r="AH84" i="6"/>
  <c r="AH156" i="6"/>
  <c r="AH164" i="6"/>
  <c r="AH66" i="6"/>
  <c r="AH74" i="6"/>
  <c r="AH93" i="6"/>
  <c r="AH85" i="6"/>
  <c r="AH180" i="6"/>
  <c r="AH172" i="6"/>
  <c r="AH220" i="6"/>
  <c r="AH212" i="6"/>
  <c r="AH17" i="6"/>
  <c r="AI86" i="6"/>
  <c r="U247" i="6"/>
  <c r="U303" i="6"/>
  <c r="AH121" i="6"/>
  <c r="AH129" i="6"/>
  <c r="AH148" i="6"/>
  <c r="AH140" i="6"/>
  <c r="T131" i="6"/>
  <c r="H67" i="6"/>
  <c r="F70" i="7" s="1"/>
  <c r="L70" i="7" s="1"/>
  <c r="G67" i="6"/>
  <c r="E70" i="7"/>
  <c r="T125" i="6"/>
  <c r="T117" i="6"/>
  <c r="AH54" i="6"/>
  <c r="AH46" i="6"/>
  <c r="G21" i="6"/>
  <c r="T126" i="6"/>
  <c r="T118" i="6"/>
  <c r="U118" i="6"/>
  <c r="U55" i="6"/>
  <c r="T179" i="6"/>
  <c r="T171" i="6"/>
  <c r="AH177" i="6"/>
  <c r="AH185" i="6"/>
  <c r="T158" i="6"/>
  <c r="T166" i="6"/>
  <c r="AH41" i="6"/>
  <c r="AH33" i="6"/>
  <c r="AH165" i="6"/>
  <c r="AH157" i="6"/>
  <c r="U267" i="6"/>
  <c r="E320" i="7"/>
  <c r="U279" i="6"/>
  <c r="E286" i="7"/>
  <c r="U158" i="6"/>
  <c r="AH130" i="6"/>
  <c r="AH122" i="6"/>
  <c r="T229" i="6"/>
  <c r="U213" i="6"/>
  <c r="H135" i="6"/>
  <c r="G135" i="6"/>
  <c r="H149" i="6"/>
  <c r="G149" i="6"/>
  <c r="G147" i="6"/>
  <c r="H147" i="6"/>
  <c r="H137" i="6"/>
  <c r="G137" i="6"/>
  <c r="G197" i="6"/>
  <c r="H197" i="6"/>
  <c r="H195" i="6"/>
  <c r="G195" i="6"/>
  <c r="H200" i="6"/>
  <c r="G200" i="6"/>
  <c r="G32" i="6"/>
  <c r="H32" i="6"/>
  <c r="H41" i="6"/>
  <c r="G41" i="6"/>
  <c r="U41" i="6"/>
  <c r="H28" i="6"/>
  <c r="G28" i="6"/>
  <c r="U28" i="6"/>
  <c r="G233" i="6"/>
  <c r="H233" i="6"/>
  <c r="G227" i="6"/>
  <c r="G145" i="6"/>
  <c r="U145" i="6"/>
  <c r="H145" i="6"/>
  <c r="G136" i="6"/>
  <c r="H136" i="6"/>
  <c r="G141" i="6"/>
  <c r="H141" i="6"/>
  <c r="F152" i="7"/>
  <c r="L152" i="7" s="1"/>
  <c r="G144" i="6"/>
  <c r="H144" i="6"/>
  <c r="G191" i="6"/>
  <c r="H191" i="6"/>
  <c r="H192" i="6"/>
  <c r="G192" i="6"/>
  <c r="H190" i="6"/>
  <c r="G190" i="6"/>
  <c r="E187" i="7"/>
  <c r="H31" i="6"/>
  <c r="G31" i="6"/>
  <c r="U31" i="6"/>
  <c r="G40" i="6"/>
  <c r="H40" i="6"/>
  <c r="U307" i="6"/>
  <c r="Z307" i="6" s="1"/>
  <c r="G143" i="6"/>
  <c r="H148" i="6"/>
  <c r="H139" i="6"/>
  <c r="G199" i="6"/>
  <c r="H202" i="6"/>
  <c r="H30" i="6"/>
  <c r="G30" i="6"/>
  <c r="G33" i="6"/>
  <c r="H33" i="6"/>
  <c r="G140" i="6"/>
  <c r="U140" i="6"/>
  <c r="H140" i="6"/>
  <c r="H138" i="6"/>
  <c r="G138" i="6"/>
  <c r="H146" i="6"/>
  <c r="G146" i="6"/>
  <c r="G193" i="6"/>
  <c r="H193" i="6"/>
  <c r="G189" i="6"/>
  <c r="U189" i="6" s="1"/>
  <c r="H189" i="6"/>
  <c r="AG189" i="6"/>
  <c r="G39" i="6"/>
  <c r="H39" i="6"/>
  <c r="G37" i="6"/>
  <c r="H37" i="6"/>
  <c r="H36" i="6"/>
  <c r="G36" i="6"/>
  <c r="AG194" i="6"/>
  <c r="AI194" i="6"/>
  <c r="U343" i="6"/>
  <c r="Z343" i="6" s="1"/>
  <c r="U22" i="6"/>
  <c r="G321" i="6"/>
  <c r="U321" i="6"/>
  <c r="H321" i="6"/>
  <c r="H323" i="6"/>
  <c r="G323" i="6"/>
  <c r="E334" i="7" s="1"/>
  <c r="G318" i="6"/>
  <c r="U318" i="6" s="1"/>
  <c r="H318" i="6"/>
  <c r="AG318" i="6"/>
  <c r="G329" i="6"/>
  <c r="U329" i="6" s="1"/>
  <c r="H329" i="6"/>
  <c r="U283" i="6"/>
  <c r="G58" i="6"/>
  <c r="H58" i="6"/>
  <c r="AG254" i="6"/>
  <c r="G326" i="6"/>
  <c r="G325" i="6"/>
  <c r="U325" i="6"/>
  <c r="H324" i="6"/>
  <c r="G231" i="6"/>
  <c r="E232" i="7"/>
  <c r="E47" i="7"/>
  <c r="H46" i="6"/>
  <c r="G328" i="6"/>
  <c r="H328" i="6"/>
  <c r="AG328" i="6"/>
  <c r="H315" i="6"/>
  <c r="G315" i="6"/>
  <c r="E348" i="7"/>
  <c r="G225" i="6"/>
  <c r="H225" i="6"/>
  <c r="E176" i="7"/>
  <c r="U163" i="6"/>
  <c r="Z163" i="6" s="1"/>
  <c r="G236" i="6"/>
  <c r="E358" i="7"/>
  <c r="U112" i="6"/>
  <c r="U344" i="6"/>
  <c r="AI131" i="6"/>
  <c r="AG131" i="6"/>
  <c r="E351" i="7"/>
  <c r="K22" i="19" s="1"/>
  <c r="H235" i="6"/>
  <c r="U83" i="6"/>
  <c r="U341" i="6"/>
  <c r="E354" i="7"/>
  <c r="G226" i="6"/>
  <c r="U226" i="6"/>
  <c r="H226" i="6"/>
  <c r="AG123" i="6"/>
  <c r="H364" i="6"/>
  <c r="G364" i="6"/>
  <c r="U364" i="6"/>
  <c r="H64" i="6"/>
  <c r="G64" i="6"/>
  <c r="U64" i="6"/>
  <c r="G72" i="6"/>
  <c r="H72" i="6"/>
  <c r="G355" i="6"/>
  <c r="U355" i="6" s="1"/>
  <c r="H355" i="6"/>
  <c r="E278" i="7"/>
  <c r="U273" i="6"/>
  <c r="F94" i="7"/>
  <c r="L94" i="7" s="1"/>
  <c r="AG89" i="6"/>
  <c r="AI89" i="6"/>
  <c r="U231" i="6"/>
  <c r="G66" i="6"/>
  <c r="H66" i="6"/>
  <c r="G351" i="6"/>
  <c r="U48" i="6"/>
  <c r="G63" i="6"/>
  <c r="E66" i="7" s="1"/>
  <c r="H63" i="6"/>
  <c r="G73" i="6"/>
  <c r="U73" i="6" s="1"/>
  <c r="H73" i="6"/>
  <c r="G71" i="6"/>
  <c r="E74" i="7" s="1"/>
  <c r="H71" i="6"/>
  <c r="U157" i="6"/>
  <c r="U228" i="6"/>
  <c r="E229" i="7"/>
  <c r="U248" i="6"/>
  <c r="E251" i="7"/>
  <c r="AG59" i="6"/>
  <c r="AI59" i="6"/>
  <c r="F60" i="7"/>
  <c r="L60" i="7" s="1"/>
  <c r="U220" i="6"/>
  <c r="U57" i="6"/>
  <c r="G76" i="6"/>
  <c r="E79" i="7" s="1"/>
  <c r="H76" i="6"/>
  <c r="G68" i="6"/>
  <c r="U68" i="6" s="1"/>
  <c r="H68" i="6"/>
  <c r="G77" i="6"/>
  <c r="H77" i="6"/>
  <c r="H65" i="6"/>
  <c r="G65" i="6"/>
  <c r="AG154" i="6"/>
  <c r="H361" i="6"/>
  <c r="G361" i="6"/>
  <c r="G363" i="6"/>
  <c r="H363" i="6"/>
  <c r="F378" i="7" s="1"/>
  <c r="L378" i="7" s="1"/>
  <c r="G354" i="6"/>
  <c r="U354" i="6"/>
  <c r="H354" i="6"/>
  <c r="U218" i="6"/>
  <c r="F259" i="7"/>
  <c r="L259" i="7" s="1"/>
  <c r="AI256" i="6"/>
  <c r="G74" i="6"/>
  <c r="H74" i="6"/>
  <c r="G69" i="6"/>
  <c r="H69" i="6"/>
  <c r="H75" i="6"/>
  <c r="G75" i="6"/>
  <c r="E78" i="7" s="1"/>
  <c r="E167" i="7"/>
  <c r="U164" i="6"/>
  <c r="U45" i="6"/>
  <c r="E46" i="7"/>
  <c r="E50" i="7"/>
  <c r="H357" i="6"/>
  <c r="G357" i="6"/>
  <c r="G359" i="6"/>
  <c r="E374" i="7" s="1"/>
  <c r="H359" i="6"/>
  <c r="G362" i="6"/>
  <c r="U362" i="6"/>
  <c r="H362" i="6"/>
  <c r="G352" i="6"/>
  <c r="E169" i="7"/>
  <c r="U156" i="6"/>
  <c r="U165" i="6"/>
  <c r="U32" i="6"/>
  <c r="E31" i="7"/>
  <c r="E16" i="19" s="1"/>
  <c r="AG21" i="6"/>
  <c r="E127" i="7"/>
  <c r="AG54" i="6"/>
  <c r="F130" i="7"/>
  <c r="L130" i="7" s="1"/>
  <c r="AG121" i="6"/>
  <c r="AI121" i="6"/>
  <c r="AG9" i="6"/>
  <c r="AG212" i="6"/>
  <c r="E180" i="7"/>
  <c r="U111" i="6"/>
  <c r="E118" i="7"/>
  <c r="AG67" i="6"/>
  <c r="E110" i="7"/>
  <c r="U103" i="6"/>
  <c r="E30" i="7"/>
  <c r="U202" i="6"/>
  <c r="E155" i="7"/>
  <c r="U144" i="6"/>
  <c r="E147" i="7"/>
  <c r="U136" i="6"/>
  <c r="E186" i="7"/>
  <c r="E32" i="7"/>
  <c r="U33" i="6"/>
  <c r="U190" i="6"/>
  <c r="AI141" i="6"/>
  <c r="AG141" i="6"/>
  <c r="U200" i="6"/>
  <c r="E197" i="7"/>
  <c r="AI189" i="6"/>
  <c r="F186" i="7"/>
  <c r="L186" i="7" s="1"/>
  <c r="E39" i="7"/>
  <c r="U40" i="6"/>
  <c r="E188" i="7"/>
  <c r="U191" i="6"/>
  <c r="E156" i="7"/>
  <c r="E337" i="7"/>
  <c r="U326" i="6"/>
  <c r="U323" i="6"/>
  <c r="F340" i="7"/>
  <c r="L340" i="7" s="1"/>
  <c r="AG329" i="6"/>
  <c r="AI329" i="6"/>
  <c r="U324" i="6"/>
  <c r="E335" i="7"/>
  <c r="AI326" i="6"/>
  <c r="F337" i="7"/>
  <c r="L337" i="7" s="1"/>
  <c r="AG326" i="6"/>
  <c r="E340" i="7"/>
  <c r="U235" i="6"/>
  <c r="Z235" i="6" s="1"/>
  <c r="U76" i="6"/>
  <c r="E75" i="7"/>
  <c r="U72" i="6"/>
  <c r="E380" i="7"/>
  <c r="E68" i="7"/>
  <c r="U65" i="6"/>
  <c r="Z65" i="6" s="1"/>
  <c r="E370" i="7"/>
  <c r="E67" i="7"/>
  <c r="U359" i="6"/>
  <c r="AG363" i="6"/>
  <c r="AI363" i="6"/>
  <c r="E71" i="7"/>
  <c r="F377" i="7"/>
  <c r="L377" i="7" s="1"/>
  <c r="AI362" i="6"/>
  <c r="AG362" i="6"/>
  <c r="E76" i="7"/>
  <c r="AA326" i="6"/>
  <c r="AA84" i="6"/>
  <c r="AA159" i="6"/>
  <c r="AA55" i="6"/>
  <c r="AA40" i="6"/>
  <c r="AA145" i="6"/>
  <c r="AA41" i="6"/>
  <c r="AA93" i="6"/>
  <c r="AA190" i="6"/>
  <c r="AA267" i="6"/>
  <c r="AA284" i="6"/>
  <c r="AA57" i="6"/>
  <c r="AA335" i="6"/>
  <c r="AA33" i="6"/>
  <c r="AA90" i="6"/>
  <c r="AA344" i="6"/>
  <c r="AA345" i="6"/>
  <c r="AA32" i="6"/>
  <c r="AA45" i="6"/>
  <c r="AA18" i="6"/>
  <c r="AA65" i="6"/>
  <c r="AA118" i="6"/>
  <c r="AB118" i="6" s="1"/>
  <c r="AA28" i="6"/>
  <c r="AA365" i="6"/>
  <c r="AA309" i="6"/>
  <c r="AA103" i="6"/>
  <c r="AA247" i="6"/>
  <c r="AA83" i="6"/>
  <c r="AA213" i="6"/>
  <c r="AA140" i="6"/>
  <c r="AA266" i="6"/>
  <c r="AA364" i="6"/>
  <c r="AA154" i="6"/>
  <c r="AA136" i="6"/>
  <c r="AA318" i="6"/>
  <c r="AA164" i="6"/>
  <c r="AA112" i="6"/>
  <c r="AA165" i="6"/>
  <c r="AA283" i="6"/>
  <c r="AA257" i="6"/>
  <c r="AA200" i="6"/>
  <c r="AA91" i="6"/>
  <c r="AA273" i="6"/>
  <c r="AA48" i="6"/>
  <c r="AB65" i="6"/>
  <c r="AA72" i="6"/>
  <c r="AA228" i="6"/>
  <c r="AA235" i="6"/>
  <c r="AA157" i="6"/>
  <c r="AA325" i="6"/>
  <c r="AA343" i="6"/>
  <c r="AA22" i="6"/>
  <c r="AA167" i="6"/>
  <c r="AA311" i="6"/>
  <c r="AB140" i="6"/>
  <c r="AA73" i="6"/>
  <c r="AA163" i="6"/>
  <c r="AA226" i="6"/>
  <c r="AA316" i="6"/>
  <c r="AA261" i="6"/>
  <c r="AA324" i="6"/>
  <c r="AA307" i="6"/>
  <c r="AA156" i="6"/>
  <c r="AA202" i="6"/>
  <c r="AB202" i="6" s="1"/>
  <c r="AA38" i="6"/>
  <c r="AA323" i="6"/>
  <c r="AA89" i="6"/>
  <c r="AA64" i="6"/>
  <c r="AA127" i="6"/>
  <c r="AA231" i="6"/>
  <c r="AA144" i="6"/>
  <c r="AA218" i="6"/>
  <c r="AA279" i="6"/>
  <c r="AA359" i="6"/>
  <c r="AB218" i="6"/>
  <c r="AA49" i="6"/>
  <c r="AA230" i="6"/>
  <c r="AB230" i="6" s="1"/>
  <c r="AA189" i="6"/>
  <c r="AB189" i="6" s="1"/>
  <c r="AA128" i="6"/>
  <c r="AB145" i="6"/>
  <c r="AA220" i="6"/>
  <c r="AA248" i="6"/>
  <c r="AO194" i="6"/>
  <c r="AO131" i="6"/>
  <c r="AO141" i="6"/>
  <c r="AO363" i="6"/>
  <c r="AO121" i="6"/>
  <c r="AO189" i="6"/>
  <c r="AO89" i="6"/>
  <c r="AO94" i="6"/>
  <c r="AO329" i="6"/>
  <c r="AP329" i="6" s="1"/>
  <c r="AO256" i="6"/>
  <c r="AO326" i="6"/>
  <c r="AO59" i="6"/>
  <c r="Z325" i="6" l="1"/>
  <c r="Z91" i="6"/>
  <c r="AI273" i="6"/>
  <c r="N303" i="6"/>
  <c r="AI282" i="6"/>
  <c r="N282" i="6"/>
  <c r="F218" i="7"/>
  <c r="L218" i="7" s="1"/>
  <c r="N219" i="6"/>
  <c r="G205" i="21" s="1"/>
  <c r="F353" i="6"/>
  <c r="N353" i="6" s="1"/>
  <c r="G331" i="21" s="1"/>
  <c r="F248" i="6"/>
  <c r="N248" i="6" s="1"/>
  <c r="F321" i="6"/>
  <c r="N321" i="6" s="1"/>
  <c r="F354" i="6"/>
  <c r="N354" i="6" s="1"/>
  <c r="G332" i="21" s="1"/>
  <c r="F252" i="6"/>
  <c r="N252" i="6" s="1"/>
  <c r="F360" i="6"/>
  <c r="N360" i="6" s="1"/>
  <c r="G338" i="21" s="1"/>
  <c r="F343" i="6"/>
  <c r="N343" i="6" s="1"/>
  <c r="G322" i="21" s="1"/>
  <c r="F245" i="6"/>
  <c r="N245" i="6" s="1"/>
  <c r="G229" i="21" s="1"/>
  <c r="U290" i="6"/>
  <c r="M290" i="6"/>
  <c r="E288" i="7"/>
  <c r="M281" i="6"/>
  <c r="F263" i="21" s="1"/>
  <c r="E190" i="7"/>
  <c r="M193" i="6"/>
  <c r="E300" i="7"/>
  <c r="M293" i="6"/>
  <c r="F246" i="6"/>
  <c r="N246" i="6" s="1"/>
  <c r="F261" i="6"/>
  <c r="N261" i="6" s="1"/>
  <c r="G244" i="21" s="1"/>
  <c r="F77" i="6"/>
  <c r="N77" i="6" s="1"/>
  <c r="F10" i="6"/>
  <c r="N10" i="6" s="1"/>
  <c r="F46" i="6"/>
  <c r="N46" i="6" s="1"/>
  <c r="G41" i="21" s="1"/>
  <c r="F93" i="6"/>
  <c r="N93" i="6" s="1"/>
  <c r="F107" i="6"/>
  <c r="N107" i="6" s="1"/>
  <c r="G99" i="21" s="1"/>
  <c r="F128" i="6"/>
  <c r="N128" i="6" s="1"/>
  <c r="G119" i="21" s="1"/>
  <c r="F148" i="6"/>
  <c r="N148" i="6" s="1"/>
  <c r="G138" i="21" s="1"/>
  <c r="F171" i="6"/>
  <c r="N171" i="6" s="1"/>
  <c r="G159" i="21" s="1"/>
  <c r="AG162" i="6"/>
  <c r="AI246" i="6"/>
  <c r="F244" i="6"/>
  <c r="N244" i="6" s="1"/>
  <c r="G228" i="21" s="1"/>
  <c r="F267" i="6"/>
  <c r="N267" i="6" s="1"/>
  <c r="F311" i="6"/>
  <c r="N311" i="6" s="1"/>
  <c r="F233" i="6"/>
  <c r="N233" i="6" s="1"/>
  <c r="F336" i="6"/>
  <c r="N336" i="6" s="1"/>
  <c r="G315" i="21" s="1"/>
  <c r="F309" i="6"/>
  <c r="N309" i="6" s="1"/>
  <c r="F226" i="6"/>
  <c r="N226" i="6" s="1"/>
  <c r="G211" i="21" s="1"/>
  <c r="M288" i="6"/>
  <c r="E295" i="7" s="1"/>
  <c r="U217" i="6"/>
  <c r="M217" i="6"/>
  <c r="F209" i="6"/>
  <c r="N209" i="6" s="1"/>
  <c r="F213" i="6"/>
  <c r="F75" i="6"/>
  <c r="N75" i="6" s="1"/>
  <c r="G69" i="21" s="1"/>
  <c r="F14" i="6"/>
  <c r="N14" i="6" s="1"/>
  <c r="G11" i="21" s="1"/>
  <c r="F19" i="6"/>
  <c r="N19" i="6" s="1"/>
  <c r="F50" i="6"/>
  <c r="N50" i="6" s="1"/>
  <c r="G45" i="21" s="1"/>
  <c r="F99" i="6"/>
  <c r="N99" i="6" s="1"/>
  <c r="F111" i="6"/>
  <c r="N111" i="6" s="1"/>
  <c r="F135" i="6"/>
  <c r="N135" i="6" s="1"/>
  <c r="G125" i="21" s="1"/>
  <c r="F155" i="6"/>
  <c r="N155" i="6" s="1"/>
  <c r="G144" i="21" s="1"/>
  <c r="F175" i="6"/>
  <c r="N175" i="6" s="1"/>
  <c r="G163" i="21" s="1"/>
  <c r="F32" i="6"/>
  <c r="N32" i="6" s="1"/>
  <c r="M120" i="6"/>
  <c r="E129" i="7" s="1"/>
  <c r="F214" i="7"/>
  <c r="L214" i="7" s="1"/>
  <c r="N215" i="6"/>
  <c r="G201" i="21" s="1"/>
  <c r="N71" i="6"/>
  <c r="G65" i="21" s="1"/>
  <c r="F200" i="6"/>
  <c r="N200" i="6" s="1"/>
  <c r="F317" i="6"/>
  <c r="N317" i="6" s="1"/>
  <c r="F292" i="6"/>
  <c r="N292" i="6" s="1"/>
  <c r="G274" i="21" s="1"/>
  <c r="F210" i="6"/>
  <c r="N210" i="6" s="1"/>
  <c r="G196" i="21" s="1"/>
  <c r="F327" i="6"/>
  <c r="N327" i="6" s="1"/>
  <c r="G307" i="21" s="1"/>
  <c r="F285" i="6"/>
  <c r="N285" i="6" s="1"/>
  <c r="G267" i="21" s="1"/>
  <c r="F208" i="6"/>
  <c r="N208" i="6" s="1"/>
  <c r="G194" i="21" s="1"/>
  <c r="F324" i="6"/>
  <c r="N324" i="6" s="1"/>
  <c r="F346" i="6"/>
  <c r="N346" i="6" s="1"/>
  <c r="G325" i="21" s="1"/>
  <c r="F63" i="6"/>
  <c r="F23" i="6"/>
  <c r="N23" i="6" s="1"/>
  <c r="G20" i="21" s="1"/>
  <c r="F55" i="6"/>
  <c r="N55" i="6" s="1"/>
  <c r="F82" i="6"/>
  <c r="N82" i="6" s="1"/>
  <c r="G75" i="21" s="1"/>
  <c r="F103" i="6"/>
  <c r="N103" i="6" s="1"/>
  <c r="G95" i="21" s="1"/>
  <c r="F119" i="6"/>
  <c r="F139" i="6"/>
  <c r="N139" i="6" s="1"/>
  <c r="G129" i="21" s="1"/>
  <c r="F159" i="6"/>
  <c r="N159" i="6" s="1"/>
  <c r="F369" i="7"/>
  <c r="L369" i="7" s="1"/>
  <c r="M126" i="6"/>
  <c r="U126" i="6" s="1"/>
  <c r="AI264" i="6"/>
  <c r="N264" i="6"/>
  <c r="N284" i="6"/>
  <c r="G266" i="21" s="1"/>
  <c r="U291" i="6"/>
  <c r="M291" i="6"/>
  <c r="M308" i="6"/>
  <c r="U308" i="6" s="1"/>
  <c r="E179" i="7"/>
  <c r="M166" i="6"/>
  <c r="M27" i="6"/>
  <c r="U27" i="6" s="1"/>
  <c r="U13" i="6"/>
  <c r="M13" i="6"/>
  <c r="M129" i="6"/>
  <c r="U129" i="6" s="1"/>
  <c r="E69" i="7"/>
  <c r="U66" i="6"/>
  <c r="AI364" i="6"/>
  <c r="AG364" i="6"/>
  <c r="F379" i="7"/>
  <c r="L379" i="7" s="1"/>
  <c r="E376" i="7"/>
  <c r="U361" i="6"/>
  <c r="U192" i="6"/>
  <c r="E189" i="7"/>
  <c r="AI71" i="6"/>
  <c r="E231" i="7"/>
  <c r="E20" i="19" s="1"/>
  <c r="E52" i="7"/>
  <c r="U51" i="6"/>
  <c r="E92" i="7"/>
  <c r="U87" i="6"/>
  <c r="E130" i="7"/>
  <c r="U121" i="6"/>
  <c r="U85" i="6"/>
  <c r="E90" i="7"/>
  <c r="AG293" i="6"/>
  <c r="F300" i="7"/>
  <c r="L300" i="7" s="1"/>
  <c r="AI293" i="6"/>
  <c r="F270" i="7"/>
  <c r="L270" i="7" s="1"/>
  <c r="AI265" i="6"/>
  <c r="AG265" i="6"/>
  <c r="AG333" i="6"/>
  <c r="AI333" i="6"/>
  <c r="F346" i="7"/>
  <c r="L346" i="7" s="1"/>
  <c r="AI251" i="6"/>
  <c r="F254" i="7"/>
  <c r="L254" i="7" s="1"/>
  <c r="AG251" i="6"/>
  <c r="AI31" i="6"/>
  <c r="F30" i="7"/>
  <c r="L30" i="7" s="1"/>
  <c r="AG31" i="6"/>
  <c r="AI122" i="6"/>
  <c r="F131" i="7"/>
  <c r="L131" i="7" s="1"/>
  <c r="AG122" i="6"/>
  <c r="AI163" i="6"/>
  <c r="F176" i="7"/>
  <c r="L176" i="7" s="1"/>
  <c r="F299" i="7"/>
  <c r="L299" i="7" s="1"/>
  <c r="AG292" i="6"/>
  <c r="AI292" i="6"/>
  <c r="F335" i="7"/>
  <c r="L335" i="7" s="1"/>
  <c r="AG324" i="6"/>
  <c r="AG346" i="6"/>
  <c r="F359" i="7"/>
  <c r="L359" i="7" s="1"/>
  <c r="AI346" i="6"/>
  <c r="E148" i="7"/>
  <c r="U137" i="6"/>
  <c r="AG163" i="6"/>
  <c r="E159" i="7"/>
  <c r="U148" i="6"/>
  <c r="AN363" i="6"/>
  <c r="E332" i="7"/>
  <c r="AG75" i="6"/>
  <c r="F78" i="7"/>
  <c r="L78" i="7" s="1"/>
  <c r="E168" i="7"/>
  <c r="U155" i="6"/>
  <c r="F167" i="7"/>
  <c r="L167" i="7" s="1"/>
  <c r="AI154" i="6"/>
  <c r="E275" i="7"/>
  <c r="U270" i="6"/>
  <c r="E11" i="7"/>
  <c r="E15" i="19" s="1"/>
  <c r="U14" i="6"/>
  <c r="U130" i="6"/>
  <c r="E139" i="7"/>
  <c r="AN9" i="6"/>
  <c r="AN189" i="6"/>
  <c r="E48" i="7"/>
  <c r="U47" i="6"/>
  <c r="E346" i="7"/>
  <c r="U333" i="6"/>
  <c r="E97" i="7"/>
  <c r="U92" i="6"/>
  <c r="AG86" i="6"/>
  <c r="F91" i="7"/>
  <c r="L91" i="7" s="1"/>
  <c r="U305" i="6"/>
  <c r="E314" i="7"/>
  <c r="AG297" i="6"/>
  <c r="AI297" i="6"/>
  <c r="U346" i="6"/>
  <c r="E359" i="7"/>
  <c r="AI159" i="6"/>
  <c r="AG159" i="6"/>
  <c r="F6" i="7"/>
  <c r="L6" i="7" s="1"/>
  <c r="AI9" i="6"/>
  <c r="U10" i="6"/>
  <c r="E7" i="7"/>
  <c r="U301" i="6"/>
  <c r="E310" i="7"/>
  <c r="AN326" i="6"/>
  <c r="E234" i="7"/>
  <c r="U233" i="6"/>
  <c r="U262" i="6"/>
  <c r="F18" i="7"/>
  <c r="L18" i="7" s="1"/>
  <c r="AI21" i="6"/>
  <c r="F55" i="7"/>
  <c r="L55" i="7" s="1"/>
  <c r="AI54" i="6"/>
  <c r="E249" i="7"/>
  <c r="U246" i="6"/>
  <c r="E259" i="7"/>
  <c r="U256" i="6"/>
  <c r="E195" i="7"/>
  <c r="U198" i="6"/>
  <c r="F166" i="7"/>
  <c r="L166" i="7" s="1"/>
  <c r="F64" i="6"/>
  <c r="N64" i="6" s="1"/>
  <c r="G58" i="21" s="1"/>
  <c r="F33" i="6"/>
  <c r="N33" i="6" s="1"/>
  <c r="G29" i="21" s="1"/>
  <c r="F35" i="6"/>
  <c r="N35" i="6" s="1"/>
  <c r="G31" i="21" s="1"/>
  <c r="F37" i="6"/>
  <c r="N37" i="6" s="1"/>
  <c r="G33" i="21" s="1"/>
  <c r="F40" i="6"/>
  <c r="N40" i="6" s="1"/>
  <c r="G36" i="21" s="1"/>
  <c r="F41" i="6"/>
  <c r="N41" i="6" s="1"/>
  <c r="G37" i="21" s="1"/>
  <c r="F185" i="6"/>
  <c r="N185" i="6" s="1"/>
  <c r="G173" i="21" s="1"/>
  <c r="F176" i="6"/>
  <c r="N176" i="6" s="1"/>
  <c r="G164" i="21" s="1"/>
  <c r="F165" i="6"/>
  <c r="N165" i="6" s="1"/>
  <c r="G154" i="21" s="1"/>
  <c r="F156" i="6"/>
  <c r="N156" i="6" s="1"/>
  <c r="G145" i="21" s="1"/>
  <c r="F145" i="6"/>
  <c r="N145" i="6" s="1"/>
  <c r="G135" i="21" s="1"/>
  <c r="F136" i="6"/>
  <c r="N136" i="6" s="1"/>
  <c r="G126" i="21" s="1"/>
  <c r="F125" i="6"/>
  <c r="N125" i="6" s="1"/>
  <c r="G116" i="21" s="1"/>
  <c r="F113" i="6"/>
  <c r="N113" i="6" s="1"/>
  <c r="G105" i="21" s="1"/>
  <c r="F95" i="6"/>
  <c r="N95" i="6" s="1"/>
  <c r="G88" i="21" s="1"/>
  <c r="F85" i="6"/>
  <c r="N85" i="6" s="1"/>
  <c r="G78" i="21" s="1"/>
  <c r="F53" i="6"/>
  <c r="N53" i="6" s="1"/>
  <c r="G48" i="21" s="1"/>
  <c r="F39" i="6"/>
  <c r="F22" i="6"/>
  <c r="N22" i="6" s="1"/>
  <c r="G19" i="21" s="1"/>
  <c r="F11" i="6"/>
  <c r="N11" i="6" s="1"/>
  <c r="G8" i="21" s="1"/>
  <c r="F72" i="6"/>
  <c r="N72" i="6" s="1"/>
  <c r="G66" i="21" s="1"/>
  <c r="F65" i="6"/>
  <c r="F270" i="6"/>
  <c r="F359" i="6"/>
  <c r="N359" i="6" s="1"/>
  <c r="G337" i="21" s="1"/>
  <c r="F255" i="6"/>
  <c r="N255" i="6" s="1"/>
  <c r="G239" i="21" s="1"/>
  <c r="F335" i="6"/>
  <c r="F198" i="6"/>
  <c r="N198" i="6" s="1"/>
  <c r="G185" i="21" s="1"/>
  <c r="F239" i="6"/>
  <c r="F281" i="6"/>
  <c r="N281" i="6" s="1"/>
  <c r="G263" i="21" s="1"/>
  <c r="F341" i="6"/>
  <c r="F325" i="6"/>
  <c r="N325" i="6" s="1"/>
  <c r="G305" i="21" s="1"/>
  <c r="F357" i="6"/>
  <c r="N357" i="6" s="1"/>
  <c r="G335" i="21" s="1"/>
  <c r="F203" i="6"/>
  <c r="N203" i="6" s="1"/>
  <c r="G190" i="21" s="1"/>
  <c r="F247" i="6"/>
  <c r="N247" i="6" s="1"/>
  <c r="G231" i="21" s="1"/>
  <c r="F288" i="6"/>
  <c r="N288" i="6" s="1"/>
  <c r="G270" i="21" s="1"/>
  <c r="F344" i="6"/>
  <c r="F207" i="6"/>
  <c r="N207" i="6" s="1"/>
  <c r="G193" i="21" s="1"/>
  <c r="F191" i="6"/>
  <c r="N191" i="6" s="1"/>
  <c r="G178" i="21" s="1"/>
  <c r="F308" i="6"/>
  <c r="N308" i="6" s="1"/>
  <c r="G289" i="21" s="1"/>
  <c r="F315" i="6"/>
  <c r="F216" i="6"/>
  <c r="N216" i="6" s="1"/>
  <c r="G202" i="21" s="1"/>
  <c r="F361" i="6"/>
  <c r="N361" i="6" s="1"/>
  <c r="G339" i="21" s="1"/>
  <c r="F29" i="6"/>
  <c r="N29" i="6" s="1"/>
  <c r="G25" i="21" s="1"/>
  <c r="F167" i="6"/>
  <c r="F147" i="6"/>
  <c r="N147" i="6" s="1"/>
  <c r="G137" i="21" s="1"/>
  <c r="F127" i="6"/>
  <c r="N127" i="6" s="1"/>
  <c r="G118" i="21" s="1"/>
  <c r="F110" i="6"/>
  <c r="N110" i="6" s="1"/>
  <c r="G102" i="21" s="1"/>
  <c r="F84" i="6"/>
  <c r="N84" i="6" s="1"/>
  <c r="G77" i="21" s="1"/>
  <c r="F51" i="6"/>
  <c r="N51" i="6" s="1"/>
  <c r="G46" i="21" s="1"/>
  <c r="F38" i="6"/>
  <c r="N38" i="6" s="1"/>
  <c r="G34" i="21" s="1"/>
  <c r="F17" i="6"/>
  <c r="N17" i="6" s="1"/>
  <c r="G14" i="21" s="1"/>
  <c r="F193" i="6"/>
  <c r="N193" i="6" s="1"/>
  <c r="G180" i="21" s="1"/>
  <c r="F199" i="6"/>
  <c r="N199" i="6" s="1"/>
  <c r="G186" i="21" s="1"/>
  <c r="F197" i="6"/>
  <c r="N197" i="6" s="1"/>
  <c r="G184" i="21" s="1"/>
  <c r="F275" i="6"/>
  <c r="N275" i="6" s="1"/>
  <c r="G258" i="21" s="1"/>
  <c r="F323" i="6"/>
  <c r="F202" i="6"/>
  <c r="N202" i="6" s="1"/>
  <c r="G189" i="21" s="1"/>
  <c r="F283" i="6"/>
  <c r="N283" i="6" s="1"/>
  <c r="G265" i="21" s="1"/>
  <c r="F299" i="6"/>
  <c r="N299" i="6" s="1"/>
  <c r="G280" i="21" s="1"/>
  <c r="F236" i="6"/>
  <c r="N236" i="6" s="1"/>
  <c r="G221" i="21" s="1"/>
  <c r="F177" i="6"/>
  <c r="N177" i="6" s="1"/>
  <c r="G165" i="21" s="1"/>
  <c r="F157" i="6"/>
  <c r="N157" i="6" s="1"/>
  <c r="G146" i="21" s="1"/>
  <c r="F137" i="6"/>
  <c r="N137" i="6" s="1"/>
  <c r="G127" i="21" s="1"/>
  <c r="F117" i="6"/>
  <c r="N117" i="6" s="1"/>
  <c r="G108" i="21" s="1"/>
  <c r="F92" i="6"/>
  <c r="N92" i="6" s="1"/>
  <c r="G85" i="21" s="1"/>
  <c r="F20" i="6"/>
  <c r="N20" i="6" s="1"/>
  <c r="G17" i="21" s="1"/>
  <c r="F238" i="6"/>
  <c r="N238" i="6" s="1"/>
  <c r="G223" i="21" s="1"/>
  <c r="F225" i="6"/>
  <c r="F192" i="6"/>
  <c r="N192" i="6" s="1"/>
  <c r="G179" i="21" s="1"/>
  <c r="F271" i="6"/>
  <c r="N271" i="6" s="1"/>
  <c r="G254" i="21" s="1"/>
  <c r="F320" i="6"/>
  <c r="F201" i="6"/>
  <c r="N201" i="6" s="1"/>
  <c r="G188" i="21" s="1"/>
  <c r="F279" i="6"/>
  <c r="N279" i="6" s="1"/>
  <c r="G261" i="21" s="1"/>
  <c r="F253" i="6"/>
  <c r="N253" i="6" s="1"/>
  <c r="G237" i="21" s="1"/>
  <c r="F220" i="6"/>
  <c r="N220" i="6" s="1"/>
  <c r="G206" i="21" s="1"/>
  <c r="F181" i="6"/>
  <c r="N181" i="6" s="1"/>
  <c r="G169" i="21" s="1"/>
  <c r="F172" i="6"/>
  <c r="N172" i="6" s="1"/>
  <c r="G160" i="21" s="1"/>
  <c r="F161" i="6"/>
  <c r="F149" i="6"/>
  <c r="F140" i="6"/>
  <c r="N140" i="6" s="1"/>
  <c r="G130" i="21" s="1"/>
  <c r="F129" i="6"/>
  <c r="N129" i="6" s="1"/>
  <c r="G120" i="21" s="1"/>
  <c r="F120" i="6"/>
  <c r="N120" i="6" s="1"/>
  <c r="G111" i="21" s="1"/>
  <c r="F109" i="6"/>
  <c r="N109" i="6" s="1"/>
  <c r="G101" i="21" s="1"/>
  <c r="F102" i="6"/>
  <c r="N102" i="6" s="1"/>
  <c r="G94" i="21" s="1"/>
  <c r="F91" i="6"/>
  <c r="N91" i="6" s="1"/>
  <c r="G84" i="21" s="1"/>
  <c r="F81" i="6"/>
  <c r="N81" i="6" s="1"/>
  <c r="G74" i="21" s="1"/>
  <c r="F57" i="6"/>
  <c r="N57" i="6" s="1"/>
  <c r="G52" i="21" s="1"/>
  <c r="F48" i="6"/>
  <c r="N48" i="6" s="1"/>
  <c r="G43" i="21" s="1"/>
  <c r="F30" i="6"/>
  <c r="N30" i="6" s="1"/>
  <c r="G26" i="21" s="1"/>
  <c r="F18" i="6"/>
  <c r="N18" i="6" s="1"/>
  <c r="G15" i="21" s="1"/>
  <c r="F15" i="6"/>
  <c r="N15" i="6" s="1"/>
  <c r="G12" i="21" s="1"/>
  <c r="F76" i="6"/>
  <c r="N76" i="6" s="1"/>
  <c r="G70" i="21" s="1"/>
  <c r="F229" i="6"/>
  <c r="N229" i="6" s="1"/>
  <c r="G214" i="21" s="1"/>
  <c r="F306" i="6"/>
  <c r="N306" i="6" s="1"/>
  <c r="G287" i="21" s="1"/>
  <c r="F218" i="6"/>
  <c r="N218" i="6" s="1"/>
  <c r="G204" i="21" s="1"/>
  <c r="F301" i="6"/>
  <c r="N301" i="6" s="1"/>
  <c r="G282" i="21" s="1"/>
  <c r="F221" i="6"/>
  <c r="N221" i="6" s="1"/>
  <c r="G207" i="21" s="1"/>
  <c r="F262" i="6"/>
  <c r="N262" i="6" s="1"/>
  <c r="G245" i="21" s="1"/>
  <c r="F305" i="6"/>
  <c r="F355" i="6"/>
  <c r="N355" i="6" s="1"/>
  <c r="G333" i="21" s="1"/>
  <c r="F334" i="6"/>
  <c r="F190" i="6"/>
  <c r="N190" i="6" s="1"/>
  <c r="G177" i="21" s="1"/>
  <c r="F228" i="6"/>
  <c r="N228" i="6" s="1"/>
  <c r="G213" i="21" s="1"/>
  <c r="F269" i="6"/>
  <c r="N269" i="6" s="1"/>
  <c r="G252" i="21" s="1"/>
  <c r="F307" i="6"/>
  <c r="N307" i="6" s="1"/>
  <c r="G288" i="21" s="1"/>
  <c r="F69" i="6"/>
  <c r="N69" i="6" s="1"/>
  <c r="G63" i="21" s="1"/>
  <c r="F263" i="6"/>
  <c r="N263" i="6" s="1"/>
  <c r="G246" i="21" s="1"/>
  <c r="F231" i="6"/>
  <c r="N231" i="6" s="1"/>
  <c r="G216" i="21" s="1"/>
  <c r="F280" i="6"/>
  <c r="N280" i="6" s="1"/>
  <c r="G262" i="21" s="1"/>
  <c r="F68" i="6"/>
  <c r="F179" i="6"/>
  <c r="N179" i="6" s="1"/>
  <c r="G167" i="21" s="1"/>
  <c r="F158" i="6"/>
  <c r="F138" i="6"/>
  <c r="N138" i="6" s="1"/>
  <c r="G128" i="21" s="1"/>
  <c r="F118" i="6"/>
  <c r="N118" i="6" s="1"/>
  <c r="G109" i="21" s="1"/>
  <c r="F105" i="6"/>
  <c r="N105" i="6" s="1"/>
  <c r="G97" i="21" s="1"/>
  <c r="F56" i="6"/>
  <c r="N56" i="6" s="1"/>
  <c r="G51" i="21" s="1"/>
  <c r="F47" i="6"/>
  <c r="N47" i="6" s="1"/>
  <c r="G42" i="21" s="1"/>
  <c r="F28" i="6"/>
  <c r="N28" i="6" s="1"/>
  <c r="G24" i="21" s="1"/>
  <c r="F73" i="6"/>
  <c r="N73" i="6" s="1"/>
  <c r="G67" i="21" s="1"/>
  <c r="F291" i="6"/>
  <c r="N291" i="6" s="1"/>
  <c r="G273" i="21" s="1"/>
  <c r="F274" i="6"/>
  <c r="N274" i="6" s="1"/>
  <c r="G257" i="21" s="1"/>
  <c r="F235" i="6"/>
  <c r="F339" i="6"/>
  <c r="N339" i="6" s="1"/>
  <c r="G318" i="21" s="1"/>
  <c r="F351" i="6"/>
  <c r="N351" i="6" s="1"/>
  <c r="G329" i="21" s="1"/>
  <c r="F243" i="6"/>
  <c r="N243" i="6" s="1"/>
  <c r="G227" i="21" s="1"/>
  <c r="F342" i="6"/>
  <c r="N342" i="6" s="1"/>
  <c r="G321" i="21" s="1"/>
  <c r="F289" i="6"/>
  <c r="N289" i="6" s="1"/>
  <c r="G271" i="21" s="1"/>
  <c r="F27" i="6"/>
  <c r="F166" i="6"/>
  <c r="N166" i="6" s="1"/>
  <c r="G155" i="21" s="1"/>
  <c r="F146" i="6"/>
  <c r="N146" i="6" s="1"/>
  <c r="G136" i="21" s="1"/>
  <c r="F126" i="6"/>
  <c r="N126" i="6" s="1"/>
  <c r="G117" i="21" s="1"/>
  <c r="F100" i="6"/>
  <c r="N100" i="6" s="1"/>
  <c r="G92" i="21" s="1"/>
  <c r="F87" i="6"/>
  <c r="N87" i="6" s="1"/>
  <c r="G80" i="21" s="1"/>
  <c r="F74" i="6"/>
  <c r="N74" i="6" s="1"/>
  <c r="G68" i="21" s="1"/>
  <c r="F319" i="6"/>
  <c r="N319" i="6" s="1"/>
  <c r="G299" i="21" s="1"/>
  <c r="F310" i="6"/>
  <c r="F230" i="6"/>
  <c r="N230" i="6" s="1"/>
  <c r="G215" i="21" s="1"/>
  <c r="F337" i="6"/>
  <c r="N337" i="6" s="1"/>
  <c r="G316" i="21" s="1"/>
  <c r="F347" i="6"/>
  <c r="N347" i="6" s="1"/>
  <c r="G326" i="21" s="1"/>
  <c r="F237" i="6"/>
  <c r="F338" i="6"/>
  <c r="N338" i="6" s="1"/>
  <c r="G317" i="21" s="1"/>
  <c r="F365" i="6"/>
  <c r="N365" i="6" s="1"/>
  <c r="G343" i="21" s="1"/>
  <c r="AG118" i="6"/>
  <c r="U69" i="6"/>
  <c r="E72" i="7"/>
  <c r="U351" i="6"/>
  <c r="E366" i="7"/>
  <c r="AG153" i="6"/>
  <c r="AI153" i="6"/>
  <c r="E208" i="7"/>
  <c r="U209" i="6"/>
  <c r="AG249" i="6"/>
  <c r="AI249" i="6"/>
  <c r="F252" i="7"/>
  <c r="L252" i="7" s="1"/>
  <c r="F195" i="7"/>
  <c r="L195" i="7" s="1"/>
  <c r="AI198" i="6"/>
  <c r="AG198" i="6"/>
  <c r="AI254" i="6"/>
  <c r="F257" i="7"/>
  <c r="L257" i="7" s="1"/>
  <c r="AI336" i="6"/>
  <c r="AG336" i="6"/>
  <c r="F349" i="7"/>
  <c r="L349" i="7" s="1"/>
  <c r="AI290" i="6"/>
  <c r="AG290" i="6"/>
  <c r="F297" i="7"/>
  <c r="L297" i="7" s="1"/>
  <c r="F139" i="7"/>
  <c r="L139" i="7" s="1"/>
  <c r="AI130" i="6"/>
  <c r="AG130" i="6"/>
  <c r="E171" i="7"/>
  <c r="E18" i="19" s="1"/>
  <c r="U39" i="6"/>
  <c r="E38" i="7"/>
  <c r="F51" i="7"/>
  <c r="L51" i="7" s="1"/>
  <c r="AG50" i="6"/>
  <c r="E280" i="7"/>
  <c r="U275" i="6"/>
  <c r="E274" i="7"/>
  <c r="U269" i="6"/>
  <c r="AG91" i="6"/>
  <c r="AG357" i="6"/>
  <c r="F372" i="7"/>
  <c r="L372" i="7" s="1"/>
  <c r="AI209" i="6"/>
  <c r="AG209" i="6"/>
  <c r="E369" i="7"/>
  <c r="AI75" i="6"/>
  <c r="F74" i="7"/>
  <c r="L74" i="7" s="1"/>
  <c r="U63" i="6"/>
  <c r="AN121" i="6"/>
  <c r="U352" i="6"/>
  <c r="E367" i="7"/>
  <c r="U74" i="6"/>
  <c r="E77" i="7"/>
  <c r="U199" i="6"/>
  <c r="E196" i="7"/>
  <c r="E94" i="7"/>
  <c r="F247" i="7"/>
  <c r="L247" i="7" s="1"/>
  <c r="AG244" i="6"/>
  <c r="AI244" i="6"/>
  <c r="E6" i="7"/>
  <c r="U9" i="6"/>
  <c r="AG125" i="6"/>
  <c r="E34" i="7"/>
  <c r="U35" i="6"/>
  <c r="E277" i="7"/>
  <c r="U272" i="6"/>
  <c r="AI357" i="6"/>
  <c r="AN357" i="6" s="1"/>
  <c r="U357" i="6"/>
  <c r="E372" i="7"/>
  <c r="AI50" i="6"/>
  <c r="U328" i="6"/>
  <c r="E339" i="7"/>
  <c r="AI164" i="6"/>
  <c r="AG164" i="6"/>
  <c r="E96" i="7"/>
  <c r="E256" i="7"/>
  <c r="U253" i="6"/>
  <c r="AI345" i="6"/>
  <c r="AG345" i="6"/>
  <c r="U334" i="6"/>
  <c r="E347" i="7"/>
  <c r="U125" i="6"/>
  <c r="E134" i="7"/>
  <c r="F114" i="7"/>
  <c r="L114" i="7" s="1"/>
  <c r="AG107" i="6"/>
  <c r="U12" i="6"/>
  <c r="E9" i="7"/>
  <c r="AG307" i="6"/>
  <c r="U46" i="6"/>
  <c r="E27" i="7"/>
  <c r="AI67" i="6"/>
  <c r="AG15" i="6"/>
  <c r="AI107" i="6"/>
  <c r="E175" i="7"/>
  <c r="F306" i="7"/>
  <c r="L306" i="7" s="1"/>
  <c r="E328" i="7"/>
  <c r="U317" i="6"/>
  <c r="AG269" i="6"/>
  <c r="AI38" i="6"/>
  <c r="AG93" i="6"/>
  <c r="F98" i="7"/>
  <c r="L98" i="7" s="1"/>
  <c r="U254" i="6"/>
  <c r="E257" i="7"/>
  <c r="AI35" i="6"/>
  <c r="AG291" i="6"/>
  <c r="U17" i="6"/>
  <c r="E100" i="7"/>
  <c r="E80" i="7"/>
  <c r="U77" i="6"/>
  <c r="U236" i="6"/>
  <c r="E237" i="7"/>
  <c r="U225" i="6"/>
  <c r="E226" i="7"/>
  <c r="U315" i="6"/>
  <c r="E326" i="7"/>
  <c r="AG46" i="6"/>
  <c r="F47" i="7"/>
  <c r="L47" i="7" s="1"/>
  <c r="AI46" i="6"/>
  <c r="E60" i="7"/>
  <c r="U59" i="6"/>
  <c r="E235" i="7"/>
  <c r="U234" i="6"/>
  <c r="U221" i="6"/>
  <c r="E220" i="7"/>
  <c r="AG12" i="6"/>
  <c r="F307" i="7"/>
  <c r="L307" i="7" s="1"/>
  <c r="AI298" i="6"/>
  <c r="AG298" i="6"/>
  <c r="F311" i="7"/>
  <c r="L311" i="7" s="1"/>
  <c r="L21" i="19" s="1"/>
  <c r="U239" i="6"/>
  <c r="E240" i="7"/>
  <c r="AG361" i="6"/>
  <c r="AI361" i="6"/>
  <c r="F376" i="7"/>
  <c r="L376" i="7" s="1"/>
  <c r="U212" i="6"/>
  <c r="E211" i="7"/>
  <c r="E19" i="19" s="1"/>
  <c r="AI300" i="6"/>
  <c r="F309" i="7"/>
  <c r="L309" i="7" s="1"/>
  <c r="AG300" i="6"/>
  <c r="E379" i="7"/>
  <c r="AI359" i="6"/>
  <c r="AG316" i="6"/>
  <c r="F327" i="7"/>
  <c r="L327" i="7" s="1"/>
  <c r="AI316" i="6"/>
  <c r="E331" i="7"/>
  <c r="E22" i="19" s="1"/>
  <c r="U320" i="6"/>
  <c r="AG211" i="6"/>
  <c r="AN211" i="6" s="1"/>
  <c r="F210" i="7"/>
  <c r="L210" i="7" s="1"/>
  <c r="AI211" i="6"/>
  <c r="AI129" i="6"/>
  <c r="AG55" i="6"/>
  <c r="AI55" i="6"/>
  <c r="AI82" i="6"/>
  <c r="F87" i="7"/>
  <c r="L87" i="7" s="1"/>
  <c r="AG82" i="6"/>
  <c r="AG66" i="6"/>
  <c r="F69" i="7"/>
  <c r="L69" i="7" s="1"/>
  <c r="AI215" i="6"/>
  <c r="E260" i="7"/>
  <c r="F227" i="7"/>
  <c r="L227" i="7" s="1"/>
  <c r="AG226" i="6"/>
  <c r="AI226" i="6"/>
  <c r="U30" i="6"/>
  <c r="E29" i="7"/>
  <c r="F159" i="7"/>
  <c r="L159" i="7" s="1"/>
  <c r="AG148" i="6"/>
  <c r="AI233" i="6"/>
  <c r="AG233" i="6"/>
  <c r="AN233" i="6" s="1"/>
  <c r="AI45" i="6"/>
  <c r="F46" i="7"/>
  <c r="L46" i="7" s="1"/>
  <c r="AI49" i="6"/>
  <c r="F50" i="7"/>
  <c r="L50" i="7" s="1"/>
  <c r="U252" i="6"/>
  <c r="E255" i="7"/>
  <c r="E131" i="7"/>
  <c r="U122" i="6"/>
  <c r="F329" i="7"/>
  <c r="L329" i="7" s="1"/>
  <c r="AI318" i="6"/>
  <c r="F211" i="7"/>
  <c r="L211" i="7" s="1"/>
  <c r="F19" i="19" s="1"/>
  <c r="AI212" i="6"/>
  <c r="AI92" i="6"/>
  <c r="AI317" i="6"/>
  <c r="AG317" i="6"/>
  <c r="AG207" i="6"/>
  <c r="F256" i="7"/>
  <c r="L256" i="7" s="1"/>
  <c r="AG253" i="6"/>
  <c r="AI253" i="6"/>
  <c r="E55" i="7"/>
  <c r="U54" i="6"/>
  <c r="E128" i="7"/>
  <c r="U119" i="6"/>
  <c r="E279" i="7"/>
  <c r="U274" i="6"/>
  <c r="U75" i="6"/>
  <c r="E327" i="7"/>
  <c r="U23" i="6"/>
  <c r="E20" i="7"/>
  <c r="AN329" i="6"/>
  <c r="AN131" i="6"/>
  <c r="E315" i="7"/>
  <c r="U306" i="6"/>
  <c r="AG273" i="6"/>
  <c r="F278" i="7"/>
  <c r="L278" i="7" s="1"/>
  <c r="E355" i="7"/>
  <c r="AI165" i="6"/>
  <c r="E352" i="7"/>
  <c r="U339" i="6"/>
  <c r="E98" i="7"/>
  <c r="AI309" i="6"/>
  <c r="AG309" i="6"/>
  <c r="Z335" i="6"/>
  <c r="E309" i="7"/>
  <c r="AI118" i="6"/>
  <c r="AI287" i="6"/>
  <c r="E36" i="7"/>
  <c r="U37" i="6"/>
  <c r="U255" i="6"/>
  <c r="E258" i="7"/>
  <c r="U265" i="6"/>
  <c r="E270" i="7"/>
  <c r="AG36" i="6"/>
  <c r="F35" i="7"/>
  <c r="L35" i="7" s="1"/>
  <c r="AI36" i="6"/>
  <c r="AG195" i="6"/>
  <c r="AI195" i="6"/>
  <c r="F192" i="7"/>
  <c r="L192" i="7" s="1"/>
  <c r="AG351" i="6"/>
  <c r="AI351" i="6"/>
  <c r="F366" i="7"/>
  <c r="L366" i="7" s="1"/>
  <c r="AG352" i="6"/>
  <c r="F367" i="7"/>
  <c r="L367" i="7" s="1"/>
  <c r="AI352" i="6"/>
  <c r="AN89" i="6"/>
  <c r="U271" i="6"/>
  <c r="E276" i="7"/>
  <c r="AN153" i="6"/>
  <c r="F109" i="7"/>
  <c r="L109" i="7" s="1"/>
  <c r="AG227" i="6"/>
  <c r="F228" i="7"/>
  <c r="L228" i="7" s="1"/>
  <c r="AI227" i="6"/>
  <c r="E194" i="7"/>
  <c r="U197" i="6"/>
  <c r="U363" i="6"/>
  <c r="E378" i="7"/>
  <c r="AG137" i="6"/>
  <c r="E268" i="7"/>
  <c r="U263" i="6"/>
  <c r="AG354" i="6"/>
  <c r="E377" i="7"/>
  <c r="E227" i="7"/>
  <c r="E336" i="7"/>
  <c r="U71" i="6"/>
  <c r="AI328" i="6"/>
  <c r="AN141" i="6"/>
  <c r="E40" i="7"/>
  <c r="U207" i="6"/>
  <c r="AG155" i="6"/>
  <c r="AI32" i="6"/>
  <c r="U53" i="6"/>
  <c r="E271" i="7"/>
  <c r="U153" i="6"/>
  <c r="E166" i="7"/>
  <c r="G237" i="6"/>
  <c r="E209" i="7"/>
  <c r="U210" i="6"/>
  <c r="F251" i="7"/>
  <c r="L251" i="7" s="1"/>
  <c r="AG248" i="6"/>
  <c r="AG284" i="6"/>
  <c r="F291" i="7"/>
  <c r="L291" i="7" s="1"/>
  <c r="F21" i="19" s="1"/>
  <c r="AI311" i="6"/>
  <c r="AG311" i="6"/>
  <c r="E106" i="7"/>
  <c r="U99" i="6"/>
  <c r="AI111" i="6"/>
  <c r="AG111" i="6"/>
  <c r="U20" i="6"/>
  <c r="E17" i="7"/>
  <c r="G337" i="6"/>
  <c r="H337" i="6"/>
  <c r="U300" i="6"/>
  <c r="G327" i="6"/>
  <c r="H327" i="6"/>
  <c r="AH227" i="6"/>
  <c r="AH235" i="6"/>
  <c r="U238" i="6"/>
  <c r="E239" i="7"/>
  <c r="AI261" i="6"/>
  <c r="F266" i="7"/>
  <c r="L266" i="7" s="1"/>
  <c r="AG261" i="6"/>
  <c r="AG343" i="6"/>
  <c r="AI343" i="6"/>
  <c r="AI14" i="6"/>
  <c r="F11" i="7"/>
  <c r="L11" i="7" s="1"/>
  <c r="F15" i="19" s="1"/>
  <c r="E330" i="7"/>
  <c r="U319" i="6"/>
  <c r="AI219" i="6"/>
  <c r="AG219" i="6"/>
  <c r="AI354" i="6"/>
  <c r="AI355" i="6"/>
  <c r="F339" i="7"/>
  <c r="L339" i="7" s="1"/>
  <c r="E329" i="7"/>
  <c r="AI200" i="6"/>
  <c r="AI66" i="6"/>
  <c r="AI155" i="6"/>
  <c r="H365" i="6"/>
  <c r="F260" i="7"/>
  <c r="L260" i="7" s="1"/>
  <c r="U347" i="6"/>
  <c r="F356" i="7"/>
  <c r="L356" i="7" s="1"/>
  <c r="AG14" i="6"/>
  <c r="E172" i="7"/>
  <c r="AI123" i="6"/>
  <c r="F132" i="7"/>
  <c r="L132" i="7" s="1"/>
  <c r="E14" i="7"/>
  <c r="H208" i="6"/>
  <c r="G208" i="6"/>
  <c r="U82" i="6"/>
  <c r="E87" i="7"/>
  <c r="AI289" i="6"/>
  <c r="F296" i="7"/>
  <c r="L296" i="7" s="1"/>
  <c r="AG289" i="6"/>
  <c r="T19" i="6"/>
  <c r="T11" i="6"/>
  <c r="G81" i="6"/>
  <c r="H81" i="6"/>
  <c r="U161" i="6"/>
  <c r="E174" i="7"/>
  <c r="F197" i="7"/>
  <c r="L197" i="7" s="1"/>
  <c r="AG138" i="6"/>
  <c r="AI148" i="6"/>
  <c r="E151" i="7"/>
  <c r="E17" i="19" s="1"/>
  <c r="U67" i="6"/>
  <c r="F49" i="7"/>
  <c r="L49" i="7" s="1"/>
  <c r="F58" i="7"/>
  <c r="L58" i="7" s="1"/>
  <c r="F31" i="7"/>
  <c r="L31" i="7" s="1"/>
  <c r="F16" i="19" s="1"/>
  <c r="AG228" i="6"/>
  <c r="AG257" i="6"/>
  <c r="AG215" i="6"/>
  <c r="U249" i="6"/>
  <c r="E252" i="7"/>
  <c r="H234" i="6"/>
  <c r="U244" i="6"/>
  <c r="E247" i="7"/>
  <c r="U102" i="6"/>
  <c r="E109" i="7"/>
  <c r="E28" i="7"/>
  <c r="U29" i="6"/>
  <c r="E191" i="7"/>
  <c r="K18" i="19" s="1"/>
  <c r="U194" i="6"/>
  <c r="AI319" i="6"/>
  <c r="T203" i="6"/>
  <c r="T195" i="6"/>
  <c r="T123" i="6"/>
  <c r="AH266" i="6"/>
  <c r="AH274" i="6"/>
  <c r="AG287" i="6"/>
  <c r="AN287" i="6" s="1"/>
  <c r="F294" i="7"/>
  <c r="L294" i="7" s="1"/>
  <c r="U216" i="6"/>
  <c r="E215" i="7"/>
  <c r="D40" i="8"/>
  <c r="AA63" i="2"/>
  <c r="AA60" i="2"/>
  <c r="D37" i="8"/>
  <c r="H108" i="6"/>
  <c r="G108" i="6"/>
  <c r="AG342" i="6"/>
  <c r="AI342" i="6"/>
  <c r="E269" i="7"/>
  <c r="U264" i="6"/>
  <c r="H201" i="6"/>
  <c r="G201" i="6"/>
  <c r="T20" i="6"/>
  <c r="B360" i="6"/>
  <c r="B353" i="6"/>
  <c r="B356" i="6"/>
  <c r="AH75" i="6"/>
  <c r="AN75" i="6" s="1"/>
  <c r="AH67" i="6"/>
  <c r="F95" i="7"/>
  <c r="L95" i="7" s="1"/>
  <c r="AI90" i="6"/>
  <c r="T29" i="6"/>
  <c r="T37" i="6"/>
  <c r="H280" i="6"/>
  <c r="G280" i="6"/>
  <c r="AI291" i="6"/>
  <c r="F298" i="7"/>
  <c r="L298" i="7" s="1"/>
  <c r="C41" i="8"/>
  <c r="Z64" i="2"/>
  <c r="T13" i="6"/>
  <c r="T21" i="6"/>
  <c r="R57" i="6"/>
  <c r="R58" i="6"/>
  <c r="K50" i="6"/>
  <c r="X247" i="2"/>
  <c r="T361" i="6"/>
  <c r="C39" i="8"/>
  <c r="Z62" i="2"/>
  <c r="AK167" i="6"/>
  <c r="AK149" i="6"/>
  <c r="AK203" i="6"/>
  <c r="AK177" i="6"/>
  <c r="AK51" i="6"/>
  <c r="AK59" i="6"/>
  <c r="AN59" i="6" s="1"/>
  <c r="AK347" i="6"/>
  <c r="AK257" i="6"/>
  <c r="AK95" i="6"/>
  <c r="AK41" i="6"/>
  <c r="AK303" i="6"/>
  <c r="AK249" i="6"/>
  <c r="AK239" i="6"/>
  <c r="AK339" i="6"/>
  <c r="AK141" i="6"/>
  <c r="AK365" i="6"/>
  <c r="AK293" i="6"/>
  <c r="AK23" i="6"/>
  <c r="AK159" i="6"/>
  <c r="AN159" i="6" s="1"/>
  <c r="AK285" i="6"/>
  <c r="AK185" i="6"/>
  <c r="Z59" i="2"/>
  <c r="C36" i="8"/>
  <c r="AK351" i="6"/>
  <c r="AK333" i="6"/>
  <c r="AK71" i="6"/>
  <c r="AK35" i="6"/>
  <c r="AK215" i="6"/>
  <c r="AK53" i="6"/>
  <c r="AK243" i="6"/>
  <c r="AK81" i="6"/>
  <c r="AK315" i="6"/>
  <c r="AK297" i="6"/>
  <c r="AK359" i="6"/>
  <c r="AK225" i="6"/>
  <c r="AK45" i="6"/>
  <c r="AN45" i="6" s="1"/>
  <c r="AK63" i="6"/>
  <c r="AK117" i="6"/>
  <c r="AK197" i="6"/>
  <c r="AK143" i="6"/>
  <c r="AK161" i="6"/>
  <c r="AK27" i="6"/>
  <c r="AK125" i="6"/>
  <c r="AK305" i="6"/>
  <c r="AK99" i="6"/>
  <c r="AK251" i="6"/>
  <c r="AN251" i="6" s="1"/>
  <c r="AK89" i="6"/>
  <c r="AK153" i="6"/>
  <c r="AK279" i="6"/>
  <c r="AK287" i="6"/>
  <c r="AK135" i="6"/>
  <c r="AK107" i="6"/>
  <c r="AN107" i="6" s="1"/>
  <c r="AK261" i="6"/>
  <c r="G299" i="6"/>
  <c r="H299" i="6"/>
  <c r="W63" i="2"/>
  <c r="AM54" i="6"/>
  <c r="AH301" i="6"/>
  <c r="AH309" i="6"/>
  <c r="G117" i="6"/>
  <c r="H117" i="6"/>
  <c r="Y111" i="6"/>
  <c r="R111" i="6"/>
  <c r="R75" i="6"/>
  <c r="Y76" i="6"/>
  <c r="F563" i="2"/>
  <c r="M560" i="2" s="1"/>
  <c r="W353" i="6"/>
  <c r="W145" i="6"/>
  <c r="W73" i="6"/>
  <c r="Z73" i="6" s="1"/>
  <c r="W253" i="6"/>
  <c r="W83" i="6"/>
  <c r="Z83" i="6" s="1"/>
  <c r="W199" i="6"/>
  <c r="W55" i="6"/>
  <c r="Z55" i="6" s="1"/>
  <c r="W217" i="6"/>
  <c r="W245" i="6"/>
  <c r="W29" i="6"/>
  <c r="W109" i="6"/>
  <c r="W101" i="6"/>
  <c r="W281" i="6"/>
  <c r="W119" i="6"/>
  <c r="W155" i="6"/>
  <c r="Z155" i="6" s="1"/>
  <c r="H285" i="6"/>
  <c r="G285" i="6"/>
  <c r="AK344" i="6"/>
  <c r="AK120" i="6"/>
  <c r="AK264" i="6"/>
  <c r="Z58" i="2"/>
  <c r="C35" i="8"/>
  <c r="AH201" i="6"/>
  <c r="AH342" i="6"/>
  <c r="Q502" i="2"/>
  <c r="K139" i="6"/>
  <c r="U59" i="2"/>
  <c r="L135" i="6"/>
  <c r="AF71" i="6"/>
  <c r="P502" i="2"/>
  <c r="L64" i="6"/>
  <c r="AF90" i="6"/>
  <c r="P61" i="2"/>
  <c r="AM14" i="6"/>
  <c r="AM66" i="6"/>
  <c r="AM101" i="6"/>
  <c r="Y119" i="6"/>
  <c r="AH273" i="6"/>
  <c r="AN273" i="6" s="1"/>
  <c r="AF13" i="6"/>
  <c r="R119" i="6"/>
  <c r="Y122" i="6"/>
  <c r="D117" i="7"/>
  <c r="D578" i="2"/>
  <c r="AF55" i="6"/>
  <c r="C565" i="2"/>
  <c r="L562" i="2" s="1"/>
  <c r="AA494" i="2"/>
  <c r="O61" i="2"/>
  <c r="W61" i="2" s="1"/>
  <c r="C573" i="2"/>
  <c r="K101" i="6"/>
  <c r="W225" i="2"/>
  <c r="I135" i="6"/>
  <c r="X234" i="2"/>
  <c r="J144" i="6"/>
  <c r="AA234" i="2"/>
  <c r="U234" i="2"/>
  <c r="E27" i="21"/>
  <c r="D30" i="7"/>
  <c r="R143" i="6"/>
  <c r="K86" i="6"/>
  <c r="U226" i="2"/>
  <c r="J136" i="6"/>
  <c r="AF135" i="6" s="1"/>
  <c r="AK69" i="6"/>
  <c r="S59" i="2"/>
  <c r="X59" i="2" s="1"/>
  <c r="Y71" i="6"/>
  <c r="P496" i="2"/>
  <c r="L101" i="6"/>
  <c r="AM84" i="6"/>
  <c r="Y100" i="6"/>
  <c r="B110" i="6"/>
  <c r="R121" i="6"/>
  <c r="D131" i="7"/>
  <c r="W229" i="2"/>
  <c r="T229" i="2"/>
  <c r="C569" i="2"/>
  <c r="C574" i="2"/>
  <c r="G579" i="2" s="1"/>
  <c r="N14" i="2"/>
  <c r="L105" i="6"/>
  <c r="X233" i="2"/>
  <c r="J143" i="6"/>
  <c r="AA233" i="2"/>
  <c r="U233" i="2"/>
  <c r="J147" i="6"/>
  <c r="U237" i="2"/>
  <c r="X237" i="2"/>
  <c r="I149" i="6"/>
  <c r="W239" i="2"/>
  <c r="Z239" i="2"/>
  <c r="AM19" i="6"/>
  <c r="AK179" i="6"/>
  <c r="P544" i="2"/>
  <c r="K105" i="6"/>
  <c r="N24" i="2"/>
  <c r="AF163" i="6"/>
  <c r="Q515" i="2"/>
  <c r="Q522" i="2"/>
  <c r="Z229" i="2"/>
  <c r="Q509" i="2"/>
  <c r="Y92" i="6"/>
  <c r="P515" i="2"/>
  <c r="Y143" i="6"/>
  <c r="AM31" i="6"/>
  <c r="AN31" i="6" s="1"/>
  <c r="AM11" i="6"/>
  <c r="AF10" i="6"/>
  <c r="AF84" i="6"/>
  <c r="X226" i="2"/>
  <c r="F567" i="2"/>
  <c r="M563" i="2" s="1"/>
  <c r="R107" i="6"/>
  <c r="C582" i="2"/>
  <c r="E582" i="2" s="1"/>
  <c r="L566" i="2" s="1"/>
  <c r="AA495" i="2"/>
  <c r="L104" i="6"/>
  <c r="T236" i="2"/>
  <c r="Z236" i="2"/>
  <c r="I146" i="6"/>
  <c r="AF30" i="6"/>
  <c r="D51" i="7"/>
  <c r="E45" i="21"/>
  <c r="F582" i="2"/>
  <c r="M566" i="2" s="1"/>
  <c r="U336" i="6"/>
  <c r="Y342" i="6"/>
  <c r="Y337" i="6"/>
  <c r="Y333" i="6"/>
  <c r="Y347" i="6"/>
  <c r="Y285" i="6"/>
  <c r="Y339" i="6"/>
  <c r="Y329" i="6"/>
  <c r="E121" i="21"/>
  <c r="Y158" i="6"/>
  <c r="AM161" i="6"/>
  <c r="AM162" i="6"/>
  <c r="AM167" i="6"/>
  <c r="Y173" i="6"/>
  <c r="AM174" i="6"/>
  <c r="Y238" i="6"/>
  <c r="D252" i="7"/>
  <c r="E233" i="21"/>
  <c r="Y14" i="6"/>
  <c r="Y31" i="6"/>
  <c r="Y68" i="6"/>
  <c r="Y171" i="6"/>
  <c r="Y176" i="6"/>
  <c r="Y217" i="6"/>
  <c r="Y303" i="6"/>
  <c r="C83" i="7"/>
  <c r="Y161" i="6"/>
  <c r="Y162" i="6"/>
  <c r="W181" i="6"/>
  <c r="R201" i="6"/>
  <c r="B245" i="6"/>
  <c r="F579" i="2"/>
  <c r="M564" i="2" s="1"/>
  <c r="H579" i="2"/>
  <c r="AM365" i="6"/>
  <c r="AM357" i="6"/>
  <c r="AM339" i="6"/>
  <c r="AM317" i="6"/>
  <c r="AM362" i="6"/>
  <c r="AM361" i="6"/>
  <c r="AM351" i="6"/>
  <c r="AM355" i="6"/>
  <c r="AM354" i="6"/>
  <c r="AM352" i="6"/>
  <c r="AM315" i="6"/>
  <c r="AM311" i="6"/>
  <c r="AM292" i="6"/>
  <c r="AM364" i="6"/>
  <c r="AM345" i="6"/>
  <c r="AN345" i="6" s="1"/>
  <c r="AM336" i="6"/>
  <c r="AN336" i="6" s="1"/>
  <c r="AM346" i="6"/>
  <c r="AM342" i="6"/>
  <c r="AM328" i="6"/>
  <c r="AM316" i="6"/>
  <c r="AM247" i="6"/>
  <c r="AM213" i="6"/>
  <c r="AM201" i="6"/>
  <c r="AM198" i="6"/>
  <c r="AM177" i="6"/>
  <c r="AM227" i="6"/>
  <c r="K384" i="7"/>
  <c r="C384" i="7" s="1"/>
  <c r="D169" i="6"/>
  <c r="B169" i="6" s="1"/>
  <c r="Y172" i="6"/>
  <c r="Y175" i="6"/>
  <c r="Y191" i="6"/>
  <c r="AM197" i="6"/>
  <c r="AM217" i="6"/>
  <c r="AK323" i="6"/>
  <c r="Y327" i="6"/>
  <c r="Y321" i="6"/>
  <c r="Y338" i="6"/>
  <c r="Y354" i="6"/>
  <c r="Y361" i="6"/>
  <c r="Y334" i="6"/>
  <c r="Y341" i="6"/>
  <c r="Y351" i="6"/>
  <c r="Y355" i="6"/>
  <c r="Y362" i="6"/>
  <c r="R353" i="6"/>
  <c r="Y356" i="6"/>
  <c r="Y363" i="6"/>
  <c r="K66" i="15"/>
  <c r="J340" i="7"/>
  <c r="I199" i="7"/>
  <c r="I156" i="7"/>
  <c r="I151" i="7"/>
  <c r="I68" i="7"/>
  <c r="G68" i="7" s="1"/>
  <c r="I186" i="7"/>
  <c r="I127" i="7"/>
  <c r="I217" i="7"/>
  <c r="I231" i="7"/>
  <c r="E57" i="7"/>
  <c r="U56" i="6"/>
  <c r="AI56" i="6"/>
  <c r="AG56" i="6"/>
  <c r="F57" i="7"/>
  <c r="L57" i="7" s="1"/>
  <c r="E107" i="7"/>
  <c r="U100" i="6"/>
  <c r="AI162" i="6"/>
  <c r="F175" i="7"/>
  <c r="L175" i="7" s="1"/>
  <c r="F107" i="7"/>
  <c r="L107" i="7" s="1"/>
  <c r="AI100" i="6"/>
  <c r="AG100" i="6"/>
  <c r="AG83" i="6"/>
  <c r="F88" i="7"/>
  <c r="L88" i="7" s="1"/>
  <c r="AI83" i="6"/>
  <c r="E115" i="7"/>
  <c r="U108" i="6"/>
  <c r="AG272" i="6"/>
  <c r="F277" i="7"/>
  <c r="L277" i="7" s="1"/>
  <c r="U107" i="6"/>
  <c r="E114" i="7"/>
  <c r="U299" i="6"/>
  <c r="E308" i="7"/>
  <c r="E12" i="7"/>
  <c r="U15" i="6"/>
  <c r="F137" i="7"/>
  <c r="L137" i="7" s="1"/>
  <c r="U298" i="6"/>
  <c r="U95" i="6"/>
  <c r="F127" i="7"/>
  <c r="L127" i="7" s="1"/>
  <c r="U281" i="6"/>
  <c r="F355" i="7"/>
  <c r="L355" i="7" s="1"/>
  <c r="AI103" i="6"/>
  <c r="E89" i="7"/>
  <c r="AA111" i="6"/>
  <c r="AA354" i="6"/>
  <c r="AA68" i="6"/>
  <c r="AA303" i="6"/>
  <c r="AA362" i="6"/>
  <c r="AA342" i="6"/>
  <c r="AB342" i="6" s="1"/>
  <c r="AA329" i="6"/>
  <c r="AA31" i="6"/>
  <c r="AA162" i="6"/>
  <c r="AA191" i="6"/>
  <c r="AA355" i="6"/>
  <c r="AA321" i="6"/>
  <c r="AB321" i="6" s="1"/>
  <c r="AA76" i="6"/>
  <c r="AA158" i="6"/>
  <c r="AA338" i="6"/>
  <c r="AA341" i="6"/>
  <c r="AB127" i="6"/>
  <c r="AA305" i="6"/>
  <c r="AA69" i="6"/>
  <c r="AA328" i="6"/>
  <c r="AA17" i="6"/>
  <c r="AA252" i="6"/>
  <c r="AA363" i="6"/>
  <c r="AB48" i="6"/>
  <c r="AA270" i="6"/>
  <c r="AA301" i="6"/>
  <c r="AA272" i="6"/>
  <c r="AA12" i="6"/>
  <c r="AA347" i="6"/>
  <c r="AB365" i="6"/>
  <c r="AA351" i="6"/>
  <c r="AA9" i="6"/>
  <c r="AA253" i="6"/>
  <c r="AA236" i="6"/>
  <c r="AA239" i="6"/>
  <c r="AA271" i="6"/>
  <c r="AA153" i="6"/>
  <c r="AA361" i="6"/>
  <c r="AA67" i="6"/>
  <c r="AA298" i="6"/>
  <c r="AB226" i="6"/>
  <c r="AB57" i="6"/>
  <c r="AB359" i="6"/>
  <c r="AB40" i="6"/>
  <c r="AA246" i="6"/>
  <c r="AA53" i="6"/>
  <c r="AA244" i="6"/>
  <c r="AB323" i="6"/>
  <c r="AB156" i="6"/>
  <c r="AB67" i="6"/>
  <c r="AB28" i="6"/>
  <c r="AB248" i="6"/>
  <c r="AB271" i="6"/>
  <c r="AA66" i="6"/>
  <c r="AA35" i="6"/>
  <c r="AA300" i="6"/>
  <c r="AA265" i="6"/>
  <c r="AB32" i="6"/>
  <c r="AB329" i="6"/>
  <c r="AB326" i="6"/>
  <c r="AB283" i="6"/>
  <c r="AB231" i="6"/>
  <c r="AB347" i="6"/>
  <c r="AB17" i="6"/>
  <c r="AB144" i="6"/>
  <c r="AB128" i="6"/>
  <c r="AB265" i="6"/>
  <c r="AB261" i="6"/>
  <c r="AB31" i="6"/>
  <c r="AA217" i="6"/>
  <c r="AB217" i="6" s="1"/>
  <c r="AA291" i="6"/>
  <c r="AA13" i="6"/>
  <c r="AB72" i="6"/>
  <c r="AA192" i="6"/>
  <c r="AA262" i="6"/>
  <c r="AB262" i="6" s="1"/>
  <c r="AA275" i="6"/>
  <c r="AA225" i="6"/>
  <c r="AA37" i="6"/>
  <c r="AB13" i="6"/>
  <c r="AA137" i="6"/>
  <c r="AB137" i="6" s="1"/>
  <c r="AA47" i="6"/>
  <c r="AB47" i="6" s="1"/>
  <c r="AA256" i="6"/>
  <c r="AA212" i="6"/>
  <c r="AA339" i="6"/>
  <c r="AA263" i="6"/>
  <c r="AB307" i="6"/>
  <c r="AA63" i="6"/>
  <c r="AA46" i="6"/>
  <c r="AA315" i="6"/>
  <c r="AA320" i="6"/>
  <c r="AA210" i="6"/>
  <c r="AA274" i="6"/>
  <c r="AA281" i="6"/>
  <c r="AB154" i="6"/>
  <c r="AB22" i="6"/>
  <c r="AB192" i="6"/>
  <c r="AB37" i="6"/>
  <c r="AB263" i="6"/>
  <c r="AB84" i="6"/>
  <c r="AB311" i="6"/>
  <c r="AA198" i="6"/>
  <c r="AA102" i="6"/>
  <c r="AB344" i="6"/>
  <c r="AB73" i="6"/>
  <c r="AB49" i="6"/>
  <c r="AB220" i="6"/>
  <c r="AB69" i="6"/>
  <c r="AB102" i="6"/>
  <c r="AB190" i="6"/>
  <c r="AB275" i="6"/>
  <c r="AB164" i="6"/>
  <c r="AB163" i="6"/>
  <c r="AA10" i="6"/>
  <c r="AA357" i="6"/>
  <c r="AB357" i="6" s="1"/>
  <c r="AA119" i="6"/>
  <c r="AA82" i="6"/>
  <c r="AB325" i="6"/>
  <c r="AB362" i="6"/>
  <c r="AB257" i="6"/>
  <c r="AB45" i="6"/>
  <c r="AB55" i="6"/>
  <c r="AB235" i="6"/>
  <c r="AA334" i="6"/>
  <c r="AB158" i="6"/>
  <c r="AB354" i="6"/>
  <c r="AB112" i="6"/>
  <c r="AB281" i="6"/>
  <c r="AB157" i="6"/>
  <c r="AB279" i="6"/>
  <c r="AB328" i="6"/>
  <c r="AB165" i="6"/>
  <c r="AA107" i="6"/>
  <c r="AB252" i="6"/>
  <c r="AB107" i="6"/>
  <c r="AA299" i="6"/>
  <c r="AB273" i="6"/>
  <c r="AB35" i="6"/>
  <c r="AA352" i="6"/>
  <c r="AB352" i="6" s="1"/>
  <c r="AA59" i="6"/>
  <c r="AA23" i="6"/>
  <c r="AA249" i="6"/>
  <c r="AB249" i="6" s="1"/>
  <c r="AB213" i="6"/>
  <c r="AA148" i="6"/>
  <c r="AA92" i="6"/>
  <c r="AB92" i="6" s="1"/>
  <c r="AA39" i="6"/>
  <c r="AA317" i="6"/>
  <c r="AB317" i="6" s="1"/>
  <c r="AA54" i="6"/>
  <c r="AB54" i="6" s="1"/>
  <c r="AA71" i="6"/>
  <c r="AA238" i="6"/>
  <c r="AB238" i="6" s="1"/>
  <c r="AA161" i="6"/>
  <c r="AB161" i="6" s="1"/>
  <c r="AA85" i="6"/>
  <c r="AA74" i="6"/>
  <c r="AA14" i="6"/>
  <c r="AA29" i="6"/>
  <c r="AB29" i="6" s="1"/>
  <c r="AB111" i="6"/>
  <c r="AB33" i="6"/>
  <c r="AB305" i="6"/>
  <c r="AB341" i="6"/>
  <c r="AB225" i="6"/>
  <c r="AB68" i="6"/>
  <c r="AB324" i="6"/>
  <c r="AA56" i="6"/>
  <c r="AB361" i="6"/>
  <c r="AB93" i="6"/>
  <c r="AB14" i="6"/>
  <c r="AB90" i="6"/>
  <c r="AB236" i="6"/>
  <c r="AB153" i="6"/>
  <c r="AB41" i="6"/>
  <c r="AB256" i="6"/>
  <c r="AB76" i="6"/>
  <c r="AB291" i="6"/>
  <c r="AB159" i="6"/>
  <c r="AB74" i="6"/>
  <c r="AA209" i="6"/>
  <c r="AA100" i="6"/>
  <c r="AA15" i="6"/>
  <c r="AB15" i="6" s="1"/>
  <c r="AB38" i="6"/>
  <c r="AB335" i="6"/>
  <c r="AB210" i="6"/>
  <c r="AB148" i="6"/>
  <c r="AB136" i="6"/>
  <c r="AB247" i="6"/>
  <c r="AA122" i="6"/>
  <c r="AB122" i="6" s="1"/>
  <c r="AA336" i="6"/>
  <c r="AB338" i="6"/>
  <c r="AB270" i="6"/>
  <c r="AB12" i="6"/>
  <c r="AB303" i="6"/>
  <c r="AB200" i="6"/>
  <c r="AB167" i="6"/>
  <c r="AB103" i="6"/>
  <c r="AB18" i="6"/>
  <c r="AB345" i="6"/>
  <c r="AA290" i="6"/>
  <c r="AB290" i="6" s="1"/>
  <c r="AA51" i="6"/>
  <c r="AA130" i="6"/>
  <c r="AB130" i="6" s="1"/>
  <c r="AA306" i="6"/>
  <c r="AA99" i="6"/>
  <c r="AB99" i="6" s="1"/>
  <c r="AA194" i="6"/>
  <c r="AB194" i="6" s="1"/>
  <c r="AA121" i="6"/>
  <c r="AB121" i="6" s="1"/>
  <c r="AA155" i="6"/>
  <c r="AB155" i="6" s="1"/>
  <c r="AA125" i="6"/>
  <c r="AB125" i="6" s="1"/>
  <c r="AA77" i="6"/>
  <c r="AA75" i="6"/>
  <c r="AA255" i="6"/>
  <c r="AB255" i="6" s="1"/>
  <c r="AA264" i="6"/>
  <c r="AB264" i="6" s="1"/>
  <c r="AA346" i="6"/>
  <c r="AB346" i="6" s="1"/>
  <c r="AA269" i="6"/>
  <c r="AB269" i="6" s="1"/>
  <c r="AA199" i="6"/>
  <c r="AB199" i="6" s="1"/>
  <c r="AA254" i="6"/>
  <c r="AB254" i="6" s="1"/>
  <c r="AA234" i="6"/>
  <c r="AA30" i="6"/>
  <c r="AB30" i="6" s="1"/>
  <c r="AA207" i="6"/>
  <c r="AB207" i="6" s="1"/>
  <c r="AB162" i="6"/>
  <c r="AA333" i="6"/>
  <c r="AB333" i="6" s="1"/>
  <c r="AA197" i="6"/>
  <c r="AA108" i="6"/>
  <c r="AB108" i="6" s="1"/>
  <c r="AB59" i="6"/>
  <c r="AB274" i="6"/>
  <c r="AB64" i="6"/>
  <c r="AB239" i="6"/>
  <c r="AB83" i="6"/>
  <c r="AA87" i="6"/>
  <c r="AB87" i="6" s="1"/>
  <c r="AA233" i="6"/>
  <c r="AB233" i="6" s="1"/>
  <c r="AB197" i="6"/>
  <c r="AB85" i="6"/>
  <c r="AB343" i="6"/>
  <c r="AB266" i="6"/>
  <c r="AB228" i="6"/>
  <c r="AB364" i="6"/>
  <c r="AB244" i="6"/>
  <c r="AB284" i="6"/>
  <c r="AB301" i="6"/>
  <c r="AA20" i="6"/>
  <c r="AA221" i="6"/>
  <c r="AA319" i="6"/>
  <c r="AA216" i="6"/>
  <c r="AB216" i="6" s="1"/>
  <c r="AA95" i="6"/>
  <c r="AB95" i="6" s="1"/>
  <c r="AB306" i="6"/>
  <c r="AB267" i="6"/>
  <c r="AB253" i="6"/>
  <c r="AB191" i="6"/>
  <c r="AB272" i="6"/>
  <c r="AB198" i="6"/>
  <c r="AB20" i="6"/>
  <c r="AB89" i="6"/>
  <c r="AB53" i="6"/>
  <c r="AB221" i="6"/>
  <c r="AB75" i="6"/>
  <c r="AB318" i="6"/>
  <c r="AB355" i="6"/>
  <c r="AB316" i="6"/>
  <c r="AB9" i="6"/>
  <c r="AB63" i="6"/>
  <c r="AB46" i="6"/>
  <c r="AB246" i="6"/>
  <c r="AB339" i="6"/>
  <c r="AB91" i="6"/>
  <c r="AB309" i="6"/>
  <c r="AA308" i="6"/>
  <c r="AB308" i="6" s="1"/>
  <c r="AA126" i="6"/>
  <c r="AB126" i="6" s="1"/>
  <c r="AA129" i="6"/>
  <c r="AB129" i="6" s="1"/>
  <c r="AA27" i="6"/>
  <c r="AB27" i="6" s="1"/>
  <c r="AO265" i="6"/>
  <c r="AO153" i="6"/>
  <c r="AO273" i="6"/>
  <c r="AO209" i="6"/>
  <c r="AO123" i="6"/>
  <c r="AO219" i="6"/>
  <c r="AO111" i="6"/>
  <c r="AO21" i="6"/>
  <c r="AO227" i="6"/>
  <c r="AO56" i="6"/>
  <c r="AO291" i="6"/>
  <c r="AP273" i="6"/>
  <c r="AO54" i="6"/>
  <c r="AO345" i="6"/>
  <c r="AO118" i="6"/>
  <c r="AO46" i="6"/>
  <c r="AO354" i="6"/>
  <c r="AO343" i="6"/>
  <c r="AP111" i="6"/>
  <c r="AO244" i="6"/>
  <c r="AO9" i="6"/>
  <c r="AO293" i="6"/>
  <c r="AO164" i="6"/>
  <c r="AO212" i="6"/>
  <c r="AO361" i="6"/>
  <c r="AO226" i="6"/>
  <c r="AO287" i="6"/>
  <c r="AO362" i="6"/>
  <c r="AO251" i="6"/>
  <c r="AO195" i="6"/>
  <c r="AP195" i="6" s="1"/>
  <c r="AO163" i="6"/>
  <c r="AO233" i="6"/>
  <c r="AO297" i="6"/>
  <c r="AO333" i="6"/>
  <c r="AP333" i="6"/>
  <c r="AP194" i="6"/>
  <c r="AO90" i="6"/>
  <c r="AO254" i="6"/>
  <c r="AO317" i="6"/>
  <c r="AO289" i="6"/>
  <c r="AO290" i="6"/>
  <c r="AO122" i="6"/>
  <c r="AP363" i="6"/>
  <c r="AP94" i="6"/>
  <c r="AO351" i="6"/>
  <c r="AO86" i="6"/>
  <c r="AP86" i="6" s="1"/>
  <c r="AO82" i="6"/>
  <c r="AO346" i="6"/>
  <c r="AP227" i="6"/>
  <c r="AO198" i="6"/>
  <c r="AO148" i="6"/>
  <c r="AP354" i="6"/>
  <c r="AP256" i="6"/>
  <c r="AO316" i="6"/>
  <c r="AO257" i="6"/>
  <c r="AP189" i="6"/>
  <c r="AO336" i="6"/>
  <c r="AP153" i="6"/>
  <c r="AP343" i="6"/>
  <c r="AO364" i="6"/>
  <c r="AP364" i="6" s="1"/>
  <c r="AO298" i="6"/>
  <c r="AP131" i="6"/>
  <c r="AO342" i="6"/>
  <c r="AO292" i="6"/>
  <c r="AO357" i="6"/>
  <c r="AP357" i="6" s="1"/>
  <c r="AO45" i="6"/>
  <c r="AP45" i="6" s="1"/>
  <c r="AP122" i="6"/>
  <c r="AP141" i="6"/>
  <c r="AO36" i="6"/>
  <c r="AO309" i="6"/>
  <c r="AP46" i="6"/>
  <c r="AO352" i="6"/>
  <c r="AP326" i="6"/>
  <c r="AO100" i="6"/>
  <c r="AP219" i="6"/>
  <c r="AP265" i="6"/>
  <c r="AO311" i="6"/>
  <c r="AO159" i="6"/>
  <c r="AO300" i="6"/>
  <c r="AP300" i="6" s="1"/>
  <c r="AP163" i="6"/>
  <c r="AO253" i="6"/>
  <c r="AO83" i="6"/>
  <c r="AO31" i="6"/>
  <c r="AO318" i="6"/>
  <c r="AP318" i="6" s="1"/>
  <c r="AO50" i="6"/>
  <c r="AO154" i="6"/>
  <c r="AO261" i="6"/>
  <c r="AP362" i="6"/>
  <c r="AO67" i="6"/>
  <c r="AO66" i="6"/>
  <c r="AO211" i="6"/>
  <c r="AO130" i="6"/>
  <c r="AO49" i="6"/>
  <c r="AO75" i="6"/>
  <c r="AP75" i="6" s="1"/>
  <c r="AP290" i="6"/>
  <c r="AO215" i="6"/>
  <c r="AP215" i="6"/>
  <c r="AP311" i="6"/>
  <c r="AP297" i="6"/>
  <c r="AP31" i="6"/>
  <c r="AP209" i="6"/>
  <c r="AO155" i="6"/>
  <c r="AP251" i="6"/>
  <c r="AO272" i="6"/>
  <c r="AP272" i="6" s="1"/>
  <c r="AP121" i="6"/>
  <c r="AP212" i="6"/>
  <c r="AP298" i="6"/>
  <c r="AP346" i="6"/>
  <c r="AP123" i="6"/>
  <c r="AP118" i="6"/>
  <c r="AO14" i="6"/>
  <c r="AP14" i="6" s="1"/>
  <c r="AO162" i="6"/>
  <c r="AO107" i="6"/>
  <c r="AO249" i="6"/>
  <c r="AP249" i="6" s="1"/>
  <c r="AO328" i="6"/>
  <c r="AP130" i="6"/>
  <c r="AO55" i="6"/>
  <c r="AP56" i="6"/>
  <c r="AP59" i="6"/>
  <c r="AP89" i="6"/>
  <c r="AN362" i="6" l="1"/>
  <c r="I332" i="7"/>
  <c r="I355" i="7"/>
  <c r="Z191" i="6"/>
  <c r="H340" i="7"/>
  <c r="M340" i="7" s="1"/>
  <c r="I358" i="7"/>
  <c r="J377" i="7"/>
  <c r="I30" i="7"/>
  <c r="I136" i="7"/>
  <c r="G136" i="7" s="1"/>
  <c r="N305" i="6"/>
  <c r="N149" i="6"/>
  <c r="N320" i="6"/>
  <c r="F275" i="7"/>
  <c r="L275" i="7" s="1"/>
  <c r="N270" i="6"/>
  <c r="AI284" i="6"/>
  <c r="N119" i="6"/>
  <c r="AG71" i="6"/>
  <c r="G16" i="21"/>
  <c r="AI19" i="6"/>
  <c r="AG19" i="6"/>
  <c r="F16" i="7"/>
  <c r="L16" i="7" s="1"/>
  <c r="G195" i="21"/>
  <c r="F208" i="7"/>
  <c r="L208" i="7" s="1"/>
  <c r="G218" i="21"/>
  <c r="F234" i="7"/>
  <c r="L234" i="7" s="1"/>
  <c r="G230" i="21"/>
  <c r="F249" i="7"/>
  <c r="L249" i="7" s="1"/>
  <c r="AG246" i="6"/>
  <c r="G236" i="21"/>
  <c r="AI252" i="6"/>
  <c r="F255" i="7"/>
  <c r="L255" i="7" s="1"/>
  <c r="AG252" i="6"/>
  <c r="AN71" i="6"/>
  <c r="N235" i="6"/>
  <c r="G220" i="21" s="1"/>
  <c r="AG68" i="6"/>
  <c r="N68" i="6"/>
  <c r="N161" i="6"/>
  <c r="F354" i="7"/>
  <c r="L354" i="7" s="1"/>
  <c r="N341" i="6"/>
  <c r="N335" i="6"/>
  <c r="AI65" i="6"/>
  <c r="N65" i="6"/>
  <c r="N39" i="6"/>
  <c r="AI76" i="6"/>
  <c r="F10" i="21"/>
  <c r="E10" i="7"/>
  <c r="F155" i="21"/>
  <c r="U166" i="6"/>
  <c r="F273" i="21"/>
  <c r="E298" i="7"/>
  <c r="G247" i="21"/>
  <c r="F269" i="7"/>
  <c r="L269" i="7" s="1"/>
  <c r="AG264" i="6"/>
  <c r="N63" i="6"/>
  <c r="G297" i="21"/>
  <c r="F328" i="7"/>
  <c r="L328" i="7" s="1"/>
  <c r="G28" i="21"/>
  <c r="AG32" i="6"/>
  <c r="G103" i="21"/>
  <c r="F118" i="7"/>
  <c r="L118" i="7" s="1"/>
  <c r="F203" i="21"/>
  <c r="E216" i="7"/>
  <c r="G292" i="21"/>
  <c r="F320" i="7"/>
  <c r="L320" i="7" s="1"/>
  <c r="G7" i="21"/>
  <c r="AG10" i="6"/>
  <c r="F7" i="7"/>
  <c r="L7" i="7" s="1"/>
  <c r="AI10" i="6"/>
  <c r="F275" i="21"/>
  <c r="U293" i="6"/>
  <c r="G284" i="21"/>
  <c r="F312" i="7"/>
  <c r="L312" i="7" s="1"/>
  <c r="AG303" i="6"/>
  <c r="AN303" i="6" s="1"/>
  <c r="AN264" i="6"/>
  <c r="N334" i="6"/>
  <c r="G148" i="21"/>
  <c r="F172" i="7"/>
  <c r="L172" i="7" s="1"/>
  <c r="G187" i="21"/>
  <c r="AG200" i="6"/>
  <c r="G91" i="21"/>
  <c r="AI99" i="6"/>
  <c r="AG99" i="6"/>
  <c r="F106" i="7"/>
  <c r="L106" i="7" s="1"/>
  <c r="G290" i="21"/>
  <c r="F318" i="7"/>
  <c r="L318" i="7" s="1"/>
  <c r="G250" i="21"/>
  <c r="AI267" i="6"/>
  <c r="F272" i="7"/>
  <c r="L272" i="7" s="1"/>
  <c r="AG267" i="6"/>
  <c r="AN267" i="6" s="1"/>
  <c r="F168" i="7"/>
  <c r="L168" i="7" s="1"/>
  <c r="G71" i="21"/>
  <c r="AG77" i="6"/>
  <c r="AN77" i="6" s="1"/>
  <c r="F80" i="7"/>
  <c r="L80" i="7" s="1"/>
  <c r="AI77" i="6"/>
  <c r="G301" i="21"/>
  <c r="AI321" i="6"/>
  <c r="F332" i="7"/>
  <c r="L332" i="7" s="1"/>
  <c r="AG321" i="6"/>
  <c r="AI303" i="6"/>
  <c r="F238" i="7"/>
  <c r="L238" i="7" s="1"/>
  <c r="N237" i="6"/>
  <c r="G222" i="21" s="1"/>
  <c r="N310" i="6"/>
  <c r="AI27" i="6"/>
  <c r="N27" i="6"/>
  <c r="N158" i="6"/>
  <c r="F226" i="7"/>
  <c r="L226" i="7" s="1"/>
  <c r="N225" i="6"/>
  <c r="N323" i="6"/>
  <c r="AG167" i="6"/>
  <c r="N167" i="6"/>
  <c r="N315" i="6"/>
  <c r="F357" i="7"/>
  <c r="L357" i="7" s="1"/>
  <c r="N344" i="6"/>
  <c r="N239" i="6"/>
  <c r="F120" i="21"/>
  <c r="E138" i="7"/>
  <c r="F23" i="21"/>
  <c r="E26" i="7"/>
  <c r="F289" i="21"/>
  <c r="E317" i="7"/>
  <c r="F117" i="21"/>
  <c r="E135" i="7"/>
  <c r="G50" i="21"/>
  <c r="F56" i="7"/>
  <c r="L56" i="7" s="1"/>
  <c r="G304" i="21"/>
  <c r="AI324" i="6"/>
  <c r="F111" i="21"/>
  <c r="U120" i="6"/>
  <c r="AI213" i="6"/>
  <c r="N213" i="6"/>
  <c r="F270" i="21"/>
  <c r="U288" i="6"/>
  <c r="G86" i="21"/>
  <c r="AI93" i="6"/>
  <c r="F180" i="21"/>
  <c r="U193" i="6"/>
  <c r="F272" i="21"/>
  <c r="E297" i="7"/>
  <c r="G232" i="21"/>
  <c r="AI248" i="6"/>
  <c r="G264" i="21"/>
  <c r="AG282" i="6"/>
  <c r="F289" i="7"/>
  <c r="L289" i="7" s="1"/>
  <c r="AN293" i="6"/>
  <c r="AN265" i="6"/>
  <c r="Z253" i="6"/>
  <c r="Z199" i="6"/>
  <c r="AN67" i="6"/>
  <c r="J60" i="7"/>
  <c r="H60" i="7" s="1"/>
  <c r="M60" i="7" s="1"/>
  <c r="I335" i="7"/>
  <c r="I175" i="7"/>
  <c r="I316" i="7"/>
  <c r="G316" i="7" s="1"/>
  <c r="I380" i="7"/>
  <c r="I212" i="7"/>
  <c r="I10" i="7"/>
  <c r="I49" i="7"/>
  <c r="J259" i="7"/>
  <c r="J152" i="7"/>
  <c r="H152" i="7" s="1"/>
  <c r="M152" i="7" s="1"/>
  <c r="I75" i="7"/>
  <c r="Z299" i="6"/>
  <c r="AN291" i="6"/>
  <c r="F77" i="7"/>
  <c r="L77" i="7" s="1"/>
  <c r="AI74" i="6"/>
  <c r="AG74" i="6"/>
  <c r="AI69" i="6"/>
  <c r="AG69" i="6"/>
  <c r="F72" i="7"/>
  <c r="L72" i="7" s="1"/>
  <c r="AG33" i="6"/>
  <c r="AI33" i="6"/>
  <c r="F32" i="7"/>
  <c r="L32" i="7" s="1"/>
  <c r="Z361" i="6"/>
  <c r="AN123" i="6"/>
  <c r="F68" i="7"/>
  <c r="L68" i="7" s="1"/>
  <c r="F268" i="7"/>
  <c r="L268" i="7" s="1"/>
  <c r="AI263" i="6"/>
  <c r="AG263" i="6"/>
  <c r="Z209" i="6"/>
  <c r="E319" i="7"/>
  <c r="U310" i="6"/>
  <c r="AG338" i="6"/>
  <c r="AI338" i="6"/>
  <c r="F351" i="7"/>
  <c r="L351" i="7" s="1"/>
  <c r="L22" i="19" s="1"/>
  <c r="AG230" i="6"/>
  <c r="AI230" i="6"/>
  <c r="F231" i="7"/>
  <c r="L231" i="7" s="1"/>
  <c r="F20" i="19" s="1"/>
  <c r="F92" i="7"/>
  <c r="L92" i="7" s="1"/>
  <c r="AG87" i="6"/>
  <c r="AI87" i="6"/>
  <c r="AG166" i="6"/>
  <c r="AI166" i="6"/>
  <c r="F179" i="7"/>
  <c r="L179" i="7" s="1"/>
  <c r="F48" i="7"/>
  <c r="L48" i="7" s="1"/>
  <c r="AI47" i="6"/>
  <c r="AG47" i="6"/>
  <c r="F149" i="7"/>
  <c r="L149" i="7" s="1"/>
  <c r="AI138" i="6"/>
  <c r="F316" i="7"/>
  <c r="L316" i="7" s="1"/>
  <c r="AI307" i="6"/>
  <c r="AI221" i="6"/>
  <c r="F220" i="7"/>
  <c r="L220" i="7" s="1"/>
  <c r="AG221" i="6"/>
  <c r="AN221" i="6" s="1"/>
  <c r="AI229" i="6"/>
  <c r="F230" i="7"/>
  <c r="L230" i="7" s="1"/>
  <c r="AG229" i="6"/>
  <c r="AI30" i="6"/>
  <c r="AG30" i="6"/>
  <c r="F29" i="7"/>
  <c r="L29" i="7" s="1"/>
  <c r="F96" i="7"/>
  <c r="L96" i="7" s="1"/>
  <c r="AI91" i="6"/>
  <c r="F138" i="7"/>
  <c r="L138" i="7" s="1"/>
  <c r="AG129" i="6"/>
  <c r="F286" i="7"/>
  <c r="L286" i="7" s="1"/>
  <c r="AG279" i="6"/>
  <c r="AI279" i="6"/>
  <c r="AI192" i="6"/>
  <c r="AG192" i="6"/>
  <c r="F189" i="7"/>
  <c r="L189" i="7" s="1"/>
  <c r="F97" i="7"/>
  <c r="L97" i="7" s="1"/>
  <c r="AG92" i="6"/>
  <c r="AI202" i="6"/>
  <c r="AG202" i="6"/>
  <c r="F199" i="7"/>
  <c r="L199" i="7" s="1"/>
  <c r="AI199" i="6"/>
  <c r="AG199" i="6"/>
  <c r="F196" i="7"/>
  <c r="L196" i="7" s="1"/>
  <c r="AG51" i="6"/>
  <c r="F52" i="7"/>
  <c r="L52" i="7" s="1"/>
  <c r="AI51" i="6"/>
  <c r="F215" i="7"/>
  <c r="L215" i="7" s="1"/>
  <c r="AI216" i="6"/>
  <c r="AG216" i="6"/>
  <c r="AI207" i="6"/>
  <c r="AN207" i="6" s="1"/>
  <c r="F206" i="7"/>
  <c r="L206" i="7" s="1"/>
  <c r="F200" i="7"/>
  <c r="L200" i="7" s="1"/>
  <c r="AG203" i="6"/>
  <c r="AI203" i="6"/>
  <c r="F288" i="7"/>
  <c r="L288" i="7" s="1"/>
  <c r="AG281" i="6"/>
  <c r="AI281" i="6"/>
  <c r="F258" i="7"/>
  <c r="L258" i="7" s="1"/>
  <c r="AG255" i="6"/>
  <c r="AN255" i="6" s="1"/>
  <c r="AI255" i="6"/>
  <c r="AG53" i="6"/>
  <c r="F54" i="7"/>
  <c r="L54" i="7" s="1"/>
  <c r="AI53" i="6"/>
  <c r="F134" i="7"/>
  <c r="L134" i="7" s="1"/>
  <c r="AI125" i="6"/>
  <c r="AN125" i="6" s="1"/>
  <c r="AG165" i="6"/>
  <c r="AN165" i="6" s="1"/>
  <c r="F178" i="7"/>
  <c r="L178" i="7" s="1"/>
  <c r="F39" i="7"/>
  <c r="L39" i="7" s="1"/>
  <c r="AG40" i="6"/>
  <c r="AI40" i="6"/>
  <c r="AN30" i="6"/>
  <c r="AN203" i="6"/>
  <c r="F236" i="7"/>
  <c r="L236" i="7" s="1"/>
  <c r="AG235" i="6"/>
  <c r="AG247" i="6"/>
  <c r="AN247" i="6" s="1"/>
  <c r="F250" i="7"/>
  <c r="L250" i="7" s="1"/>
  <c r="AI247" i="6"/>
  <c r="AI156" i="6"/>
  <c r="AG156" i="6"/>
  <c r="AN156" i="6" s="1"/>
  <c r="F169" i="7"/>
  <c r="L169" i="7" s="1"/>
  <c r="AI243" i="6"/>
  <c r="AG243" i="6"/>
  <c r="F246" i="7"/>
  <c r="L246" i="7" s="1"/>
  <c r="AN272" i="6"/>
  <c r="AN257" i="6"/>
  <c r="AN138" i="6"/>
  <c r="AN200" i="6"/>
  <c r="AG236" i="6"/>
  <c r="AN236" i="6" s="1"/>
  <c r="F237" i="7"/>
  <c r="L237" i="7" s="1"/>
  <c r="AI236" i="6"/>
  <c r="AG359" i="6"/>
  <c r="F374" i="7"/>
  <c r="L374" i="7" s="1"/>
  <c r="F8" i="7"/>
  <c r="L8" i="7" s="1"/>
  <c r="AI11" i="6"/>
  <c r="AG11" i="6"/>
  <c r="AG302" i="6"/>
  <c r="AI302" i="6"/>
  <c r="AI102" i="6"/>
  <c r="AG102" i="6"/>
  <c r="Z281" i="6"/>
  <c r="F330" i="7"/>
  <c r="L330" i="7" s="1"/>
  <c r="AG319" i="6"/>
  <c r="AN319" i="6" s="1"/>
  <c r="AG218" i="6"/>
  <c r="AN218" i="6" s="1"/>
  <c r="AI218" i="6"/>
  <c r="F217" i="7"/>
  <c r="L217" i="7" s="1"/>
  <c r="F219" i="7"/>
  <c r="L219" i="7" s="1"/>
  <c r="AI220" i="6"/>
  <c r="AG220" i="6"/>
  <c r="AI137" i="6"/>
  <c r="F148" i="7"/>
  <c r="L148" i="7" s="1"/>
  <c r="AG325" i="6"/>
  <c r="AI325" i="6"/>
  <c r="F336" i="7"/>
  <c r="L336" i="7" s="1"/>
  <c r="AI12" i="6"/>
  <c r="F9" i="7"/>
  <c r="L9" i="7" s="1"/>
  <c r="AG76" i="6"/>
  <c r="F79" i="7"/>
  <c r="L79" i="7" s="1"/>
  <c r="Z271" i="6"/>
  <c r="AN49" i="6"/>
  <c r="AI217" i="6"/>
  <c r="AG217" i="6"/>
  <c r="F216" i="7"/>
  <c r="L216" i="7" s="1"/>
  <c r="F232" i="7"/>
  <c r="L232" i="7" s="1"/>
  <c r="AI231" i="6"/>
  <c r="AG231" i="6"/>
  <c r="AG355" i="6"/>
  <c r="F370" i="7"/>
  <c r="L370" i="7" s="1"/>
  <c r="AG48" i="6"/>
  <c r="AI48" i="6"/>
  <c r="AI140" i="6"/>
  <c r="F151" i="7"/>
  <c r="L151" i="7" s="1"/>
  <c r="F17" i="19" s="1"/>
  <c r="AG140" i="6"/>
  <c r="F89" i="7"/>
  <c r="L89" i="7" s="1"/>
  <c r="AG84" i="6"/>
  <c r="AI84" i="6"/>
  <c r="F90" i="7"/>
  <c r="L90" i="7" s="1"/>
  <c r="AG85" i="6"/>
  <c r="AI85" i="6"/>
  <c r="F36" i="7"/>
  <c r="L36" i="7" s="1"/>
  <c r="AI37" i="6"/>
  <c r="AG37" i="6"/>
  <c r="F317" i="7"/>
  <c r="L317" i="7" s="1"/>
  <c r="AG308" i="6"/>
  <c r="AI308" i="6"/>
  <c r="AG128" i="6"/>
  <c r="AI128" i="6"/>
  <c r="AI271" i="6"/>
  <c r="AG271" i="6"/>
  <c r="F276" i="7"/>
  <c r="L276" i="7" s="1"/>
  <c r="AN21" i="6"/>
  <c r="AN297" i="6"/>
  <c r="AN333" i="6"/>
  <c r="Z263" i="6"/>
  <c r="Z317" i="6"/>
  <c r="AI237" i="6"/>
  <c r="AN254" i="6"/>
  <c r="E299" i="7"/>
  <c r="U292" i="6"/>
  <c r="F360" i="7"/>
  <c r="L360" i="7" s="1"/>
  <c r="AG347" i="6"/>
  <c r="AI347" i="6"/>
  <c r="F135" i="7"/>
  <c r="L135" i="7" s="1"/>
  <c r="AG126" i="6"/>
  <c r="AI126" i="6"/>
  <c r="AG339" i="6"/>
  <c r="F352" i="7"/>
  <c r="L352" i="7" s="1"/>
  <c r="AI339" i="6"/>
  <c r="AI73" i="6"/>
  <c r="AG73" i="6"/>
  <c r="F76" i="7"/>
  <c r="L76" i="7" s="1"/>
  <c r="F229" i="7"/>
  <c r="L229" i="7" s="1"/>
  <c r="AI228" i="6"/>
  <c r="AI15" i="6"/>
  <c r="F12" i="7"/>
  <c r="L12" i="7" s="1"/>
  <c r="AG238" i="6"/>
  <c r="AI238" i="6"/>
  <c r="F239" i="7"/>
  <c r="L239" i="7" s="1"/>
  <c r="AI275" i="6"/>
  <c r="F280" i="7"/>
  <c r="L280" i="7" s="1"/>
  <c r="AG275" i="6"/>
  <c r="AI17" i="6"/>
  <c r="F14" i="7"/>
  <c r="L14" i="7" s="1"/>
  <c r="AG17" i="6"/>
  <c r="F28" i="7"/>
  <c r="L28" i="7" s="1"/>
  <c r="AG29" i="6"/>
  <c r="AI29" i="6"/>
  <c r="AG22" i="6"/>
  <c r="F19" i="7"/>
  <c r="L19" i="7" s="1"/>
  <c r="AI22" i="6"/>
  <c r="AI95" i="6"/>
  <c r="F100" i="7"/>
  <c r="L100" i="7" s="1"/>
  <c r="AG95" i="6"/>
  <c r="AI145" i="6"/>
  <c r="F156" i="7"/>
  <c r="L156" i="7" s="1"/>
  <c r="AG145" i="6"/>
  <c r="AG35" i="6"/>
  <c r="F34" i="7"/>
  <c r="L34" i="7" s="1"/>
  <c r="Z47" i="6"/>
  <c r="Z137" i="6"/>
  <c r="AN249" i="6"/>
  <c r="AN66" i="6"/>
  <c r="AN318" i="6"/>
  <c r="AG237" i="6"/>
  <c r="E111" i="7"/>
  <c r="K15" i="19" s="1"/>
  <c r="U104" i="6"/>
  <c r="F157" i="7"/>
  <c r="L157" i="7" s="1"/>
  <c r="AG146" i="6"/>
  <c r="AI146" i="6"/>
  <c r="AI190" i="6"/>
  <c r="AG190" i="6"/>
  <c r="F187" i="7"/>
  <c r="L187" i="7" s="1"/>
  <c r="AI262" i="6"/>
  <c r="F267" i="7"/>
  <c r="L267" i="7" s="1"/>
  <c r="AG262" i="6"/>
  <c r="AG306" i="6"/>
  <c r="AI306" i="6"/>
  <c r="F315" i="7"/>
  <c r="L315" i="7" s="1"/>
  <c r="AI18" i="6"/>
  <c r="F15" i="7"/>
  <c r="L15" i="7" s="1"/>
  <c r="AG18" i="6"/>
  <c r="AI20" i="6"/>
  <c r="AG20" i="6"/>
  <c r="F17" i="7"/>
  <c r="L17" i="7" s="1"/>
  <c r="AI157" i="6"/>
  <c r="F170" i="7"/>
  <c r="L170" i="7" s="1"/>
  <c r="AG157" i="6"/>
  <c r="AG197" i="6"/>
  <c r="F194" i="7"/>
  <c r="L194" i="7" s="1"/>
  <c r="AI197" i="6"/>
  <c r="F37" i="7"/>
  <c r="L37" i="7" s="1"/>
  <c r="AG38" i="6"/>
  <c r="F188" i="7"/>
  <c r="L188" i="7" s="1"/>
  <c r="AI191" i="6"/>
  <c r="AG191" i="6"/>
  <c r="AG41" i="6"/>
  <c r="AI41" i="6"/>
  <c r="F40" i="7"/>
  <c r="L40" i="7" s="1"/>
  <c r="E296" i="7"/>
  <c r="U289" i="6"/>
  <c r="J346" i="7"/>
  <c r="I47" i="7"/>
  <c r="I328" i="7"/>
  <c r="I29" i="7"/>
  <c r="I76" i="7"/>
  <c r="G76" i="7" s="1"/>
  <c r="I139" i="7"/>
  <c r="I171" i="7"/>
  <c r="I340" i="7"/>
  <c r="I226" i="7"/>
  <c r="I356" i="7"/>
  <c r="G356" i="7" s="1"/>
  <c r="I11" i="7"/>
  <c r="I189" i="7"/>
  <c r="I256" i="7"/>
  <c r="J378" i="7"/>
  <c r="H378" i="7" s="1"/>
  <c r="M378" i="7" s="1"/>
  <c r="I39" i="7"/>
  <c r="J166" i="7"/>
  <c r="H166" i="7" s="1"/>
  <c r="M166" i="7" s="1"/>
  <c r="I155" i="7"/>
  <c r="I37" i="7"/>
  <c r="I118" i="7"/>
  <c r="I336" i="7"/>
  <c r="G336" i="7" s="1"/>
  <c r="I334" i="7"/>
  <c r="I274" i="7"/>
  <c r="AN354" i="6"/>
  <c r="AI301" i="6"/>
  <c r="F310" i="7"/>
  <c r="L310" i="7" s="1"/>
  <c r="AG301" i="6"/>
  <c r="E246" i="7"/>
  <c r="U243" i="6"/>
  <c r="E18" i="7"/>
  <c r="U21" i="6"/>
  <c r="F274" i="7"/>
  <c r="L274" i="7" s="1"/>
  <c r="AI269" i="6"/>
  <c r="AN164" i="6"/>
  <c r="AN290" i="6"/>
  <c r="AN269" i="6"/>
  <c r="AN195" i="6"/>
  <c r="U219" i="6"/>
  <c r="E218" i="7"/>
  <c r="E311" i="7"/>
  <c r="K21" i="19" s="1"/>
  <c r="U302" i="6"/>
  <c r="AG57" i="6"/>
  <c r="AI57" i="6"/>
  <c r="E228" i="7"/>
  <c r="U227" i="6"/>
  <c r="AN56" i="6"/>
  <c r="E254" i="7"/>
  <c r="U251" i="6"/>
  <c r="J30" i="7"/>
  <c r="H30" i="7" s="1"/>
  <c r="M30" i="7" s="1"/>
  <c r="I147" i="7"/>
  <c r="I267" i="7"/>
  <c r="I27" i="7"/>
  <c r="I337" i="7"/>
  <c r="J254" i="7"/>
  <c r="H254" i="7" s="1"/>
  <c r="M254" i="7" s="1"/>
  <c r="I40" i="7"/>
  <c r="J78" i="7"/>
  <c r="H78" i="7" s="1"/>
  <c r="M78" i="7" s="1"/>
  <c r="I88" i="7"/>
  <c r="G88" i="7" s="1"/>
  <c r="J306" i="7"/>
  <c r="H306" i="7" s="1"/>
  <c r="M306" i="7" s="1"/>
  <c r="J320" i="7"/>
  <c r="I71" i="7"/>
  <c r="I196" i="7"/>
  <c r="G196" i="7" s="1"/>
  <c r="J218" i="7"/>
  <c r="J192" i="7"/>
  <c r="H192" i="7" s="1"/>
  <c r="M192" i="7" s="1"/>
  <c r="J11" i="7"/>
  <c r="I55" i="7"/>
  <c r="I270" i="7"/>
  <c r="I159" i="7"/>
  <c r="I220" i="7"/>
  <c r="I72" i="7"/>
  <c r="I237" i="7"/>
  <c r="I370" i="7"/>
  <c r="I298" i="7"/>
  <c r="I315" i="7"/>
  <c r="I236" i="7"/>
  <c r="G236" i="7" s="1"/>
  <c r="I194" i="7"/>
  <c r="J379" i="7"/>
  <c r="J307" i="7"/>
  <c r="I374" i="7"/>
  <c r="I148" i="7"/>
  <c r="I50" i="7"/>
  <c r="I278" i="7"/>
  <c r="I79" i="7"/>
  <c r="J369" i="7"/>
  <c r="I119" i="7"/>
  <c r="I197" i="7"/>
  <c r="I98" i="7"/>
  <c r="J372" i="7"/>
  <c r="H372" i="7" s="1"/>
  <c r="M372" i="7" s="1"/>
  <c r="I379" i="7"/>
  <c r="I357" i="7"/>
  <c r="I206" i="7"/>
  <c r="J252" i="7"/>
  <c r="J47" i="7"/>
  <c r="I36" i="7"/>
  <c r="I339" i="7"/>
  <c r="I169" i="7"/>
  <c r="J186" i="7"/>
  <c r="H186" i="7" s="1"/>
  <c r="M186" i="7" s="1"/>
  <c r="I78" i="7"/>
  <c r="I32" i="7"/>
  <c r="I135" i="7"/>
  <c r="I377" i="7"/>
  <c r="I66" i="7"/>
  <c r="J337" i="7"/>
  <c r="H337" i="7" s="1"/>
  <c r="M337" i="7" s="1"/>
  <c r="I367" i="7"/>
  <c r="I188" i="7"/>
  <c r="G188" i="7" s="1"/>
  <c r="I167" i="7"/>
  <c r="J277" i="7"/>
  <c r="I234" i="7"/>
  <c r="I34" i="7"/>
  <c r="I376" i="7"/>
  <c r="J329" i="7"/>
  <c r="I227" i="7"/>
  <c r="I191" i="7"/>
  <c r="I77" i="7"/>
  <c r="I96" i="7"/>
  <c r="G96" i="7" s="1"/>
  <c r="I372" i="7"/>
  <c r="I48" i="7"/>
  <c r="G48" i="7" s="1"/>
  <c r="I369" i="7"/>
  <c r="I329" i="7"/>
  <c r="J130" i="7"/>
  <c r="H130" i="7" s="1"/>
  <c r="M130" i="7" s="1"/>
  <c r="I346" i="7"/>
  <c r="I187" i="7"/>
  <c r="I60" i="7"/>
  <c r="I219" i="7"/>
  <c r="I67" i="7"/>
  <c r="E349" i="7"/>
  <c r="AI127" i="6"/>
  <c r="F136" i="7"/>
  <c r="L136" i="7" s="1"/>
  <c r="AG127" i="6"/>
  <c r="F209" i="7"/>
  <c r="L209" i="7" s="1"/>
  <c r="AI210" i="6"/>
  <c r="AG210" i="6"/>
  <c r="AG283" i="6"/>
  <c r="AI283" i="6"/>
  <c r="F290" i="7"/>
  <c r="L290" i="7" s="1"/>
  <c r="AN359" i="6"/>
  <c r="AG58" i="6"/>
  <c r="AI58" i="6"/>
  <c r="F59" i="7"/>
  <c r="L59" i="7" s="1"/>
  <c r="AI23" i="6"/>
  <c r="F20" i="7"/>
  <c r="L20" i="7" s="1"/>
  <c r="AG23" i="6"/>
  <c r="AN129" i="6"/>
  <c r="Z119" i="6"/>
  <c r="AN309" i="6"/>
  <c r="AN111" i="6"/>
  <c r="AN311" i="6"/>
  <c r="F190" i="7"/>
  <c r="L190" i="7" s="1"/>
  <c r="AG193" i="6"/>
  <c r="AI193" i="6"/>
  <c r="AG13" i="6"/>
  <c r="F10" i="7"/>
  <c r="L10" i="7" s="1"/>
  <c r="AI13" i="6"/>
  <c r="E289" i="7"/>
  <c r="U282" i="6"/>
  <c r="AN300" i="6"/>
  <c r="AN102" i="6"/>
  <c r="AN92" i="6"/>
  <c r="I92" i="7"/>
  <c r="I279" i="7"/>
  <c r="I310" i="7"/>
  <c r="J132" i="7"/>
  <c r="H132" i="7" s="1"/>
  <c r="M132" i="7" s="1"/>
  <c r="I180" i="7"/>
  <c r="J118" i="7"/>
  <c r="I318" i="7"/>
  <c r="I89" i="7"/>
  <c r="I352" i="7"/>
  <c r="I174" i="7"/>
  <c r="I280" i="7"/>
  <c r="I268" i="7"/>
  <c r="I348" i="7"/>
  <c r="G348" i="7" s="1"/>
  <c r="I276" i="7"/>
  <c r="G276" i="7" s="1"/>
  <c r="I275" i="7"/>
  <c r="I260" i="7"/>
  <c r="I109" i="7"/>
  <c r="I97" i="7"/>
  <c r="J191" i="7"/>
  <c r="I178" i="7"/>
  <c r="I360" i="7"/>
  <c r="I251" i="7"/>
  <c r="J99" i="7"/>
  <c r="I354" i="7"/>
  <c r="I70" i="7"/>
  <c r="J140" i="7"/>
  <c r="H140" i="7" s="1"/>
  <c r="M140" i="7" s="1"/>
  <c r="I168" i="7"/>
  <c r="G168" i="7" s="1"/>
  <c r="I359" i="7"/>
  <c r="I314" i="7"/>
  <c r="I297" i="7"/>
  <c r="I255" i="7"/>
  <c r="I259" i="7"/>
  <c r="I6" i="7"/>
  <c r="I252" i="7"/>
  <c r="I229" i="7"/>
  <c r="I12" i="7"/>
  <c r="I166" i="7"/>
  <c r="J57" i="7"/>
  <c r="I106" i="7"/>
  <c r="J278" i="7"/>
  <c r="H278" i="7" s="1"/>
  <c r="M278" i="7" s="1"/>
  <c r="J309" i="7"/>
  <c r="I327" i="7"/>
  <c r="I195" i="7"/>
  <c r="I114" i="7"/>
  <c r="I216" i="7"/>
  <c r="I317" i="7"/>
  <c r="I272" i="7"/>
  <c r="I131" i="7"/>
  <c r="I351" i="7"/>
  <c r="I232" i="7"/>
  <c r="I110" i="7"/>
  <c r="I100" i="7"/>
  <c r="I215" i="7"/>
  <c r="I46" i="7"/>
  <c r="J127" i="7"/>
  <c r="J214" i="7"/>
  <c r="I115" i="7"/>
  <c r="J139" i="7"/>
  <c r="I269" i="7"/>
  <c r="I320" i="7"/>
  <c r="I19" i="7"/>
  <c r="I258" i="7"/>
  <c r="I291" i="7"/>
  <c r="I26" i="7"/>
  <c r="I239" i="7"/>
  <c r="I137" i="7"/>
  <c r="I14" i="7"/>
  <c r="I90" i="7"/>
  <c r="I277" i="7"/>
  <c r="I17" i="7"/>
  <c r="J356" i="7"/>
  <c r="I54" i="7"/>
  <c r="J270" i="7"/>
  <c r="I250" i="7"/>
  <c r="I240" i="7"/>
  <c r="J228" i="7"/>
  <c r="I31" i="7"/>
  <c r="I286" i="7"/>
  <c r="I271" i="7"/>
  <c r="I134" i="7"/>
  <c r="J94" i="7"/>
  <c r="H94" i="7" s="1"/>
  <c r="M94" i="7" s="1"/>
  <c r="J211" i="7"/>
  <c r="I266" i="7"/>
  <c r="I138" i="7"/>
  <c r="I15" i="7"/>
  <c r="I94" i="7"/>
  <c r="I257" i="7"/>
  <c r="I176" i="7"/>
  <c r="G176" i="7" s="1"/>
  <c r="J46" i="7"/>
  <c r="H46" i="7" s="1"/>
  <c r="M46" i="7" s="1"/>
  <c r="I58" i="7"/>
  <c r="J131" i="7"/>
  <c r="I288" i="7"/>
  <c r="J176" i="7"/>
  <c r="I95" i="7"/>
  <c r="I312" i="7"/>
  <c r="I177" i="7"/>
  <c r="J208" i="7"/>
  <c r="I247" i="7"/>
  <c r="I9" i="7"/>
  <c r="J91" i="7"/>
  <c r="I56" i="7"/>
  <c r="G56" i="7" s="1"/>
  <c r="J297" i="7"/>
  <c r="H297" i="7" s="1"/>
  <c r="M297" i="7" s="1"/>
  <c r="I130" i="7"/>
  <c r="I209" i="7"/>
  <c r="I170" i="7"/>
  <c r="I249" i="7"/>
  <c r="J359" i="7"/>
  <c r="I290" i="7"/>
  <c r="I172" i="7"/>
  <c r="I28" i="7"/>
  <c r="C38" i="8"/>
  <c r="Z61" i="2"/>
  <c r="G245" i="6"/>
  <c r="H245" i="6"/>
  <c r="U285" i="6"/>
  <c r="E292" i="7"/>
  <c r="AG117" i="6"/>
  <c r="F126" i="7"/>
  <c r="L126" i="7" s="1"/>
  <c r="AI117" i="6"/>
  <c r="U11" i="6"/>
  <c r="E8" i="7"/>
  <c r="AG81" i="6"/>
  <c r="AI81" i="6"/>
  <c r="F86" i="7"/>
  <c r="L86" i="7" s="1"/>
  <c r="AI208" i="6"/>
  <c r="AG208" i="6"/>
  <c r="F207" i="7"/>
  <c r="L207" i="7" s="1"/>
  <c r="AN261" i="6"/>
  <c r="Y149" i="6"/>
  <c r="K141" i="6"/>
  <c r="R149" i="6"/>
  <c r="R148" i="6"/>
  <c r="AH113" i="6"/>
  <c r="AH105" i="6"/>
  <c r="Y135" i="6"/>
  <c r="R135" i="6"/>
  <c r="K135" i="6"/>
  <c r="AH135" i="6"/>
  <c r="AH143" i="6"/>
  <c r="W311" i="6"/>
  <c r="Z311" i="6" s="1"/>
  <c r="W213" i="6"/>
  <c r="Z213" i="6" s="1"/>
  <c r="W123" i="6"/>
  <c r="W347" i="6"/>
  <c r="Z347" i="6" s="1"/>
  <c r="W105" i="6"/>
  <c r="W77" i="6"/>
  <c r="Z77" i="6" s="1"/>
  <c r="W267" i="6"/>
  <c r="Z267" i="6" s="1"/>
  <c r="W141" i="6"/>
  <c r="W33" i="6"/>
  <c r="Z33" i="6" s="1"/>
  <c r="W239" i="6"/>
  <c r="Z239" i="6" s="1"/>
  <c r="W95" i="6"/>
  <c r="Z95" i="6" s="1"/>
  <c r="W203" i="6"/>
  <c r="W185" i="6"/>
  <c r="W249" i="6"/>
  <c r="W23" i="6"/>
  <c r="Z23" i="6" s="1"/>
  <c r="W329" i="6"/>
  <c r="Z329" i="6" s="1"/>
  <c r="W177" i="6"/>
  <c r="W131" i="6"/>
  <c r="W195" i="6"/>
  <c r="W285" i="6"/>
  <c r="W159" i="6"/>
  <c r="Z159" i="6" s="1"/>
  <c r="W231" i="6"/>
  <c r="Z231" i="6" s="1"/>
  <c r="W293" i="6"/>
  <c r="Z293" i="6" s="1"/>
  <c r="W221" i="6"/>
  <c r="Z221" i="6" s="1"/>
  <c r="W59" i="6"/>
  <c r="Z59" i="6" s="1"/>
  <c r="W321" i="6"/>
  <c r="Z321" i="6" s="1"/>
  <c r="W303" i="6"/>
  <c r="Z303" i="6" s="1"/>
  <c r="W149" i="6"/>
  <c r="W15" i="6"/>
  <c r="W87" i="6"/>
  <c r="Z87" i="6" s="1"/>
  <c r="W357" i="6"/>
  <c r="Z357" i="6" s="1"/>
  <c r="W51" i="6"/>
  <c r="Z51" i="6" s="1"/>
  <c r="W69" i="6"/>
  <c r="Z69" i="6" s="1"/>
  <c r="W113" i="6"/>
  <c r="W365" i="6"/>
  <c r="Z365" i="6" s="1"/>
  <c r="W275" i="6"/>
  <c r="Z275" i="6" s="1"/>
  <c r="W257" i="6"/>
  <c r="Z257" i="6" s="1"/>
  <c r="W167" i="6"/>
  <c r="Z167" i="6" s="1"/>
  <c r="W41" i="6"/>
  <c r="Z41" i="6" s="1"/>
  <c r="W339" i="6"/>
  <c r="Z339" i="6" s="1"/>
  <c r="U280" i="6"/>
  <c r="E287" i="7"/>
  <c r="E214" i="7"/>
  <c r="U215" i="6"/>
  <c r="Z15" i="6"/>
  <c r="AH112" i="6"/>
  <c r="AH104" i="6"/>
  <c r="Z63" i="2"/>
  <c r="C40" i="8"/>
  <c r="U131" i="6"/>
  <c r="E140" i="7"/>
  <c r="AA59" i="2"/>
  <c r="D36" i="8"/>
  <c r="T86" i="6"/>
  <c r="T94" i="6"/>
  <c r="E150" i="7"/>
  <c r="U139" i="6"/>
  <c r="F295" i="7"/>
  <c r="L295" i="7" s="1"/>
  <c r="AI288" i="6"/>
  <c r="AG288" i="6"/>
  <c r="AN51" i="6"/>
  <c r="F338" i="7"/>
  <c r="L338" i="7" s="1"/>
  <c r="AG327" i="6"/>
  <c r="AI327" i="6"/>
  <c r="Y146" i="6"/>
  <c r="R146" i="6"/>
  <c r="R145" i="6"/>
  <c r="Z145" i="6" s="1"/>
  <c r="G156" i="7" s="1"/>
  <c r="K138" i="6"/>
  <c r="T113" i="6"/>
  <c r="T105" i="6"/>
  <c r="R14" i="2"/>
  <c r="Y249" i="2" s="1"/>
  <c r="N27" i="2"/>
  <c r="E579" i="2"/>
  <c r="L564" i="2" s="1"/>
  <c r="AH101" i="6"/>
  <c r="AH109" i="6"/>
  <c r="AH72" i="6"/>
  <c r="AH64" i="6"/>
  <c r="N15" i="2"/>
  <c r="F292" i="7"/>
  <c r="L292" i="7" s="1"/>
  <c r="AG285" i="6"/>
  <c r="AI285" i="6"/>
  <c r="Z217" i="6"/>
  <c r="F308" i="7"/>
  <c r="L308" i="7" s="1"/>
  <c r="AG299" i="6"/>
  <c r="AI299" i="6"/>
  <c r="AG103" i="6"/>
  <c r="F110" i="7"/>
  <c r="L110" i="7" s="1"/>
  <c r="AG280" i="6"/>
  <c r="AI280" i="6"/>
  <c r="F287" i="7"/>
  <c r="L287" i="7" s="1"/>
  <c r="H356" i="6"/>
  <c r="G356" i="6"/>
  <c r="F115" i="7"/>
  <c r="L115" i="7" s="1"/>
  <c r="AG108" i="6"/>
  <c r="AI108" i="6"/>
  <c r="U36" i="6"/>
  <c r="E35" i="7"/>
  <c r="AI266" i="6"/>
  <c r="AG266" i="6"/>
  <c r="F271" i="7"/>
  <c r="L271" i="7" s="1"/>
  <c r="E192" i="7"/>
  <c r="U195" i="6"/>
  <c r="Z195" i="6" s="1"/>
  <c r="U81" i="6"/>
  <c r="E86" i="7"/>
  <c r="E230" i="7"/>
  <c r="U229" i="6"/>
  <c r="U327" i="6"/>
  <c r="E338" i="7"/>
  <c r="Z153" i="6"/>
  <c r="B182" i="6"/>
  <c r="B185" i="6"/>
  <c r="B179" i="6"/>
  <c r="B176" i="6"/>
  <c r="B175" i="6"/>
  <c r="B173" i="6"/>
  <c r="B181" i="6"/>
  <c r="B174" i="6"/>
  <c r="B171" i="6"/>
  <c r="B183" i="6"/>
  <c r="B180" i="6"/>
  <c r="B172" i="6"/>
  <c r="B177" i="6"/>
  <c r="B184" i="6"/>
  <c r="AF143" i="6"/>
  <c r="AM143" i="6"/>
  <c r="H110" i="6"/>
  <c r="G110" i="6"/>
  <c r="AM136" i="6"/>
  <c r="AF136" i="6"/>
  <c r="L136" i="6"/>
  <c r="AF144" i="6"/>
  <c r="AM144" i="6"/>
  <c r="T109" i="6"/>
  <c r="T101" i="6"/>
  <c r="F198" i="7"/>
  <c r="L198" i="7" s="1"/>
  <c r="AG201" i="6"/>
  <c r="AI201" i="6"/>
  <c r="W252" i="6"/>
  <c r="Z252" i="6" s="1"/>
  <c r="W162" i="6"/>
  <c r="Z162" i="6" s="1"/>
  <c r="W90" i="6"/>
  <c r="Z90" i="6" s="1"/>
  <c r="W54" i="6"/>
  <c r="Z54" i="6" s="1"/>
  <c r="W352" i="6"/>
  <c r="Z352" i="6" s="1"/>
  <c r="W280" i="6"/>
  <c r="W270" i="6"/>
  <c r="Z270" i="6" s="1"/>
  <c r="W36" i="6"/>
  <c r="W334" i="6"/>
  <c r="Z334" i="6" s="1"/>
  <c r="W126" i="6"/>
  <c r="Z126" i="6" s="1"/>
  <c r="W100" i="6"/>
  <c r="Z100" i="6" s="1"/>
  <c r="W144" i="6"/>
  <c r="Z144" i="6" s="1"/>
  <c r="W172" i="6"/>
  <c r="W82" i="6"/>
  <c r="W154" i="6"/>
  <c r="Z154" i="6" s="1"/>
  <c r="W28" i="6"/>
  <c r="Z28" i="6" s="1"/>
  <c r="W298" i="6"/>
  <c r="Z298" i="6" s="1"/>
  <c r="W46" i="6"/>
  <c r="Z46" i="6" s="1"/>
  <c r="W198" i="6"/>
  <c r="Z198" i="6" s="1"/>
  <c r="W10" i="6"/>
  <c r="Z10" i="6" s="1"/>
  <c r="W180" i="6"/>
  <c r="W18" i="6"/>
  <c r="Z18" i="6" s="1"/>
  <c r="W234" i="6"/>
  <c r="Z234" i="6" s="1"/>
  <c r="W64" i="6"/>
  <c r="Z64" i="6" s="1"/>
  <c r="W244" i="6"/>
  <c r="Z244" i="6" s="1"/>
  <c r="W216" i="6"/>
  <c r="Z216" i="6" s="1"/>
  <c r="W108" i="6"/>
  <c r="Z108" i="6" s="1"/>
  <c r="W342" i="6"/>
  <c r="Z342" i="6" s="1"/>
  <c r="W72" i="6"/>
  <c r="Z72" i="6" s="1"/>
  <c r="W136" i="6"/>
  <c r="Z136" i="6" s="1"/>
  <c r="W316" i="6"/>
  <c r="Z316" i="6" s="1"/>
  <c r="W288" i="6"/>
  <c r="Z288" i="6" s="1"/>
  <c r="W324" i="6"/>
  <c r="Z324" i="6" s="1"/>
  <c r="W208" i="6"/>
  <c r="W262" i="6"/>
  <c r="Z262" i="6" s="1"/>
  <c r="W226" i="6"/>
  <c r="Z226" i="6" s="1"/>
  <c r="W306" i="6"/>
  <c r="Z306" i="6" s="1"/>
  <c r="W118" i="6"/>
  <c r="Z118" i="6" s="1"/>
  <c r="W360" i="6"/>
  <c r="W190" i="6"/>
  <c r="Z190" i="6" s="1"/>
  <c r="T50" i="6"/>
  <c r="T58" i="6"/>
  <c r="Z37" i="6"/>
  <c r="G353" i="6"/>
  <c r="H353" i="6"/>
  <c r="E210" i="7"/>
  <c r="U211" i="6"/>
  <c r="U201" i="6"/>
  <c r="E198" i="7"/>
  <c r="AK212" i="6"/>
  <c r="AN212" i="6" s="1"/>
  <c r="AK22" i="6"/>
  <c r="AK338" i="6"/>
  <c r="AN338" i="6" s="1"/>
  <c r="AK176" i="6"/>
  <c r="AK248" i="6"/>
  <c r="AN248" i="6" s="1"/>
  <c r="AK112" i="6"/>
  <c r="AK356" i="6"/>
  <c r="AK220" i="6"/>
  <c r="AK68" i="6"/>
  <c r="AK266" i="6"/>
  <c r="AK202" i="6"/>
  <c r="AN202" i="6" s="1"/>
  <c r="AK140" i="6"/>
  <c r="AK284" i="6"/>
  <c r="AN284" i="6" s="1"/>
  <c r="AK328" i="6"/>
  <c r="AN328" i="6" s="1"/>
  <c r="AK238" i="6"/>
  <c r="AN238" i="6" s="1"/>
  <c r="AK94" i="6"/>
  <c r="AN94" i="6" s="1"/>
  <c r="AK310" i="6"/>
  <c r="AK148" i="6"/>
  <c r="AN148" i="6" s="1"/>
  <c r="AK230" i="6"/>
  <c r="AN230" i="6" s="1"/>
  <c r="AK76" i="6"/>
  <c r="AK130" i="6"/>
  <c r="AN130" i="6" s="1"/>
  <c r="AK274" i="6"/>
  <c r="AK86" i="6"/>
  <c r="AN86" i="6" s="1"/>
  <c r="AK32" i="6"/>
  <c r="AN32" i="6" s="1"/>
  <c r="AK320" i="6"/>
  <c r="AK58" i="6"/>
  <c r="AK104" i="6"/>
  <c r="AK194" i="6"/>
  <c r="AN194" i="6" s="1"/>
  <c r="AK184" i="6"/>
  <c r="AK158" i="6"/>
  <c r="AK50" i="6"/>
  <c r="AN50" i="6" s="1"/>
  <c r="AK122" i="6"/>
  <c r="AN122" i="6" s="1"/>
  <c r="AK302" i="6"/>
  <c r="AN302" i="6" s="1"/>
  <c r="AK256" i="6"/>
  <c r="AN256" i="6" s="1"/>
  <c r="AK40" i="6"/>
  <c r="AK166" i="6"/>
  <c r="AK14" i="6"/>
  <c r="AN14" i="6" s="1"/>
  <c r="AK292" i="6"/>
  <c r="AN292" i="6" s="1"/>
  <c r="AK346" i="6"/>
  <c r="AN346" i="6" s="1"/>
  <c r="AK364" i="6"/>
  <c r="AN364" i="6" s="1"/>
  <c r="F27" i="7"/>
  <c r="L27" i="7" s="1"/>
  <c r="AG28" i="6"/>
  <c r="AI28" i="6"/>
  <c r="AG274" i="6"/>
  <c r="AI274" i="6"/>
  <c r="F279" i="7"/>
  <c r="L279" i="7" s="1"/>
  <c r="Z249" i="6"/>
  <c r="AN215" i="6"/>
  <c r="AN220" i="6"/>
  <c r="E16" i="7"/>
  <c r="U19" i="6"/>
  <c r="Z82" i="6"/>
  <c r="AI365" i="6"/>
  <c r="F380" i="7"/>
  <c r="L380" i="7" s="1"/>
  <c r="AG365" i="6"/>
  <c r="F350" i="7"/>
  <c r="L350" i="7" s="1"/>
  <c r="AG337" i="6"/>
  <c r="AI337" i="6"/>
  <c r="Z99" i="6"/>
  <c r="U237" i="6"/>
  <c r="E238" i="7"/>
  <c r="AN76" i="6"/>
  <c r="AI120" i="6"/>
  <c r="AG120" i="6"/>
  <c r="F129" i="7"/>
  <c r="L129" i="7" s="1"/>
  <c r="AN84" i="6"/>
  <c r="AF146" i="6"/>
  <c r="AN146" i="6" s="1"/>
  <c r="L139" i="6"/>
  <c r="AF147" i="6"/>
  <c r="AM147" i="6"/>
  <c r="T139" i="6"/>
  <c r="T147" i="6"/>
  <c r="W35" i="6"/>
  <c r="Z35" i="6" s="1"/>
  <c r="W297" i="6"/>
  <c r="W107" i="6"/>
  <c r="Z107" i="6" s="1"/>
  <c r="W89" i="6"/>
  <c r="Z89" i="6" s="1"/>
  <c r="W17" i="6"/>
  <c r="Z17" i="6" s="1"/>
  <c r="W9" i="6"/>
  <c r="Z9" i="6" s="1"/>
  <c r="W269" i="6"/>
  <c r="Z269" i="6" s="1"/>
  <c r="W125" i="6"/>
  <c r="Z125" i="6" s="1"/>
  <c r="W225" i="6"/>
  <c r="Z225" i="6" s="1"/>
  <c r="W135" i="6"/>
  <c r="W81" i="6"/>
  <c r="W351" i="6"/>
  <c r="Z351" i="6" s="1"/>
  <c r="W287" i="6"/>
  <c r="W261" i="6"/>
  <c r="Z261" i="6" s="1"/>
  <c r="W251" i="6"/>
  <c r="Z251" i="6" s="1"/>
  <c r="W161" i="6"/>
  <c r="Z161" i="6" s="1"/>
  <c r="W153" i="6"/>
  <c r="W359" i="6"/>
  <c r="Z359" i="6" s="1"/>
  <c r="W315" i="6"/>
  <c r="Z315" i="6" s="1"/>
  <c r="W305" i="6"/>
  <c r="Z305" i="6" s="1"/>
  <c r="W117" i="6"/>
  <c r="W45" i="6"/>
  <c r="Z45" i="6" s="1"/>
  <c r="W207" i="6"/>
  <c r="Z207" i="6" s="1"/>
  <c r="W279" i="6"/>
  <c r="Z279" i="6" s="1"/>
  <c r="W99" i="6"/>
  <c r="W27" i="6"/>
  <c r="Z27" i="6" s="1"/>
  <c r="W243" i="6"/>
  <c r="Z243" i="6" s="1"/>
  <c r="W197" i="6"/>
  <c r="Z197" i="6" s="1"/>
  <c r="W323" i="6"/>
  <c r="Z323" i="6" s="1"/>
  <c r="W171" i="6"/>
  <c r="W341" i="6"/>
  <c r="Z341" i="6" s="1"/>
  <c r="W333" i="6"/>
  <c r="Z333" i="6" s="1"/>
  <c r="W53" i="6"/>
  <c r="Z53" i="6" s="1"/>
  <c r="W179" i="6"/>
  <c r="W215" i="6"/>
  <c r="W143" i="6"/>
  <c r="W71" i="6"/>
  <c r="Z71" i="6" s="1"/>
  <c r="W233" i="6"/>
  <c r="Z233" i="6" s="1"/>
  <c r="W189" i="6"/>
  <c r="Z189" i="6" s="1"/>
  <c r="G186" i="7" s="1"/>
  <c r="W63" i="6"/>
  <c r="Z63" i="6" s="1"/>
  <c r="E294" i="7"/>
  <c r="U287" i="6"/>
  <c r="U117" i="6"/>
  <c r="E126" i="7"/>
  <c r="E306" i="7"/>
  <c r="U297" i="6"/>
  <c r="AN339" i="6"/>
  <c r="W157" i="6"/>
  <c r="Z157" i="6" s="1"/>
  <c r="W291" i="6"/>
  <c r="Z291" i="6" s="1"/>
  <c r="W57" i="6"/>
  <c r="Z57" i="6" s="1"/>
  <c r="W265" i="6"/>
  <c r="Z265" i="6" s="1"/>
  <c r="W247" i="6"/>
  <c r="Z247" i="6" s="1"/>
  <c r="W67" i="6"/>
  <c r="Z67" i="6" s="1"/>
  <c r="W21" i="6"/>
  <c r="Z21" i="6" s="1"/>
  <c r="W229" i="6"/>
  <c r="W363" i="6"/>
  <c r="Z363" i="6" s="1"/>
  <c r="W147" i="6"/>
  <c r="W111" i="6"/>
  <c r="Z111" i="6" s="1"/>
  <c r="W319" i="6"/>
  <c r="Z319" i="6" s="1"/>
  <c r="W75" i="6"/>
  <c r="Z75" i="6" s="1"/>
  <c r="W39" i="6"/>
  <c r="Z39" i="6" s="1"/>
  <c r="W85" i="6"/>
  <c r="Z85" i="6" s="1"/>
  <c r="W309" i="6"/>
  <c r="Z309" i="6" s="1"/>
  <c r="W355" i="6"/>
  <c r="Z355" i="6" s="1"/>
  <c r="W139" i="6"/>
  <c r="W13" i="6"/>
  <c r="Z13" i="6" s="1"/>
  <c r="W201" i="6"/>
  <c r="W337" i="6"/>
  <c r="W255" i="6"/>
  <c r="Z255" i="6" s="1"/>
  <c r="W183" i="6"/>
  <c r="W175" i="6"/>
  <c r="W237" i="6"/>
  <c r="W193" i="6"/>
  <c r="Z193" i="6" s="1"/>
  <c r="W283" i="6"/>
  <c r="Z283" i="6" s="1"/>
  <c r="W273" i="6"/>
  <c r="Z273" i="6" s="1"/>
  <c r="W31" i="6"/>
  <c r="Z31" i="6" s="1"/>
  <c r="W327" i="6"/>
  <c r="W49" i="6"/>
  <c r="Z49" i="6" s="1"/>
  <c r="W219" i="6"/>
  <c r="Z219" i="6" s="1"/>
  <c r="W129" i="6"/>
  <c r="Z129" i="6" s="1"/>
  <c r="W301" i="6"/>
  <c r="Z301" i="6" s="1"/>
  <c r="W211" i="6"/>
  <c r="W121" i="6"/>
  <c r="Z121" i="6" s="1"/>
  <c r="W165" i="6"/>
  <c r="Z165" i="6" s="1"/>
  <c r="W103" i="6"/>
  <c r="Z103" i="6" s="1"/>
  <c r="W93" i="6"/>
  <c r="Z93" i="6" s="1"/>
  <c r="W345" i="6"/>
  <c r="Z345" i="6" s="1"/>
  <c r="Z29" i="6"/>
  <c r="G360" i="6"/>
  <c r="H360" i="6"/>
  <c r="AK289" i="6"/>
  <c r="AN289" i="6" s="1"/>
  <c r="AK253" i="6"/>
  <c r="AN253" i="6" s="1"/>
  <c r="AK281" i="6"/>
  <c r="AN281" i="6" s="1"/>
  <c r="AK245" i="6"/>
  <c r="AK37" i="6"/>
  <c r="AK47" i="6"/>
  <c r="AK325" i="6"/>
  <c r="AN325" i="6" s="1"/>
  <c r="AK217" i="6"/>
  <c r="AN217" i="6" s="1"/>
  <c r="AK299" i="6"/>
  <c r="AK109" i="6"/>
  <c r="AK263" i="6"/>
  <c r="AK271" i="6"/>
  <c r="AN271" i="6" s="1"/>
  <c r="AK209" i="6"/>
  <c r="AN209" i="6" s="1"/>
  <c r="AK343" i="6"/>
  <c r="AN343" i="6" s="1"/>
  <c r="AK173" i="6"/>
  <c r="AK361" i="6"/>
  <c r="AN361" i="6" s="1"/>
  <c r="AK307" i="6"/>
  <c r="AK65" i="6"/>
  <c r="AK11" i="6"/>
  <c r="AN11" i="6" s="1"/>
  <c r="AK119" i="6"/>
  <c r="AK55" i="6"/>
  <c r="AN55" i="6" s="1"/>
  <c r="AK145" i="6"/>
  <c r="AN145" i="6" s="1"/>
  <c r="AK73" i="6"/>
  <c r="AN73" i="6" s="1"/>
  <c r="AK83" i="6"/>
  <c r="AK91" i="6"/>
  <c r="AN91" i="6" s="1"/>
  <c r="AK353" i="6"/>
  <c r="AK29" i="6"/>
  <c r="AN29" i="6" s="1"/>
  <c r="AK235" i="6"/>
  <c r="AK101" i="6"/>
  <c r="AK191" i="6"/>
  <c r="AK127" i="6"/>
  <c r="AN127" i="6" s="1"/>
  <c r="AK155" i="6"/>
  <c r="AN155" i="6" s="1"/>
  <c r="AK335" i="6"/>
  <c r="AK19" i="6"/>
  <c r="AN19" i="6" s="1"/>
  <c r="AK227" i="6"/>
  <c r="AN227" i="6" s="1"/>
  <c r="AK163" i="6"/>
  <c r="AN163" i="6" s="1"/>
  <c r="AK199" i="6"/>
  <c r="AK137" i="6"/>
  <c r="AN137" i="6" s="1"/>
  <c r="AK317" i="6"/>
  <c r="AN317" i="6" s="1"/>
  <c r="AK181" i="6"/>
  <c r="E132" i="7"/>
  <c r="U123" i="6"/>
  <c r="U203" i="6"/>
  <c r="E200" i="7"/>
  <c r="F235" i="7"/>
  <c r="L235" i="7" s="1"/>
  <c r="AI234" i="6"/>
  <c r="AG234" i="6"/>
  <c r="U208" i="6"/>
  <c r="E207" i="7"/>
  <c r="AN219" i="6"/>
  <c r="E350" i="7"/>
  <c r="U337" i="6"/>
  <c r="AN351" i="6"/>
  <c r="AN83" i="6"/>
  <c r="AB51" i="6"/>
  <c r="AB100" i="6"/>
  <c r="AB23" i="6"/>
  <c r="AB299" i="6"/>
  <c r="AB66" i="6"/>
  <c r="AA120" i="6"/>
  <c r="AB120" i="6" s="1"/>
  <c r="AA288" i="6"/>
  <c r="AB288" i="6" s="1"/>
  <c r="AA193" i="6"/>
  <c r="AB193" i="6" s="1"/>
  <c r="AB320" i="6"/>
  <c r="AA139" i="6"/>
  <c r="AA195" i="6"/>
  <c r="AA285" i="6"/>
  <c r="AA229" i="6"/>
  <c r="AA237" i="6"/>
  <c r="AB315" i="6"/>
  <c r="AA282" i="6"/>
  <c r="AA297" i="6"/>
  <c r="AA215" i="6"/>
  <c r="AA104" i="6"/>
  <c r="AA337" i="6"/>
  <c r="AB319" i="6"/>
  <c r="AB119" i="6"/>
  <c r="AB298" i="6"/>
  <c r="AB363" i="6"/>
  <c r="AA19" i="6"/>
  <c r="AA327" i="6"/>
  <c r="AB234" i="6"/>
  <c r="AA243" i="6"/>
  <c r="AA287" i="6"/>
  <c r="AB212" i="6"/>
  <c r="AA302" i="6"/>
  <c r="AA36" i="6"/>
  <c r="AA117" i="6"/>
  <c r="AA123" i="6"/>
  <c r="AA310" i="6"/>
  <c r="AB300" i="6"/>
  <c r="AA81" i="6"/>
  <c r="AA280" i="6"/>
  <c r="AA289" i="6"/>
  <c r="AB56" i="6"/>
  <c r="AA251" i="6"/>
  <c r="AA21" i="6"/>
  <c r="AB77" i="6"/>
  <c r="AB334" i="6"/>
  <c r="AB10" i="6"/>
  <c r="AA293" i="6"/>
  <c r="AB293" i="6" s="1"/>
  <c r="AA292" i="6"/>
  <c r="AB71" i="6"/>
  <c r="AA211" i="6"/>
  <c r="AA227" i="6"/>
  <c r="AA208" i="6"/>
  <c r="AA131" i="6"/>
  <c r="AB336" i="6"/>
  <c r="AB209" i="6"/>
  <c r="AB82" i="6"/>
  <c r="AB351" i="6"/>
  <c r="AA166" i="6"/>
  <c r="AB166" i="6" s="1"/>
  <c r="AA11" i="6"/>
  <c r="AB39" i="6"/>
  <c r="AA219" i="6"/>
  <c r="AA203" i="6"/>
  <c r="AA201" i="6"/>
  <c r="AP49" i="6"/>
  <c r="AP154" i="6"/>
  <c r="AP316" i="6"/>
  <c r="AP164" i="6"/>
  <c r="AP21" i="6"/>
  <c r="AP261" i="6"/>
  <c r="AP159" i="6"/>
  <c r="AO10" i="6"/>
  <c r="AO84" i="6"/>
  <c r="AO281" i="6"/>
  <c r="AO301" i="6"/>
  <c r="AO285" i="6"/>
  <c r="AO102" i="6"/>
  <c r="AO23" i="6"/>
  <c r="AO33" i="6"/>
  <c r="AO22" i="6"/>
  <c r="AO117" i="6"/>
  <c r="AO92" i="6"/>
  <c r="AO202" i="6"/>
  <c r="AO359" i="6"/>
  <c r="AO230" i="6"/>
  <c r="AP54" i="6"/>
  <c r="AO267" i="6"/>
  <c r="AO271" i="6"/>
  <c r="AO192" i="6"/>
  <c r="AO339" i="6"/>
  <c r="AO203" i="6"/>
  <c r="AO262" i="6"/>
  <c r="AO18" i="6"/>
  <c r="AO269" i="6"/>
  <c r="AO30" i="6"/>
  <c r="AP328" i="6"/>
  <c r="AP233" i="6"/>
  <c r="AO321" i="6"/>
  <c r="AO307" i="6"/>
  <c r="AO247" i="6"/>
  <c r="AO165" i="6"/>
  <c r="AO140" i="6"/>
  <c r="AO51" i="6"/>
  <c r="AP336" i="6"/>
  <c r="AP351" i="6"/>
  <c r="AP253" i="6"/>
  <c r="AO99" i="6"/>
  <c r="AO57" i="6"/>
  <c r="AO120" i="6"/>
  <c r="AO308" i="6"/>
  <c r="AP211" i="6"/>
  <c r="AP50" i="6"/>
  <c r="AP82" i="6"/>
  <c r="AP293" i="6"/>
  <c r="AP66" i="6"/>
  <c r="AP292" i="6"/>
  <c r="AP317" i="6"/>
  <c r="AP9" i="6"/>
  <c r="AP226" i="6"/>
  <c r="AP342" i="6"/>
  <c r="AO252" i="6"/>
  <c r="AO283" i="6"/>
  <c r="AO74" i="6"/>
  <c r="AO217" i="6"/>
  <c r="AO87" i="6"/>
  <c r="AO146" i="6"/>
  <c r="AO365" i="6"/>
  <c r="AO12" i="6"/>
  <c r="AO193" i="6"/>
  <c r="AO347" i="6"/>
  <c r="AO208" i="6"/>
  <c r="AO243" i="6"/>
  <c r="AO157" i="6"/>
  <c r="AP148" i="6"/>
  <c r="AO19" i="6"/>
  <c r="AO166" i="6"/>
  <c r="AO58" i="6"/>
  <c r="AO218" i="6"/>
  <c r="AO210" i="6"/>
  <c r="AO137" i="6"/>
  <c r="AO13" i="6"/>
  <c r="AO355" i="6"/>
  <c r="AO236" i="6"/>
  <c r="AO15" i="6"/>
  <c r="AO40" i="6"/>
  <c r="AO17" i="6"/>
  <c r="AO32" i="6"/>
  <c r="AO93" i="6"/>
  <c r="AO103" i="6"/>
  <c r="AO76" i="6"/>
  <c r="AP289" i="6"/>
  <c r="AO71" i="6"/>
  <c r="AO220" i="6"/>
  <c r="AO266" i="6"/>
  <c r="AO221" i="6"/>
  <c r="AO299" i="6"/>
  <c r="AP155" i="6"/>
  <c r="AP67" i="6"/>
  <c r="AP257" i="6"/>
  <c r="AP361" i="6"/>
  <c r="AP345" i="6"/>
  <c r="AO264" i="6"/>
  <c r="AO279" i="6"/>
  <c r="AO129" i="6"/>
  <c r="AO237" i="6"/>
  <c r="AO207" i="6"/>
  <c r="AO41" i="6"/>
  <c r="AO81" i="6"/>
  <c r="AO128" i="6"/>
  <c r="AO337" i="6"/>
  <c r="AO197" i="6"/>
  <c r="AO28" i="6"/>
  <c r="AP244" i="6"/>
  <c r="AO274" i="6"/>
  <c r="AP36" i="6"/>
  <c r="AP83" i="6"/>
  <c r="AO200" i="6"/>
  <c r="AO216" i="6"/>
  <c r="AO327" i="6"/>
  <c r="AO263" i="6"/>
  <c r="AO231" i="6"/>
  <c r="AO201" i="6"/>
  <c r="AO138" i="6"/>
  <c r="AO228" i="6"/>
  <c r="AO145" i="6"/>
  <c r="AO325" i="6"/>
  <c r="AO306" i="6"/>
  <c r="AO190" i="6"/>
  <c r="AP309" i="6"/>
  <c r="AP90" i="6"/>
  <c r="AO282" i="6"/>
  <c r="AP254" i="6"/>
  <c r="AO108" i="6"/>
  <c r="AO69" i="6"/>
  <c r="AP162" i="6"/>
  <c r="AO275" i="6"/>
  <c r="AO234" i="6"/>
  <c r="AO199" i="6"/>
  <c r="AO126" i="6"/>
  <c r="AP100" i="6"/>
  <c r="AP198" i="6"/>
  <c r="AP107" i="6"/>
  <c r="AO284" i="6"/>
  <c r="AP284" i="6" s="1"/>
  <c r="AO77" i="6"/>
  <c r="AO248" i="6"/>
  <c r="AO29" i="6"/>
  <c r="AO302" i="6"/>
  <c r="AO127" i="6"/>
  <c r="AO73" i="6"/>
  <c r="AO288" i="6"/>
  <c r="AO91" i="6"/>
  <c r="AO255" i="6"/>
  <c r="AO48" i="6"/>
  <c r="AO95" i="6"/>
  <c r="AO125" i="6"/>
  <c r="AO238" i="6"/>
  <c r="AO35" i="6"/>
  <c r="AO229" i="6"/>
  <c r="AO338" i="6"/>
  <c r="AO246" i="6"/>
  <c r="AO20" i="6"/>
  <c r="AO37" i="6"/>
  <c r="AP55" i="6"/>
  <c r="AO47" i="6"/>
  <c r="AO38" i="6"/>
  <c r="AP352" i="6"/>
  <c r="AO319" i="6"/>
  <c r="AO53" i="6"/>
  <c r="AO11" i="6"/>
  <c r="AP291" i="6"/>
  <c r="AO303" i="6"/>
  <c r="AO280" i="6"/>
  <c r="AO85" i="6"/>
  <c r="AO324" i="6"/>
  <c r="AO191" i="6"/>
  <c r="AO156" i="6"/>
  <c r="AP287" i="6"/>
  <c r="J358" i="7" l="1"/>
  <c r="H358" i="7" s="1"/>
  <c r="M358" i="7" s="1"/>
  <c r="J376" i="7"/>
  <c r="J260" i="7"/>
  <c r="J70" i="7"/>
  <c r="J168" i="7"/>
  <c r="H168" i="7" s="1"/>
  <c r="M168" i="7" s="1"/>
  <c r="J6" i="7"/>
  <c r="H6" i="7" s="1"/>
  <c r="M6" i="7" s="1"/>
  <c r="J328" i="7"/>
  <c r="J299" i="7"/>
  <c r="H299" i="7" s="1"/>
  <c r="M299" i="7" s="1"/>
  <c r="J69" i="7"/>
  <c r="H69" i="7" s="1"/>
  <c r="M69" i="7" s="1"/>
  <c r="J300" i="7"/>
  <c r="H300" i="7" s="1"/>
  <c r="M300" i="7" s="1"/>
  <c r="J87" i="7"/>
  <c r="J51" i="7"/>
  <c r="H51" i="7" s="1"/>
  <c r="M51" i="7" s="1"/>
  <c r="J210" i="7"/>
  <c r="H210" i="7" s="1"/>
  <c r="M210" i="7" s="1"/>
  <c r="J18" i="7"/>
  <c r="H18" i="7" s="1"/>
  <c r="M18" i="7" s="1"/>
  <c r="J177" i="7"/>
  <c r="J327" i="7"/>
  <c r="J167" i="7"/>
  <c r="J50" i="7"/>
  <c r="H377" i="7"/>
  <c r="M377" i="7" s="1"/>
  <c r="G355" i="7"/>
  <c r="H270" i="7"/>
  <c r="M270" i="7" s="1"/>
  <c r="H309" i="7"/>
  <c r="M309" i="7" s="1"/>
  <c r="H177" i="7"/>
  <c r="M177" i="7" s="1"/>
  <c r="H277" i="7"/>
  <c r="M277" i="7" s="1"/>
  <c r="H252" i="7"/>
  <c r="M252" i="7" s="1"/>
  <c r="G376" i="7"/>
  <c r="G256" i="7"/>
  <c r="G268" i="7"/>
  <c r="G30" i="7"/>
  <c r="H329" i="7"/>
  <c r="M329" i="7" s="1"/>
  <c r="H50" i="7"/>
  <c r="M50" i="7" s="1"/>
  <c r="H57" i="7"/>
  <c r="M57" i="7" s="1"/>
  <c r="G332" i="7"/>
  <c r="G148" i="7"/>
  <c r="I179" i="7"/>
  <c r="I366" i="7"/>
  <c r="G366" i="7" s="1"/>
  <c r="J256" i="7"/>
  <c r="H256" i="7" s="1"/>
  <c r="M256" i="7" s="1"/>
  <c r="J175" i="7"/>
  <c r="J296" i="7"/>
  <c r="H296" i="7" s="1"/>
  <c r="M296" i="7" s="1"/>
  <c r="I87" i="7"/>
  <c r="G87" i="7" s="1"/>
  <c r="J366" i="7"/>
  <c r="H366" i="7" s="1"/>
  <c r="M366" i="7" s="1"/>
  <c r="I208" i="7"/>
  <c r="G208" i="7" s="1"/>
  <c r="I349" i="7"/>
  <c r="J367" i="7"/>
  <c r="J349" i="7"/>
  <c r="H349" i="7" s="1"/>
  <c r="M349" i="7" s="1"/>
  <c r="I300" i="7"/>
  <c r="G300" i="7" s="1"/>
  <c r="J234" i="7"/>
  <c r="H234" i="7" s="1"/>
  <c r="M234" i="7" s="1"/>
  <c r="J95" i="7"/>
  <c r="I7" i="7"/>
  <c r="G7" i="7" s="1"/>
  <c r="I347" i="7"/>
  <c r="G347" i="7" s="1"/>
  <c r="J339" i="7"/>
  <c r="H339" i="7" s="1"/>
  <c r="M339" i="7" s="1"/>
  <c r="J318" i="7"/>
  <c r="H318" i="7" s="1"/>
  <c r="M318" i="7" s="1"/>
  <c r="I80" i="7"/>
  <c r="G80" i="7" s="1"/>
  <c r="J294" i="7"/>
  <c r="H294" i="7" s="1"/>
  <c r="M294" i="7" s="1"/>
  <c r="I378" i="7"/>
  <c r="G378" i="7" s="1"/>
  <c r="I307" i="7"/>
  <c r="G307" i="7" s="1"/>
  <c r="J88" i="7"/>
  <c r="H88" i="7" s="1"/>
  <c r="M88" i="7" s="1"/>
  <c r="I128" i="7"/>
  <c r="G128" i="7" s="1"/>
  <c r="J298" i="7"/>
  <c r="H298" i="7" s="1"/>
  <c r="M298" i="7" s="1"/>
  <c r="J55" i="7"/>
  <c r="J35" i="7"/>
  <c r="J159" i="7"/>
  <c r="H159" i="7" s="1"/>
  <c r="M159" i="7" s="1"/>
  <c r="J56" i="7"/>
  <c r="H56" i="7" s="1"/>
  <c r="M56" i="7" s="1"/>
  <c r="I330" i="7"/>
  <c r="G330" i="7" s="1"/>
  <c r="I190" i="7"/>
  <c r="G190" i="7" s="1"/>
  <c r="I295" i="7"/>
  <c r="G295" i="7" s="1"/>
  <c r="I129" i="7"/>
  <c r="J172" i="7"/>
  <c r="H172" i="7" s="1"/>
  <c r="M172" i="7" s="1"/>
  <c r="I69" i="7"/>
  <c r="J355" i="7"/>
  <c r="J114" i="7"/>
  <c r="H114" i="7" s="1"/>
  <c r="M114" i="7" s="1"/>
  <c r="J266" i="7"/>
  <c r="H266" i="7" s="1"/>
  <c r="M266" i="7" s="1"/>
  <c r="I308" i="7"/>
  <c r="G308" i="7" s="1"/>
  <c r="I20" i="7"/>
  <c r="G20" i="7" s="1"/>
  <c r="J195" i="7"/>
  <c r="I107" i="7"/>
  <c r="G107" i="7" s="1"/>
  <c r="I52" i="7"/>
  <c r="G52" i="7" s="1"/>
  <c r="J227" i="7"/>
  <c r="J107" i="7"/>
  <c r="G253" i="21"/>
  <c r="AI270" i="6"/>
  <c r="AG270" i="6"/>
  <c r="G139" i="21"/>
  <c r="F160" i="7"/>
  <c r="L160" i="7" s="1"/>
  <c r="AG149" i="6"/>
  <c r="G340" i="7"/>
  <c r="AN243" i="6"/>
  <c r="AN263" i="6"/>
  <c r="AN74" i="6"/>
  <c r="AN282" i="6"/>
  <c r="AN93" i="6"/>
  <c r="G199" i="21"/>
  <c r="AG213" i="6"/>
  <c r="F212" i="7"/>
  <c r="L212" i="7" s="1"/>
  <c r="G224" i="21"/>
  <c r="F240" i="7"/>
  <c r="L240" i="7" s="1"/>
  <c r="AI239" i="6"/>
  <c r="G295" i="21"/>
  <c r="AI315" i="6"/>
  <c r="AG315" i="6"/>
  <c r="AN315" i="6" s="1"/>
  <c r="G303" i="21"/>
  <c r="F334" i="7"/>
  <c r="L334" i="7" s="1"/>
  <c r="AI323" i="6"/>
  <c r="G147" i="21"/>
  <c r="F171" i="7"/>
  <c r="L171" i="7" s="1"/>
  <c r="F18" i="19" s="1"/>
  <c r="AG158" i="6"/>
  <c r="AN158" i="6" s="1"/>
  <c r="G291" i="21"/>
  <c r="F319" i="7"/>
  <c r="L319" i="7" s="1"/>
  <c r="AI310" i="6"/>
  <c r="AN99" i="6"/>
  <c r="G57" i="21"/>
  <c r="AI63" i="6"/>
  <c r="F66" i="7"/>
  <c r="L66" i="7" s="1"/>
  <c r="G35" i="21"/>
  <c r="AG39" i="6"/>
  <c r="AI39" i="6"/>
  <c r="G314" i="21"/>
  <c r="AI335" i="6"/>
  <c r="AG335" i="6"/>
  <c r="G150" i="21"/>
  <c r="F174" i="7"/>
  <c r="L174" i="7" s="1"/>
  <c r="AG161" i="6"/>
  <c r="AN246" i="6"/>
  <c r="G110" i="21"/>
  <c r="AG119" i="6"/>
  <c r="AI119" i="6"/>
  <c r="AI149" i="6"/>
  <c r="AN335" i="6"/>
  <c r="AN53" i="6"/>
  <c r="AG239" i="6"/>
  <c r="AN239" i="6" s="1"/>
  <c r="F326" i="7"/>
  <c r="L326" i="7" s="1"/>
  <c r="AG323" i="6"/>
  <c r="AN323" i="6" s="1"/>
  <c r="AI158" i="6"/>
  <c r="AG310" i="6"/>
  <c r="AN310" i="6" s="1"/>
  <c r="G313" i="21"/>
  <c r="AI334" i="6"/>
  <c r="F347" i="7"/>
  <c r="L347" i="7" s="1"/>
  <c r="AG63" i="6"/>
  <c r="AN63" i="6" s="1"/>
  <c r="F38" i="7"/>
  <c r="L38" i="7" s="1"/>
  <c r="F348" i="7"/>
  <c r="L348" i="7" s="1"/>
  <c r="AI161" i="6"/>
  <c r="AI235" i="6"/>
  <c r="F128" i="7"/>
  <c r="L128" i="7" s="1"/>
  <c r="G300" i="21"/>
  <c r="F331" i="7"/>
  <c r="L331" i="7" s="1"/>
  <c r="F22" i="19" s="1"/>
  <c r="AI320" i="6"/>
  <c r="G286" i="21"/>
  <c r="AG305" i="6"/>
  <c r="F314" i="7"/>
  <c r="L314" i="7" s="1"/>
  <c r="AN235" i="6"/>
  <c r="AN119" i="6"/>
  <c r="AN57" i="6"/>
  <c r="AN301" i="6"/>
  <c r="AN95" i="6"/>
  <c r="G323" i="21"/>
  <c r="AG344" i="6"/>
  <c r="AN344" i="6" s="1"/>
  <c r="AI344" i="6"/>
  <c r="G156" i="21"/>
  <c r="F180" i="7"/>
  <c r="L180" i="7" s="1"/>
  <c r="AI167" i="6"/>
  <c r="G210" i="21"/>
  <c r="AG225" i="6"/>
  <c r="AI225" i="6"/>
  <c r="G23" i="21"/>
  <c r="F26" i="7"/>
  <c r="L26" i="7" s="1"/>
  <c r="AG27" i="6"/>
  <c r="AN321" i="6"/>
  <c r="AG334" i="6"/>
  <c r="G59" i="21"/>
  <c r="AG65" i="6"/>
  <c r="AN65" i="6" s="1"/>
  <c r="G320" i="21"/>
  <c r="AI341" i="6"/>
  <c r="AG341" i="6"/>
  <c r="G62" i="21"/>
  <c r="F71" i="7"/>
  <c r="L71" i="7" s="1"/>
  <c r="AI68" i="6"/>
  <c r="AG320" i="6"/>
  <c r="AN320" i="6" s="1"/>
  <c r="AI305" i="6"/>
  <c r="H369" i="7"/>
  <c r="M369" i="7" s="1"/>
  <c r="AN347" i="6"/>
  <c r="H346" i="7"/>
  <c r="M346" i="7" s="1"/>
  <c r="G328" i="7"/>
  <c r="AN308" i="6"/>
  <c r="AN307" i="6"/>
  <c r="G267" i="7"/>
  <c r="G288" i="7"/>
  <c r="AN279" i="6"/>
  <c r="H260" i="7"/>
  <c r="M260" i="7" s="1"/>
  <c r="AN237" i="6"/>
  <c r="AN231" i="6"/>
  <c r="AN199" i="6"/>
  <c r="G118" i="7"/>
  <c r="AN191" i="6"/>
  <c r="AN192" i="6"/>
  <c r="AN166" i="6"/>
  <c r="AN157" i="6"/>
  <c r="G274" i="7"/>
  <c r="AN140" i="6"/>
  <c r="G315" i="7"/>
  <c r="H376" i="7"/>
  <c r="M376" i="7" s="1"/>
  <c r="Z139" i="6"/>
  <c r="G335" i="7"/>
  <c r="G212" i="7"/>
  <c r="G346" i="7"/>
  <c r="H379" i="7"/>
  <c r="M379" i="7" s="1"/>
  <c r="H70" i="7"/>
  <c r="M70" i="7" s="1"/>
  <c r="AN47" i="6"/>
  <c r="G167" i="7"/>
  <c r="G374" i="7"/>
  <c r="G36" i="7"/>
  <c r="AN41" i="6"/>
  <c r="AN37" i="6"/>
  <c r="AN40" i="6"/>
  <c r="G67" i="7"/>
  <c r="G66" i="7"/>
  <c r="G135" i="7"/>
  <c r="AN22" i="6"/>
  <c r="G234" i="7"/>
  <c r="G227" i="7"/>
  <c r="G226" i="7"/>
  <c r="G34" i="7"/>
  <c r="G367" i="7"/>
  <c r="G372" i="7"/>
  <c r="G60" i="7"/>
  <c r="G32" i="7"/>
  <c r="J247" i="7"/>
  <c r="J291" i="7"/>
  <c r="H291" i="7" s="1"/>
  <c r="J257" i="7"/>
  <c r="H257" i="7" s="1"/>
  <c r="M257" i="7" s="1"/>
  <c r="I211" i="7"/>
  <c r="I326" i="7"/>
  <c r="G326" i="7" s="1"/>
  <c r="I57" i="7"/>
  <c r="I309" i="7"/>
  <c r="I38" i="7"/>
  <c r="G38" i="7" s="1"/>
  <c r="I74" i="7"/>
  <c r="G74" i="7" s="1"/>
  <c r="I235" i="7"/>
  <c r="G235" i="7" s="1"/>
  <c r="I331" i="7"/>
  <c r="Z280" i="6"/>
  <c r="AN15" i="6"/>
  <c r="AN128" i="6"/>
  <c r="Z337" i="6"/>
  <c r="Z208" i="6"/>
  <c r="Z117" i="6"/>
  <c r="Z201" i="6"/>
  <c r="Z131" i="6"/>
  <c r="Z227" i="6"/>
  <c r="AN275" i="6"/>
  <c r="AN85" i="6"/>
  <c r="AN229" i="6"/>
  <c r="AN87" i="6"/>
  <c r="AN33" i="6"/>
  <c r="Z203" i="6"/>
  <c r="Z297" i="6"/>
  <c r="Z287" i="6"/>
  <c r="Z289" i="6"/>
  <c r="AN38" i="6"/>
  <c r="AN197" i="6"/>
  <c r="AN17" i="6"/>
  <c r="AN48" i="6"/>
  <c r="AN228" i="6"/>
  <c r="AN355" i="6"/>
  <c r="Z285" i="6"/>
  <c r="Z123" i="6"/>
  <c r="AN365" i="6"/>
  <c r="Z19" i="6"/>
  <c r="AN103" i="6"/>
  <c r="Z11" i="6"/>
  <c r="AN23" i="6"/>
  <c r="AN12" i="6"/>
  <c r="AN20" i="6"/>
  <c r="AN69" i="6"/>
  <c r="AN35" i="6"/>
  <c r="AN13" i="6"/>
  <c r="AN193" i="6"/>
  <c r="AN120" i="6"/>
  <c r="G170" i="7"/>
  <c r="H208" i="7"/>
  <c r="M208" i="7" s="1"/>
  <c r="G27" i="7"/>
  <c r="G147" i="7"/>
  <c r="G40" i="7"/>
  <c r="G220" i="7"/>
  <c r="AN210" i="6"/>
  <c r="H320" i="7"/>
  <c r="M320" i="7" s="1"/>
  <c r="G298" i="7"/>
  <c r="G127" i="7"/>
  <c r="AN58" i="6"/>
  <c r="G232" i="7"/>
  <c r="G272" i="7"/>
  <c r="G327" i="7"/>
  <c r="G314" i="7"/>
  <c r="G178" i="7"/>
  <c r="G352" i="7"/>
  <c r="G180" i="7"/>
  <c r="G290" i="7"/>
  <c r="G14" i="7"/>
  <c r="G370" i="7"/>
  <c r="G380" i="7"/>
  <c r="G72" i="7"/>
  <c r="G50" i="7"/>
  <c r="H118" i="7"/>
  <c r="M118" i="7" s="1"/>
  <c r="AN283" i="6"/>
  <c r="G10" i="7"/>
  <c r="G100" i="7"/>
  <c r="G115" i="7"/>
  <c r="G78" i="7"/>
  <c r="G194" i="7"/>
  <c r="H11" i="7"/>
  <c r="E146" i="7"/>
  <c r="U135" i="6"/>
  <c r="G270" i="7"/>
  <c r="G206" i="7"/>
  <c r="U353" i="6"/>
  <c r="E368" i="7"/>
  <c r="H171" i="6"/>
  <c r="G171" i="6"/>
  <c r="H182" i="6"/>
  <c r="G182" i="6"/>
  <c r="F75" i="7"/>
  <c r="L75" i="7" s="1"/>
  <c r="AG72" i="6"/>
  <c r="AI72" i="6"/>
  <c r="G278" i="7"/>
  <c r="Z215" i="6"/>
  <c r="AN208" i="6"/>
  <c r="G58" i="7"/>
  <c r="G354" i="7"/>
  <c r="E51" i="7"/>
  <c r="U50" i="6"/>
  <c r="E158" i="7"/>
  <c r="U147" i="6"/>
  <c r="AH147" i="6"/>
  <c r="AH139" i="6"/>
  <c r="G334" i="7"/>
  <c r="Z237" i="6"/>
  <c r="AI353" i="6"/>
  <c r="AG353" i="6"/>
  <c r="F368" i="7"/>
  <c r="L368" i="7" s="1"/>
  <c r="E59" i="7"/>
  <c r="U58" i="6"/>
  <c r="AG143" i="6"/>
  <c r="AI143" i="6"/>
  <c r="F154" i="7"/>
  <c r="L154" i="7" s="1"/>
  <c r="G184" i="6"/>
  <c r="H184" i="6"/>
  <c r="G183" i="6"/>
  <c r="H183" i="6"/>
  <c r="G173" i="6"/>
  <c r="H173" i="6"/>
  <c r="G185" i="6"/>
  <c r="H185" i="6"/>
  <c r="Z36" i="6"/>
  <c r="T146" i="6"/>
  <c r="T138" i="6"/>
  <c r="G187" i="7"/>
  <c r="H218" i="7"/>
  <c r="M218" i="7" s="1"/>
  <c r="G358" i="7"/>
  <c r="G98" i="7"/>
  <c r="G47" i="7"/>
  <c r="G155" i="7"/>
  <c r="H91" i="7"/>
  <c r="M91" i="7" s="1"/>
  <c r="G312" i="7"/>
  <c r="G95" i="7"/>
  <c r="H176" i="7"/>
  <c r="M176" i="7" s="1"/>
  <c r="G138" i="7"/>
  <c r="H211" i="7"/>
  <c r="G134" i="7"/>
  <c r="G286" i="7"/>
  <c r="G240" i="7"/>
  <c r="G54" i="7"/>
  <c r="G258" i="7"/>
  <c r="G216" i="7"/>
  <c r="G6" i="7"/>
  <c r="G174" i="7"/>
  <c r="G318" i="7"/>
  <c r="F158" i="7"/>
  <c r="L158" i="7" s="1"/>
  <c r="AG147" i="6"/>
  <c r="AI147" i="6"/>
  <c r="AG144" i="6"/>
  <c r="F155" i="7"/>
  <c r="L155" i="7" s="1"/>
  <c r="AI144" i="6"/>
  <c r="AI136" i="6"/>
  <c r="F147" i="7"/>
  <c r="L147" i="7" s="1"/>
  <c r="AG136" i="6"/>
  <c r="AN136" i="6" s="1"/>
  <c r="G177" i="6"/>
  <c r="H177" i="6"/>
  <c r="G175" i="6"/>
  <c r="H175" i="6"/>
  <c r="U356" i="6"/>
  <c r="E371" i="7"/>
  <c r="AG101" i="6"/>
  <c r="F108" i="7"/>
  <c r="L108" i="7" s="1"/>
  <c r="AI101" i="6"/>
  <c r="AG104" i="6"/>
  <c r="AI104" i="6"/>
  <c r="F111" i="7"/>
  <c r="L111" i="7" s="1"/>
  <c r="L15" i="19" s="1"/>
  <c r="G12" i="7"/>
  <c r="E375" i="7"/>
  <c r="U360" i="6"/>
  <c r="Z211" i="6"/>
  <c r="E116" i="7"/>
  <c r="U109" i="6"/>
  <c r="AH144" i="6"/>
  <c r="AH136" i="6"/>
  <c r="E117" i="7"/>
  <c r="U110" i="6"/>
  <c r="G172" i="6"/>
  <c r="H172" i="6"/>
  <c r="H174" i="6"/>
  <c r="G174" i="6"/>
  <c r="H176" i="6"/>
  <c r="G176" i="6"/>
  <c r="G75" i="7"/>
  <c r="Z229" i="6"/>
  <c r="Z81" i="6"/>
  <c r="AN108" i="6"/>
  <c r="F371" i="7"/>
  <c r="L371" i="7" s="1"/>
  <c r="AI356" i="6"/>
  <c r="AG356" i="6"/>
  <c r="AN299" i="6"/>
  <c r="AN285" i="6"/>
  <c r="AI64" i="6"/>
  <c r="AG64" i="6"/>
  <c r="F67" i="7"/>
  <c r="L67" i="7" s="1"/>
  <c r="F116" i="7"/>
  <c r="L116" i="7" s="1"/>
  <c r="AI109" i="6"/>
  <c r="AG109" i="6"/>
  <c r="AN327" i="6"/>
  <c r="U94" i="6"/>
  <c r="E99" i="7"/>
  <c r="AK172" i="6"/>
  <c r="AK100" i="6"/>
  <c r="AN100" i="6" s="1"/>
  <c r="AK252" i="6"/>
  <c r="AN252" i="6" s="1"/>
  <c r="AK316" i="6"/>
  <c r="AN316" i="6" s="1"/>
  <c r="H327" i="7" s="1"/>
  <c r="M327" i="7" s="1"/>
  <c r="AK216" i="6"/>
  <c r="AN216" i="6" s="1"/>
  <c r="AK126" i="6"/>
  <c r="AN126" i="6" s="1"/>
  <c r="AK234" i="6"/>
  <c r="AN234" i="6" s="1"/>
  <c r="AK118" i="6"/>
  <c r="AN118" i="6" s="1"/>
  <c r="AK162" i="6"/>
  <c r="AN162" i="6" s="1"/>
  <c r="AK180" i="6"/>
  <c r="AK82" i="6"/>
  <c r="AN82" i="6" s="1"/>
  <c r="AK190" i="6"/>
  <c r="AN190" i="6" s="1"/>
  <c r="AK136" i="6"/>
  <c r="AK154" i="6"/>
  <c r="AN154" i="6" s="1"/>
  <c r="AK324" i="6"/>
  <c r="AN324" i="6" s="1"/>
  <c r="AK90" i="6"/>
  <c r="AN90" i="6" s="1"/>
  <c r="AK334" i="6"/>
  <c r="AN334" i="6" s="1"/>
  <c r="AK298" i="6"/>
  <c r="AN298" i="6" s="1"/>
  <c r="AK226" i="6"/>
  <c r="AN226" i="6" s="1"/>
  <c r="AK36" i="6"/>
  <c r="AN36" i="6" s="1"/>
  <c r="AK64" i="6"/>
  <c r="AK10" i="6"/>
  <c r="AN10" i="6" s="1"/>
  <c r="AK198" i="6"/>
  <c r="AN198" i="6" s="1"/>
  <c r="AK208" i="6"/>
  <c r="AK352" i="6"/>
  <c r="AN352" i="6" s="1"/>
  <c r="AK342" i="6"/>
  <c r="AN342" i="6" s="1"/>
  <c r="AK288" i="6"/>
  <c r="AK262" i="6"/>
  <c r="AN262" i="6" s="1"/>
  <c r="AK280" i="6"/>
  <c r="AK108" i="6"/>
  <c r="AK306" i="6"/>
  <c r="AN306" i="6" s="1"/>
  <c r="AK144" i="6"/>
  <c r="AK244" i="6"/>
  <c r="AN244" i="6" s="1"/>
  <c r="AK18" i="6"/>
  <c r="AN18" i="6" s="1"/>
  <c r="AK72" i="6"/>
  <c r="AK270" i="6"/>
  <c r="AN270" i="6" s="1"/>
  <c r="AK360" i="6"/>
  <c r="AK54" i="6"/>
  <c r="AN54" i="6" s="1"/>
  <c r="AK28" i="6"/>
  <c r="AN28" i="6" s="1"/>
  <c r="AK46" i="6"/>
  <c r="AN46" i="6" s="1"/>
  <c r="W320" i="6"/>
  <c r="Z320" i="6" s="1"/>
  <c r="W22" i="6"/>
  <c r="Z22" i="6" s="1"/>
  <c r="W284" i="6"/>
  <c r="Z284" i="6" s="1"/>
  <c r="G291" i="7" s="1"/>
  <c r="G21" i="19" s="1"/>
  <c r="W310" i="6"/>
  <c r="Z310" i="6" s="1"/>
  <c r="W238" i="6"/>
  <c r="Z238" i="6" s="1"/>
  <c r="G239" i="7" s="1"/>
  <c r="W302" i="6"/>
  <c r="Z302" i="6" s="1"/>
  <c r="W122" i="6"/>
  <c r="Z122" i="6" s="1"/>
  <c r="G131" i="7" s="1"/>
  <c r="W94" i="6"/>
  <c r="W256" i="6"/>
  <c r="Z256" i="6" s="1"/>
  <c r="W50" i="6"/>
  <c r="W140" i="6"/>
  <c r="Z140" i="6" s="1"/>
  <c r="W328" i="6"/>
  <c r="Z328" i="6" s="1"/>
  <c r="W194" i="6"/>
  <c r="Z194" i="6" s="1"/>
  <c r="W130" i="6"/>
  <c r="Z130" i="6" s="1"/>
  <c r="W338" i="6"/>
  <c r="Z338" i="6" s="1"/>
  <c r="W166" i="6"/>
  <c r="Z166" i="6" s="1"/>
  <c r="W14" i="6"/>
  <c r="Z14" i="6" s="1"/>
  <c r="W68" i="6"/>
  <c r="Z68" i="6" s="1"/>
  <c r="W176" i="6"/>
  <c r="W86" i="6"/>
  <c r="W58" i="6"/>
  <c r="W112" i="6"/>
  <c r="Z112" i="6" s="1"/>
  <c r="W76" i="6"/>
  <c r="Z76" i="6" s="1"/>
  <c r="W346" i="6"/>
  <c r="Z346" i="6" s="1"/>
  <c r="G359" i="7" s="1"/>
  <c r="W158" i="6"/>
  <c r="Z158" i="6" s="1"/>
  <c r="W104" i="6"/>
  <c r="Z104" i="6" s="1"/>
  <c r="W248" i="6"/>
  <c r="Z248" i="6" s="1"/>
  <c r="W356" i="6"/>
  <c r="W40" i="6"/>
  <c r="Z40" i="6" s="1"/>
  <c r="W184" i="6"/>
  <c r="W148" i="6"/>
  <c r="Z148" i="6" s="1"/>
  <c r="W266" i="6"/>
  <c r="Z266" i="6" s="1"/>
  <c r="G271" i="7" s="1"/>
  <c r="W202" i="6"/>
  <c r="Z202" i="6" s="1"/>
  <c r="W212" i="6"/>
  <c r="Z212" i="6" s="1"/>
  <c r="W32" i="6"/>
  <c r="Z32" i="6" s="1"/>
  <c r="W230" i="6"/>
  <c r="Z230" i="6" s="1"/>
  <c r="W220" i="6"/>
  <c r="Z220" i="6" s="1"/>
  <c r="W274" i="6"/>
  <c r="Z274" i="6" s="1"/>
  <c r="G279" i="7" s="1"/>
  <c r="W364" i="6"/>
  <c r="Z364" i="6" s="1"/>
  <c r="W292" i="6"/>
  <c r="Z292" i="6" s="1"/>
  <c r="AG112" i="6"/>
  <c r="F119" i="7"/>
  <c r="L119" i="7" s="1"/>
  <c r="AI112" i="6"/>
  <c r="H259" i="7"/>
  <c r="M259" i="7" s="1"/>
  <c r="AG105" i="6"/>
  <c r="F112" i="7"/>
  <c r="L112" i="7" s="1"/>
  <c r="AI105" i="6"/>
  <c r="T149" i="6"/>
  <c r="T141" i="6"/>
  <c r="AN81" i="6"/>
  <c r="AI245" i="6"/>
  <c r="AG245" i="6"/>
  <c r="F248" i="7"/>
  <c r="L248" i="7" s="1"/>
  <c r="G175" i="7"/>
  <c r="H359" i="7"/>
  <c r="M359" i="7" s="1"/>
  <c r="H131" i="7"/>
  <c r="M131" i="7" s="1"/>
  <c r="H356" i="7"/>
  <c r="M356" i="7" s="1"/>
  <c r="G46" i="7"/>
  <c r="G110" i="7"/>
  <c r="G114" i="7"/>
  <c r="G195" i="7"/>
  <c r="G166" i="7"/>
  <c r="G252" i="7"/>
  <c r="H99" i="7"/>
  <c r="M99" i="7" s="1"/>
  <c r="H191" i="7"/>
  <c r="H328" i="7"/>
  <c r="M328" i="7" s="1"/>
  <c r="AG360" i="6"/>
  <c r="F375" i="7"/>
  <c r="L375" i="7" s="1"/>
  <c r="AI360" i="6"/>
  <c r="Z50" i="6"/>
  <c r="E108" i="7"/>
  <c r="U101" i="6"/>
  <c r="Z101" i="6" s="1"/>
  <c r="AN266" i="6"/>
  <c r="AN280" i="6"/>
  <c r="AN288" i="6"/>
  <c r="T143" i="6"/>
  <c r="T135" i="6"/>
  <c r="G260" i="7"/>
  <c r="E112" i="7"/>
  <c r="U105" i="6"/>
  <c r="AN147" i="6"/>
  <c r="AN337" i="6"/>
  <c r="AN274" i="6"/>
  <c r="U113" i="6"/>
  <c r="E120" i="7"/>
  <c r="AN201" i="6"/>
  <c r="F117" i="7"/>
  <c r="L117" i="7" s="1"/>
  <c r="AG110" i="6"/>
  <c r="AI110" i="6"/>
  <c r="H180" i="6"/>
  <c r="G180" i="6"/>
  <c r="G181" i="6"/>
  <c r="H181" i="6"/>
  <c r="G179" i="6"/>
  <c r="H179" i="6"/>
  <c r="Z327" i="6"/>
  <c r="E157" i="7"/>
  <c r="U146" i="6"/>
  <c r="E91" i="7"/>
  <c r="U86" i="6"/>
  <c r="AG135" i="6"/>
  <c r="F146" i="7"/>
  <c r="L146" i="7" s="1"/>
  <c r="AI135" i="6"/>
  <c r="F120" i="7"/>
  <c r="L120" i="7" s="1"/>
  <c r="AI113" i="6"/>
  <c r="AG113" i="6"/>
  <c r="G55" i="7"/>
  <c r="AN117" i="6"/>
  <c r="U245" i="6"/>
  <c r="E248" i="7"/>
  <c r="W38" i="6"/>
  <c r="Z38" i="6" s="1"/>
  <c r="W200" i="6"/>
  <c r="Z200" i="6" s="1"/>
  <c r="W12" i="6"/>
  <c r="Z12" i="6" s="1"/>
  <c r="G9" i="7" s="1"/>
  <c r="W282" i="6"/>
  <c r="Z282" i="6" s="1"/>
  <c r="W300" i="6"/>
  <c r="Z300" i="6" s="1"/>
  <c r="W318" i="6"/>
  <c r="Z318" i="6" s="1"/>
  <c r="W156" i="6"/>
  <c r="Z156" i="6" s="1"/>
  <c r="W210" i="6"/>
  <c r="Z210" i="6" s="1"/>
  <c r="G209" i="7" s="1"/>
  <c r="W290" i="6"/>
  <c r="Z290" i="6" s="1"/>
  <c r="W192" i="6"/>
  <c r="Z192" i="6" s="1"/>
  <c r="W254" i="6"/>
  <c r="Z254" i="6" s="1"/>
  <c r="W308" i="6"/>
  <c r="Z308" i="6" s="1"/>
  <c r="G317" i="7" s="1"/>
  <c r="W336" i="6"/>
  <c r="Z336" i="6" s="1"/>
  <c r="W218" i="6"/>
  <c r="Z218" i="6" s="1"/>
  <c r="W228" i="6"/>
  <c r="Z228" i="6" s="1"/>
  <c r="G229" i="7" s="1"/>
  <c r="W20" i="6"/>
  <c r="Z20" i="6" s="1"/>
  <c r="G17" i="7" s="1"/>
  <c r="W326" i="6"/>
  <c r="Z326" i="6" s="1"/>
  <c r="W246" i="6"/>
  <c r="Z246" i="6" s="1"/>
  <c r="W92" i="6"/>
  <c r="Z92" i="6" s="1"/>
  <c r="G97" i="7" s="1"/>
  <c r="W236" i="6"/>
  <c r="Z236" i="6" s="1"/>
  <c r="W146" i="6"/>
  <c r="W56" i="6"/>
  <c r="Z56" i="6" s="1"/>
  <c r="W362" i="6"/>
  <c r="Z362" i="6" s="1"/>
  <c r="W84" i="6"/>
  <c r="Z84" i="6" s="1"/>
  <c r="G89" i="7" s="1"/>
  <c r="W138" i="6"/>
  <c r="W264" i="6"/>
  <c r="Z264" i="6" s="1"/>
  <c r="W110" i="6"/>
  <c r="W66" i="6"/>
  <c r="Z66" i="6" s="1"/>
  <c r="W344" i="6"/>
  <c r="Z344" i="6" s="1"/>
  <c r="W182" i="6"/>
  <c r="W30" i="6"/>
  <c r="Z30" i="6" s="1"/>
  <c r="W174" i="6"/>
  <c r="W272" i="6"/>
  <c r="Z272" i="6" s="1"/>
  <c r="W354" i="6"/>
  <c r="Z354" i="6" s="1"/>
  <c r="W128" i="6"/>
  <c r="Z128" i="6" s="1"/>
  <c r="W164" i="6"/>
  <c r="Z164" i="6" s="1"/>
  <c r="W102" i="6"/>
  <c r="Z102" i="6" s="1"/>
  <c r="G109" i="7" s="1"/>
  <c r="W74" i="6"/>
  <c r="Z74" i="6" s="1"/>
  <c r="W120" i="6"/>
  <c r="Z120" i="6" s="1"/>
  <c r="W48" i="6"/>
  <c r="Z48" i="6" s="1"/>
  <c r="G28" i="7"/>
  <c r="G172" i="7"/>
  <c r="G130" i="7"/>
  <c r="G247" i="7"/>
  <c r="G94" i="7"/>
  <c r="G15" i="7"/>
  <c r="G266" i="7"/>
  <c r="H228" i="7"/>
  <c r="M228" i="7" s="1"/>
  <c r="G250" i="7"/>
  <c r="G90" i="7"/>
  <c r="G26" i="7"/>
  <c r="G320" i="7"/>
  <c r="H139" i="7"/>
  <c r="M139" i="7" s="1"/>
  <c r="H214" i="7"/>
  <c r="M214" i="7" s="1"/>
  <c r="G215" i="7"/>
  <c r="G106" i="7"/>
  <c r="G255" i="7"/>
  <c r="G70" i="7"/>
  <c r="G360" i="7"/>
  <c r="G275" i="7"/>
  <c r="G280" i="7"/>
  <c r="G310" i="7"/>
  <c r="G92" i="7"/>
  <c r="AB219" i="6"/>
  <c r="AB211" i="6"/>
  <c r="AB292" i="6"/>
  <c r="AB251" i="6"/>
  <c r="AB117" i="6"/>
  <c r="AB327" i="6"/>
  <c r="AB297" i="6"/>
  <c r="AB237" i="6"/>
  <c r="AB195" i="6"/>
  <c r="AB203" i="6"/>
  <c r="AA135" i="6"/>
  <c r="AA94" i="6"/>
  <c r="AA113" i="6"/>
  <c r="AA147" i="6"/>
  <c r="AA58" i="6"/>
  <c r="AA356" i="6"/>
  <c r="AB208" i="6"/>
  <c r="AB36" i="6"/>
  <c r="AB243" i="6"/>
  <c r="AB19" i="6"/>
  <c r="AB215" i="6"/>
  <c r="AB229" i="6"/>
  <c r="AB139" i="6"/>
  <c r="AA146" i="6"/>
  <c r="AA50" i="6"/>
  <c r="AA360" i="6"/>
  <c r="AA353" i="6"/>
  <c r="AA101" i="6"/>
  <c r="AA109" i="6"/>
  <c r="AA86" i="6"/>
  <c r="AA105" i="6"/>
  <c r="AB201" i="6"/>
  <c r="AB11" i="6"/>
  <c r="AB131" i="6"/>
  <c r="AB227" i="6"/>
  <c r="AB289" i="6"/>
  <c r="AB81" i="6"/>
  <c r="AB310" i="6"/>
  <c r="AB287" i="6"/>
  <c r="AB337" i="6"/>
  <c r="AA110" i="6"/>
  <c r="AA245" i="6"/>
  <c r="AB21" i="6"/>
  <c r="AB280" i="6"/>
  <c r="AB123" i="6"/>
  <c r="AB302" i="6"/>
  <c r="AB104" i="6"/>
  <c r="AB285" i="6"/>
  <c r="AB282" i="6"/>
  <c r="AP303" i="6"/>
  <c r="AP264" i="6"/>
  <c r="AP93" i="6"/>
  <c r="AP321" i="6"/>
  <c r="AP234" i="6"/>
  <c r="AP218" i="6"/>
  <c r="AP359" i="6"/>
  <c r="AP22" i="6"/>
  <c r="AO315" i="6"/>
  <c r="AO65" i="6"/>
  <c r="AO101" i="6"/>
  <c r="AP230" i="6"/>
  <c r="AP266" i="6"/>
  <c r="AP40" i="6"/>
  <c r="AP125" i="6"/>
  <c r="AP128" i="6"/>
  <c r="AO63" i="6"/>
  <c r="AO147" i="6"/>
  <c r="AO109" i="6"/>
  <c r="AO136" i="6"/>
  <c r="AP85" i="6"/>
  <c r="AP355" i="6"/>
  <c r="AP339" i="6"/>
  <c r="AP117" i="6"/>
  <c r="AP146" i="6"/>
  <c r="AP283" i="6"/>
  <c r="AO310" i="6"/>
  <c r="AO341" i="6"/>
  <c r="AP57" i="6"/>
  <c r="AP103" i="6"/>
  <c r="AP306" i="6"/>
  <c r="AP203" i="6"/>
  <c r="AP95" i="6"/>
  <c r="AP202" i="6"/>
  <c r="AP91" i="6"/>
  <c r="AP237" i="6"/>
  <c r="AO335" i="6"/>
  <c r="AO344" i="6"/>
  <c r="AP246" i="6"/>
  <c r="AP19" i="6"/>
  <c r="AP267" i="6"/>
  <c r="AP275" i="6"/>
  <c r="AP15" i="6"/>
  <c r="AP228" i="6"/>
  <c r="AP33" i="6"/>
  <c r="AP302" i="6"/>
  <c r="AO323" i="6"/>
  <c r="AO305" i="6"/>
  <c r="AP127" i="6"/>
  <c r="AP281" i="6"/>
  <c r="AP220" i="6"/>
  <c r="AP38" i="6"/>
  <c r="AP47" i="6"/>
  <c r="AP137" i="6"/>
  <c r="AP208" i="6"/>
  <c r="AP81" i="6"/>
  <c r="AP129" i="6"/>
  <c r="AO39" i="6"/>
  <c r="AO112" i="6"/>
  <c r="AO143" i="6"/>
  <c r="AP262" i="6"/>
  <c r="AO245" i="6"/>
  <c r="AO144" i="6"/>
  <c r="AP199" i="6"/>
  <c r="AP76" i="6"/>
  <c r="AP13" i="6"/>
  <c r="AP192" i="6"/>
  <c r="AP243" i="6"/>
  <c r="AP337" i="6"/>
  <c r="AP87" i="6"/>
  <c r="AP77" i="6"/>
  <c r="AO158" i="6"/>
  <c r="AO68" i="6"/>
  <c r="AP35" i="6"/>
  <c r="AP201" i="6"/>
  <c r="AP200" i="6"/>
  <c r="AP92" i="6"/>
  <c r="AP288" i="6"/>
  <c r="AO119" i="6"/>
  <c r="AO113" i="6"/>
  <c r="AP166" i="6"/>
  <c r="AP365" i="6"/>
  <c r="AO239" i="6"/>
  <c r="AO105" i="6"/>
  <c r="AP120" i="6"/>
  <c r="AP263" i="6"/>
  <c r="AP20" i="6"/>
  <c r="AO270" i="6"/>
  <c r="AP248" i="6"/>
  <c r="AP252" i="6"/>
  <c r="AP10" i="6"/>
  <c r="AP299" i="6"/>
  <c r="AP51" i="6"/>
  <c r="AP32" i="6"/>
  <c r="AP269" i="6"/>
  <c r="AP138" i="6"/>
  <c r="AP271" i="6"/>
  <c r="AP28" i="6"/>
  <c r="AP23" i="6"/>
  <c r="AO149" i="6"/>
  <c r="AP327" i="6"/>
  <c r="AO104" i="6"/>
  <c r="AO64" i="6"/>
  <c r="AP236" i="6"/>
  <c r="AP319" i="6"/>
  <c r="AP69" i="6"/>
  <c r="AP307" i="6"/>
  <c r="AP325" i="6"/>
  <c r="AP280" i="6"/>
  <c r="AP216" i="6"/>
  <c r="AP255" i="6"/>
  <c r="AP41" i="6"/>
  <c r="AO334" i="6"/>
  <c r="AP217" i="6"/>
  <c r="AO135" i="6"/>
  <c r="AP221" i="6"/>
  <c r="AP238" i="6"/>
  <c r="AP156" i="6"/>
  <c r="AP58" i="6"/>
  <c r="AP48" i="6"/>
  <c r="AP12" i="6"/>
  <c r="AP301" i="6"/>
  <c r="AO213" i="6"/>
  <c r="AO161" i="6"/>
  <c r="AO110" i="6"/>
  <c r="AP126" i="6"/>
  <c r="AP191" i="6"/>
  <c r="AP30" i="6"/>
  <c r="AP338" i="6"/>
  <c r="AP231" i="6"/>
  <c r="AP157" i="6"/>
  <c r="AP197" i="6"/>
  <c r="AP73" i="6"/>
  <c r="AP29" i="6"/>
  <c r="AO235" i="6"/>
  <c r="AO356" i="6"/>
  <c r="AP324" i="6"/>
  <c r="AP282" i="6"/>
  <c r="AP71" i="6"/>
  <c r="AP99" i="6"/>
  <c r="AP140" i="6"/>
  <c r="AP190" i="6"/>
  <c r="AP18" i="6"/>
  <c r="AP210" i="6"/>
  <c r="AP11" i="6"/>
  <c r="AP347" i="6"/>
  <c r="AP102" i="6"/>
  <c r="AP84" i="6"/>
  <c r="AO27" i="6"/>
  <c r="AO360" i="6"/>
  <c r="AP308" i="6"/>
  <c r="AP108" i="6"/>
  <c r="AP17" i="6"/>
  <c r="AP145" i="6"/>
  <c r="AP274" i="6"/>
  <c r="AP53" i="6"/>
  <c r="AP207" i="6"/>
  <c r="AP279" i="6"/>
  <c r="AO225" i="6"/>
  <c r="AP193" i="6"/>
  <c r="AO353" i="6"/>
  <c r="AO72" i="6"/>
  <c r="AP229" i="6"/>
  <c r="AP247" i="6"/>
  <c r="AP37" i="6"/>
  <c r="AP74" i="6"/>
  <c r="AO167" i="6"/>
  <c r="AP165" i="6"/>
  <c r="AP285" i="6"/>
  <c r="AO320" i="6"/>
  <c r="J106" i="7" l="1"/>
  <c r="J74" i="7"/>
  <c r="H74" i="7" s="1"/>
  <c r="M74" i="7" s="1"/>
  <c r="J289" i="7"/>
  <c r="J335" i="7"/>
  <c r="H335" i="7" s="1"/>
  <c r="M335" i="7" s="1"/>
  <c r="J7" i="7"/>
  <c r="H7" i="7" s="1"/>
  <c r="M7" i="7" s="1"/>
  <c r="J255" i="7"/>
  <c r="J251" i="7"/>
  <c r="H251" i="7" s="1"/>
  <c r="M251" i="7" s="1"/>
  <c r="J272" i="7"/>
  <c r="H272" i="7" s="1"/>
  <c r="M272" i="7" s="1"/>
  <c r="J16" i="7"/>
  <c r="H16" i="7" s="1"/>
  <c r="M16" i="7" s="1"/>
  <c r="J249" i="7"/>
  <c r="J332" i="7"/>
  <c r="H332" i="7" s="1"/>
  <c r="M332" i="7" s="1"/>
  <c r="J98" i="7"/>
  <c r="H98" i="7" s="1"/>
  <c r="M98" i="7" s="1"/>
  <c r="J269" i="7"/>
  <c r="H269" i="7" s="1"/>
  <c r="M269" i="7" s="1"/>
  <c r="J312" i="7"/>
  <c r="H312" i="7" s="1"/>
  <c r="M312" i="7" s="1"/>
  <c r="H355" i="7"/>
  <c r="M355" i="7" s="1"/>
  <c r="G351" i="7"/>
  <c r="M22" i="19" s="1"/>
  <c r="G349" i="7"/>
  <c r="G179" i="7"/>
  <c r="G129" i="7"/>
  <c r="H175" i="7"/>
  <c r="M175" i="7" s="1"/>
  <c r="J28" i="7"/>
  <c r="H28" i="7" s="1"/>
  <c r="M28" i="7" s="1"/>
  <c r="I292" i="7"/>
  <c r="G292" i="7" s="1"/>
  <c r="J238" i="7"/>
  <c r="H238" i="7" s="1"/>
  <c r="M238" i="7" s="1"/>
  <c r="J292" i="7"/>
  <c r="H292" i="7" s="1"/>
  <c r="M292" i="7" s="1"/>
  <c r="J76" i="7"/>
  <c r="H76" i="7" s="1"/>
  <c r="M76" i="7" s="1"/>
  <c r="J295" i="7"/>
  <c r="H295" i="7" s="1"/>
  <c r="M295" i="7" s="1"/>
  <c r="J96" i="7"/>
  <c r="H96" i="7" s="1"/>
  <c r="M96" i="7" s="1"/>
  <c r="J17" i="7"/>
  <c r="H17" i="7" s="1"/>
  <c r="M17" i="7" s="1"/>
  <c r="J194" i="7"/>
  <c r="H194" i="7" s="1"/>
  <c r="M194" i="7" s="1"/>
  <c r="J97" i="7"/>
  <c r="H97" i="7" s="1"/>
  <c r="M97" i="7" s="1"/>
  <c r="J199" i="7"/>
  <c r="H199" i="7" s="1"/>
  <c r="M199" i="7" s="1"/>
  <c r="I111" i="7"/>
  <c r="G111" i="7" s="1"/>
  <c r="M15" i="19" s="1"/>
  <c r="J170" i="7"/>
  <c r="H170" i="7" s="1"/>
  <c r="M170" i="7" s="1"/>
  <c r="J197" i="7"/>
  <c r="H197" i="7" s="1"/>
  <c r="M197" i="7" s="1"/>
  <c r="J100" i="7"/>
  <c r="H100" i="7" s="1"/>
  <c r="M100" i="7" s="1"/>
  <c r="J268" i="7"/>
  <c r="H268" i="7" s="1"/>
  <c r="M268" i="7" s="1"/>
  <c r="J232" i="7"/>
  <c r="H232" i="7" s="1"/>
  <c r="M232" i="7" s="1"/>
  <c r="J198" i="7"/>
  <c r="H198" i="7" s="1"/>
  <c r="M198" i="7" s="1"/>
  <c r="J200" i="7"/>
  <c r="H200" i="7" s="1"/>
  <c r="M200" i="7" s="1"/>
  <c r="I311" i="7"/>
  <c r="G311" i="7" s="1"/>
  <c r="M21" i="19" s="1"/>
  <c r="J351" i="7"/>
  <c r="H351" i="7" s="1"/>
  <c r="M351" i="7" s="1"/>
  <c r="I132" i="7"/>
  <c r="G132" i="7" s="1"/>
  <c r="J315" i="7"/>
  <c r="H315" i="7" s="1"/>
  <c r="M315" i="7" s="1"/>
  <c r="I287" i="7"/>
  <c r="G287" i="7" s="1"/>
  <c r="J29" i="7"/>
  <c r="H29" i="7" s="1"/>
  <c r="M29" i="7" s="1"/>
  <c r="I18" i="7"/>
  <c r="G18" i="7" s="1"/>
  <c r="J110" i="7"/>
  <c r="H110" i="7" s="1"/>
  <c r="M110" i="7" s="1"/>
  <c r="J178" i="7"/>
  <c r="H178" i="7" s="1"/>
  <c r="M178" i="7" s="1"/>
  <c r="J188" i="7"/>
  <c r="H188" i="7" s="1"/>
  <c r="M188" i="7" s="1"/>
  <c r="J34" i="7"/>
  <c r="H34" i="7" s="1"/>
  <c r="M34" i="7" s="1"/>
  <c r="J58" i="7"/>
  <c r="H58" i="7" s="1"/>
  <c r="M58" i="7" s="1"/>
  <c r="J129" i="7"/>
  <c r="H129" i="7" s="1"/>
  <c r="M129" i="7" s="1"/>
  <c r="J135" i="7"/>
  <c r="H135" i="7" s="1"/>
  <c r="M135" i="7" s="1"/>
  <c r="J80" i="7"/>
  <c r="H80" i="7" s="1"/>
  <c r="M80" i="7" s="1"/>
  <c r="J290" i="7"/>
  <c r="H290" i="7" s="1"/>
  <c r="M290" i="7" s="1"/>
  <c r="J77" i="7"/>
  <c r="H77" i="7" s="1"/>
  <c r="M77" i="7" s="1"/>
  <c r="J310" i="7"/>
  <c r="H310" i="7" s="1"/>
  <c r="M310" i="7" s="1"/>
  <c r="J92" i="7"/>
  <c r="H92" i="7" s="1"/>
  <c r="M92" i="7" s="1"/>
  <c r="J157" i="7"/>
  <c r="H157" i="7" s="1"/>
  <c r="M157" i="7" s="1"/>
  <c r="J380" i="7"/>
  <c r="H380" i="7" s="1"/>
  <c r="M380" i="7" s="1"/>
  <c r="J9" i="7"/>
  <c r="H9" i="7" s="1"/>
  <c r="M9" i="7" s="1"/>
  <c r="J350" i="7"/>
  <c r="J126" i="7"/>
  <c r="H126" i="7" s="1"/>
  <c r="M126" i="7" s="1"/>
  <c r="J36" i="7"/>
  <c r="H36" i="7" s="1"/>
  <c r="M36" i="7" s="1"/>
  <c r="J49" i="7"/>
  <c r="H49" i="7" s="1"/>
  <c r="M49" i="7" s="1"/>
  <c r="J246" i="7"/>
  <c r="H246" i="7" s="1"/>
  <c r="M246" i="7" s="1"/>
  <c r="I350" i="7"/>
  <c r="G350" i="7" s="1"/>
  <c r="J179" i="7"/>
  <c r="H179" i="7" s="1"/>
  <c r="M179" i="7" s="1"/>
  <c r="J59" i="7"/>
  <c r="H59" i="7" s="1"/>
  <c r="M59" i="7" s="1"/>
  <c r="J189" i="7"/>
  <c r="H189" i="7" s="1"/>
  <c r="M189" i="7" s="1"/>
  <c r="J352" i="7"/>
  <c r="H352" i="7" s="1"/>
  <c r="M352" i="7" s="1"/>
  <c r="I294" i="7"/>
  <c r="G294" i="7" s="1"/>
  <c r="J169" i="7"/>
  <c r="H169" i="7" s="1"/>
  <c r="M169" i="7" s="1"/>
  <c r="J10" i="7"/>
  <c r="H10" i="7" s="1"/>
  <c r="M10" i="7" s="1"/>
  <c r="J370" i="7"/>
  <c r="H370" i="7" s="1"/>
  <c r="M370" i="7" s="1"/>
  <c r="I319" i="7"/>
  <c r="G319" i="7" s="1"/>
  <c r="I86" i="7"/>
  <c r="G86" i="7" s="1"/>
  <c r="I296" i="7"/>
  <c r="G296" i="7" s="1"/>
  <c r="J90" i="7"/>
  <c r="H90" i="7" s="1"/>
  <c r="M90" i="7" s="1"/>
  <c r="J250" i="7"/>
  <c r="H250" i="7" s="1"/>
  <c r="M250" i="7" s="1"/>
  <c r="I228" i="7"/>
  <c r="G228" i="7" s="1"/>
  <c r="J79" i="7"/>
  <c r="H79" i="7" s="1"/>
  <c r="M79" i="7" s="1"/>
  <c r="I140" i="7"/>
  <c r="G140" i="7" s="1"/>
  <c r="J230" i="7"/>
  <c r="H230" i="7" s="1"/>
  <c r="M230" i="7" s="1"/>
  <c r="I8" i="7"/>
  <c r="G8" i="7" s="1"/>
  <c r="J196" i="7"/>
  <c r="H196" i="7" s="1"/>
  <c r="M196" i="7" s="1"/>
  <c r="I198" i="7"/>
  <c r="G198" i="7" s="1"/>
  <c r="J286" i="7"/>
  <c r="H286" i="7" s="1"/>
  <c r="M286" i="7" s="1"/>
  <c r="I150" i="7"/>
  <c r="G150" i="7" s="1"/>
  <c r="J138" i="7"/>
  <c r="H138" i="7" s="1"/>
  <c r="M138" i="7" s="1"/>
  <c r="I230" i="7"/>
  <c r="G230" i="7" s="1"/>
  <c r="J206" i="7"/>
  <c r="H206" i="7" s="1"/>
  <c r="M206" i="7" s="1"/>
  <c r="J40" i="7"/>
  <c r="H40" i="7" s="1"/>
  <c r="M40" i="7" s="1"/>
  <c r="J86" i="7"/>
  <c r="H86" i="7" s="1"/>
  <c r="M86" i="7" s="1"/>
  <c r="J137" i="7"/>
  <c r="H137" i="7" s="1"/>
  <c r="M137" i="7" s="1"/>
  <c r="J54" i="7"/>
  <c r="H54" i="7" s="1"/>
  <c r="M54" i="7" s="1"/>
  <c r="J258" i="7"/>
  <c r="H258" i="7" s="1"/>
  <c r="M258" i="7" s="1"/>
  <c r="J207" i="7"/>
  <c r="H207" i="7" s="1"/>
  <c r="M207" i="7" s="1"/>
  <c r="I214" i="7"/>
  <c r="G214" i="7" s="1"/>
  <c r="J279" i="7"/>
  <c r="H279" i="7" s="1"/>
  <c r="M279" i="7" s="1"/>
  <c r="J215" i="7"/>
  <c r="H215" i="7" s="1"/>
  <c r="M215" i="7" s="1"/>
  <c r="I16" i="7"/>
  <c r="G16" i="7" s="1"/>
  <c r="J134" i="7"/>
  <c r="H134" i="7" s="1"/>
  <c r="M134" i="7" s="1"/>
  <c r="I246" i="7"/>
  <c r="G246" i="7" s="1"/>
  <c r="J287" i="7"/>
  <c r="H287" i="7" s="1"/>
  <c r="M287" i="7" s="1"/>
  <c r="J148" i="7"/>
  <c r="H148" i="7" s="1"/>
  <c r="M148" i="7" s="1"/>
  <c r="I35" i="7"/>
  <c r="G35" i="7" s="1"/>
  <c r="J156" i="7"/>
  <c r="H156" i="7" s="1"/>
  <c r="M156" i="7" s="1"/>
  <c r="J336" i="7"/>
  <c r="H336" i="7" s="1"/>
  <c r="M336" i="7" s="1"/>
  <c r="J48" i="7"/>
  <c r="H48" i="7" s="1"/>
  <c r="M48" i="7" s="1"/>
  <c r="J39" i="7"/>
  <c r="H39" i="7" s="1"/>
  <c r="M39" i="7" s="1"/>
  <c r="J14" i="7"/>
  <c r="H14" i="7" s="1"/>
  <c r="M14" i="7" s="1"/>
  <c r="J316" i="7"/>
  <c r="H316" i="7" s="1"/>
  <c r="M316" i="7" s="1"/>
  <c r="J37" i="7"/>
  <c r="H37" i="7" s="1"/>
  <c r="M37" i="7" s="1"/>
  <c r="I207" i="7"/>
  <c r="G207" i="7" s="1"/>
  <c r="J115" i="7"/>
  <c r="H115" i="7" s="1"/>
  <c r="M115" i="7" s="1"/>
  <c r="J72" i="7"/>
  <c r="H72" i="7" s="1"/>
  <c r="M72" i="7" s="1"/>
  <c r="J219" i="7"/>
  <c r="H219" i="7" s="1"/>
  <c r="M219" i="7" s="1"/>
  <c r="J271" i="7"/>
  <c r="H271" i="7" s="1"/>
  <c r="M271" i="7" s="1"/>
  <c r="J317" i="7"/>
  <c r="H317" i="7" s="1"/>
  <c r="M317" i="7" s="1"/>
  <c r="J330" i="7"/>
  <c r="H330" i="7" s="1"/>
  <c r="M330" i="7" s="1"/>
  <c r="J89" i="7"/>
  <c r="H89" i="7" s="1"/>
  <c r="M89" i="7" s="1"/>
  <c r="I192" i="7"/>
  <c r="G192" i="7" s="1"/>
  <c r="J311" i="7"/>
  <c r="H311" i="7" s="1"/>
  <c r="N21" i="19" s="1"/>
  <c r="I238" i="7"/>
  <c r="G238" i="7" s="1"/>
  <c r="J109" i="7"/>
  <c r="H109" i="7" s="1"/>
  <c r="M109" i="7" s="1"/>
  <c r="J20" i="7"/>
  <c r="H20" i="7" s="1"/>
  <c r="M20" i="7" s="1"/>
  <c r="J32" i="7"/>
  <c r="H32" i="7" s="1"/>
  <c r="M32" i="7" s="1"/>
  <c r="J19" i="7"/>
  <c r="H19" i="7" s="1"/>
  <c r="M19" i="7" s="1"/>
  <c r="J360" i="7"/>
  <c r="H360" i="7" s="1"/>
  <c r="M360" i="7" s="1"/>
  <c r="J27" i="7"/>
  <c r="H27" i="7" s="1"/>
  <c r="M27" i="7" s="1"/>
  <c r="I306" i="7"/>
  <c r="G306" i="7" s="1"/>
  <c r="J374" i="7"/>
  <c r="H374" i="7" s="1"/>
  <c r="M374" i="7" s="1"/>
  <c r="J8" i="7"/>
  <c r="H8" i="7" s="1"/>
  <c r="M8" i="7" s="1"/>
  <c r="J276" i="7"/>
  <c r="H276" i="7" s="1"/>
  <c r="M276" i="7" s="1"/>
  <c r="I338" i="7"/>
  <c r="G338" i="7" s="1"/>
  <c r="J217" i="7"/>
  <c r="H217" i="7" s="1"/>
  <c r="M217" i="7" s="1"/>
  <c r="J209" i="7"/>
  <c r="H209" i="7" s="1"/>
  <c r="M209" i="7" s="1"/>
  <c r="J149" i="7"/>
  <c r="H149" i="7" s="1"/>
  <c r="M149" i="7" s="1"/>
  <c r="J229" i="7"/>
  <c r="H229" i="7" s="1"/>
  <c r="M229" i="7" s="1"/>
  <c r="I126" i="7"/>
  <c r="G126" i="7" s="1"/>
  <c r="J15" i="7"/>
  <c r="H15" i="7" s="1"/>
  <c r="M15" i="7" s="1"/>
  <c r="J274" i="7"/>
  <c r="H274" i="7" s="1"/>
  <c r="M274" i="7" s="1"/>
  <c r="J12" i="7"/>
  <c r="H12" i="7" s="1"/>
  <c r="M12" i="7" s="1"/>
  <c r="I254" i="7"/>
  <c r="G254" i="7" s="1"/>
  <c r="J187" i="7"/>
  <c r="H187" i="7" s="1"/>
  <c r="M187" i="7" s="1"/>
  <c r="J31" i="7"/>
  <c r="H31" i="7" s="1"/>
  <c r="H16" i="19" s="1"/>
  <c r="I299" i="7"/>
  <c r="G299" i="7" s="1"/>
  <c r="I210" i="7"/>
  <c r="G210" i="7" s="1"/>
  <c r="J151" i="7"/>
  <c r="H151" i="7" s="1"/>
  <c r="M151" i="7" s="1"/>
  <c r="J52" i="7"/>
  <c r="H52" i="7" s="1"/>
  <c r="M52" i="7" s="1"/>
  <c r="J280" i="7"/>
  <c r="H280" i="7" s="1"/>
  <c r="M280" i="7" s="1"/>
  <c r="J235" i="7"/>
  <c r="H235" i="7" s="1"/>
  <c r="M235" i="7" s="1"/>
  <c r="I218" i="7"/>
  <c r="G218" i="7" s="1"/>
  <c r="J308" i="7"/>
  <c r="H308" i="7" s="1"/>
  <c r="M308" i="7" s="1"/>
  <c r="AN341" i="6"/>
  <c r="AN161" i="6"/>
  <c r="AN149" i="6"/>
  <c r="H289" i="7"/>
  <c r="M289" i="7" s="1"/>
  <c r="H106" i="7"/>
  <c r="M106" i="7" s="1"/>
  <c r="AN167" i="6"/>
  <c r="AN213" i="6"/>
  <c r="AN68" i="6"/>
  <c r="H249" i="7"/>
  <c r="M249" i="7" s="1"/>
  <c r="Z146" i="6"/>
  <c r="AN305" i="6"/>
  <c r="AN27" i="6"/>
  <c r="AN225" i="6"/>
  <c r="AN39" i="6"/>
  <c r="G251" i="7"/>
  <c r="AN113" i="6"/>
  <c r="J136" i="7"/>
  <c r="H136" i="7" s="1"/>
  <c r="M136" i="7" s="1"/>
  <c r="J231" i="7"/>
  <c r="H231" i="7" s="1"/>
  <c r="J239" i="7"/>
  <c r="H239" i="7" s="1"/>
  <c r="M239" i="7" s="1"/>
  <c r="I289" i="7"/>
  <c r="G289" i="7" s="1"/>
  <c r="J220" i="7"/>
  <c r="H220" i="7" s="1"/>
  <c r="M220" i="7" s="1"/>
  <c r="J216" i="7"/>
  <c r="H216" i="7" s="1"/>
  <c r="M216" i="7" s="1"/>
  <c r="I200" i="7"/>
  <c r="G200" i="7" s="1"/>
  <c r="J237" i="7"/>
  <c r="H237" i="7" s="1"/>
  <c r="M237" i="7" s="1"/>
  <c r="J267" i="7"/>
  <c r="H267" i="7" s="1"/>
  <c r="M267" i="7" s="1"/>
  <c r="J338" i="7"/>
  <c r="H338" i="7" s="1"/>
  <c r="M338" i="7" s="1"/>
  <c r="J288" i="7"/>
  <c r="H288" i="7" s="1"/>
  <c r="M288" i="7" s="1"/>
  <c r="J190" i="7"/>
  <c r="H190" i="7" s="1"/>
  <c r="M190" i="7" s="1"/>
  <c r="AN143" i="6"/>
  <c r="Z147" i="6"/>
  <c r="Z245" i="6"/>
  <c r="Z86" i="6"/>
  <c r="AN245" i="6"/>
  <c r="AN353" i="6"/>
  <c r="Z353" i="6"/>
  <c r="Z113" i="6"/>
  <c r="Z105" i="6"/>
  <c r="Z94" i="6"/>
  <c r="Z109" i="6"/>
  <c r="Z360" i="6"/>
  <c r="G177" i="7"/>
  <c r="G137" i="7"/>
  <c r="H95" i="7"/>
  <c r="M95" i="7" s="1"/>
  <c r="G269" i="7"/>
  <c r="AN144" i="6"/>
  <c r="H127" i="7"/>
  <c r="M127" i="7" s="1"/>
  <c r="G249" i="7"/>
  <c r="AN360" i="6"/>
  <c r="Z135" i="6"/>
  <c r="G159" i="7"/>
  <c r="G357" i="7"/>
  <c r="G277" i="7"/>
  <c r="G29" i="7"/>
  <c r="G377" i="7"/>
  <c r="G169" i="7"/>
  <c r="AG181" i="6"/>
  <c r="F397" i="7"/>
  <c r="AI181" i="6"/>
  <c r="H227" i="7"/>
  <c r="M227" i="7" s="1"/>
  <c r="H87" i="7"/>
  <c r="M87" i="7" s="1"/>
  <c r="F388" i="7"/>
  <c r="AI172" i="6"/>
  <c r="AG172" i="6"/>
  <c r="G31" i="7"/>
  <c r="G16" i="19" s="1"/>
  <c r="AG177" i="6"/>
  <c r="F393" i="7"/>
  <c r="AI177" i="6"/>
  <c r="G379" i="7"/>
  <c r="G79" i="7"/>
  <c r="G151" i="7"/>
  <c r="G17" i="19" s="1"/>
  <c r="H195" i="7"/>
  <c r="M195" i="7" s="1"/>
  <c r="H255" i="7"/>
  <c r="M255" i="7" s="1"/>
  <c r="U176" i="6"/>
  <c r="E392" i="7"/>
  <c r="G259" i="7"/>
  <c r="U138" i="6"/>
  <c r="E149" i="7"/>
  <c r="AI185" i="6"/>
  <c r="F401" i="7"/>
  <c r="AG185" i="6"/>
  <c r="AG183" i="6"/>
  <c r="AI183" i="6"/>
  <c r="F399" i="7"/>
  <c r="AN72" i="6"/>
  <c r="U171" i="6"/>
  <c r="E387" i="7"/>
  <c r="G297" i="7"/>
  <c r="G77" i="7"/>
  <c r="G369" i="7"/>
  <c r="G57" i="7"/>
  <c r="G217" i="7"/>
  <c r="G189" i="7"/>
  <c r="G329" i="7"/>
  <c r="G197" i="7"/>
  <c r="U149" i="6"/>
  <c r="E160" i="7"/>
  <c r="E397" i="7"/>
  <c r="U181" i="6"/>
  <c r="AN110" i="6"/>
  <c r="H350" i="7"/>
  <c r="M350" i="7" s="1"/>
  <c r="U143" i="6"/>
  <c r="E154" i="7"/>
  <c r="N18" i="19"/>
  <c r="M191" i="7"/>
  <c r="E152" i="7"/>
  <c r="U141" i="6"/>
  <c r="G211" i="7"/>
  <c r="G19" i="19" s="1"/>
  <c r="G119" i="7"/>
  <c r="G71" i="7"/>
  <c r="G139" i="7"/>
  <c r="H55" i="7"/>
  <c r="M55" i="7" s="1"/>
  <c r="H307" i="7"/>
  <c r="M307" i="7" s="1"/>
  <c r="H167" i="7"/>
  <c r="M167" i="7" s="1"/>
  <c r="H107" i="7"/>
  <c r="M107" i="7" s="1"/>
  <c r="AG176" i="6"/>
  <c r="AI176" i="6"/>
  <c r="F392" i="7"/>
  <c r="U172" i="6"/>
  <c r="E388" i="7"/>
  <c r="G19" i="7"/>
  <c r="G257" i="7"/>
  <c r="Z356" i="6"/>
  <c r="E393" i="7"/>
  <c r="U177" i="6"/>
  <c r="E401" i="7"/>
  <c r="U185" i="6"/>
  <c r="E399" i="7"/>
  <c r="U183" i="6"/>
  <c r="Z58" i="6"/>
  <c r="AI171" i="6"/>
  <c r="AG171" i="6"/>
  <c r="F387" i="7"/>
  <c r="G337" i="7"/>
  <c r="G309" i="7"/>
  <c r="G37" i="7"/>
  <c r="AG179" i="6"/>
  <c r="F395" i="7"/>
  <c r="AI179" i="6"/>
  <c r="U180" i="6"/>
  <c r="E396" i="7"/>
  <c r="Z141" i="6"/>
  <c r="AN105" i="6"/>
  <c r="AN112" i="6"/>
  <c r="G219" i="7"/>
  <c r="G199" i="7"/>
  <c r="G39" i="7"/>
  <c r="G171" i="7"/>
  <c r="G18" i="19" s="1"/>
  <c r="G11" i="7"/>
  <c r="G15" i="19" s="1"/>
  <c r="G191" i="7"/>
  <c r="M18" i="19" s="1"/>
  <c r="G331" i="7"/>
  <c r="G22" i="19" s="1"/>
  <c r="H247" i="7"/>
  <c r="M247" i="7" s="1"/>
  <c r="H367" i="7"/>
  <c r="M367" i="7" s="1"/>
  <c r="E390" i="7"/>
  <c r="U174" i="6"/>
  <c r="AI175" i="6"/>
  <c r="F391" i="7"/>
  <c r="AG175" i="6"/>
  <c r="M211" i="7"/>
  <c r="H19" i="19"/>
  <c r="F389" i="7"/>
  <c r="AI173" i="6"/>
  <c r="AG173" i="6"/>
  <c r="AI184" i="6"/>
  <c r="AG184" i="6"/>
  <c r="F400" i="7"/>
  <c r="AI139" i="6"/>
  <c r="F150" i="7"/>
  <c r="L150" i="7" s="1"/>
  <c r="AG139" i="6"/>
  <c r="E398" i="7"/>
  <c r="U182" i="6"/>
  <c r="G49" i="7"/>
  <c r="G69" i="7"/>
  <c r="G237" i="7"/>
  <c r="AN135" i="6"/>
  <c r="E395" i="7"/>
  <c r="U179" i="6"/>
  <c r="AG180" i="6"/>
  <c r="F396" i="7"/>
  <c r="AI180" i="6"/>
  <c r="G231" i="7"/>
  <c r="G20" i="19" s="1"/>
  <c r="G339" i="7"/>
  <c r="H47" i="7"/>
  <c r="M47" i="7" s="1"/>
  <c r="H35" i="7"/>
  <c r="M35" i="7" s="1"/>
  <c r="AN109" i="6"/>
  <c r="AN64" i="6"/>
  <c r="AN356" i="6"/>
  <c r="AI174" i="6"/>
  <c r="AG174" i="6"/>
  <c r="F390" i="7"/>
  <c r="Z110" i="6"/>
  <c r="AN104" i="6"/>
  <c r="AN101" i="6"/>
  <c r="E391" i="7"/>
  <c r="U175" i="6"/>
  <c r="E389" i="7"/>
  <c r="U173" i="6"/>
  <c r="E400" i="7"/>
  <c r="U184" i="6"/>
  <c r="AI182" i="6"/>
  <c r="AG182" i="6"/>
  <c r="F398" i="7"/>
  <c r="H21" i="19"/>
  <c r="M291" i="7"/>
  <c r="M11" i="7"/>
  <c r="H15" i="19"/>
  <c r="AB245" i="6"/>
  <c r="AB353" i="6"/>
  <c r="AB50" i="6"/>
  <c r="AB356" i="6"/>
  <c r="AB113" i="6"/>
  <c r="AB110" i="6"/>
  <c r="AB105" i="6"/>
  <c r="AB101" i="6"/>
  <c r="AB146" i="6"/>
  <c r="AB58" i="6"/>
  <c r="AB94" i="6"/>
  <c r="AA174" i="6"/>
  <c r="AA171" i="6"/>
  <c r="AA173" i="6"/>
  <c r="AA185" i="6"/>
  <c r="AA176" i="6"/>
  <c r="AA141" i="6"/>
  <c r="AA175" i="6"/>
  <c r="AA183" i="6"/>
  <c r="AA172" i="6"/>
  <c r="AA177" i="6"/>
  <c r="AA184" i="6"/>
  <c r="AB109" i="6"/>
  <c r="AB147" i="6"/>
  <c r="AB135" i="6"/>
  <c r="AA181" i="6"/>
  <c r="AA149" i="6"/>
  <c r="AA143" i="6"/>
  <c r="AA182" i="6"/>
  <c r="AA180" i="6"/>
  <c r="AB86" i="6"/>
  <c r="AB360" i="6"/>
  <c r="AA138" i="6"/>
  <c r="AA179" i="6"/>
  <c r="AP167" i="6"/>
  <c r="AP149" i="6"/>
  <c r="AP119" i="6"/>
  <c r="AP323" i="6"/>
  <c r="AP341" i="6"/>
  <c r="AP344" i="6"/>
  <c r="AP245" i="6"/>
  <c r="AP39" i="6"/>
  <c r="AO172" i="6"/>
  <c r="AO182" i="6"/>
  <c r="AP110" i="6"/>
  <c r="AP360" i="6"/>
  <c r="AO184" i="6"/>
  <c r="AP161" i="6"/>
  <c r="AP68" i="6"/>
  <c r="AP310" i="6"/>
  <c r="AO175" i="6"/>
  <c r="AO185" i="6"/>
  <c r="AP213" i="6"/>
  <c r="AP158" i="6"/>
  <c r="AP315" i="6"/>
  <c r="AP356" i="6"/>
  <c r="AP72" i="6"/>
  <c r="AP135" i="6"/>
  <c r="AP104" i="6"/>
  <c r="AO179" i="6"/>
  <c r="AP105" i="6"/>
  <c r="AP112" i="6"/>
  <c r="AO181" i="6"/>
  <c r="AP353" i="6"/>
  <c r="AP63" i="6"/>
  <c r="AO176" i="6"/>
  <c r="AP101" i="6"/>
  <c r="AP320" i="6"/>
  <c r="AP334" i="6"/>
  <c r="AP239" i="6"/>
  <c r="AP305" i="6"/>
  <c r="AP335" i="6"/>
  <c r="AP235" i="6"/>
  <c r="AP136" i="6"/>
  <c r="AO183" i="6"/>
  <c r="AP144" i="6"/>
  <c r="AP147" i="6"/>
  <c r="AP65" i="6"/>
  <c r="AO173" i="6"/>
  <c r="AO171" i="6"/>
  <c r="AP109" i="6"/>
  <c r="AP64" i="6"/>
  <c r="AO180" i="6"/>
  <c r="AP113" i="6"/>
  <c r="AP270" i="6"/>
  <c r="AO174" i="6"/>
  <c r="AP143" i="6"/>
  <c r="AO177" i="6"/>
  <c r="AO139" i="6"/>
  <c r="AP225" i="6"/>
  <c r="AP27" i="6"/>
  <c r="J348" i="7" l="1"/>
  <c r="H348" i="7" s="1"/>
  <c r="M348" i="7" s="1"/>
  <c r="J314" i="7"/>
  <c r="J240" i="7"/>
  <c r="H240" i="7" s="1"/>
  <c r="M240" i="7" s="1"/>
  <c r="J347" i="7"/>
  <c r="H347" i="7" s="1"/>
  <c r="M347" i="7" s="1"/>
  <c r="J331" i="7"/>
  <c r="H331" i="7" s="1"/>
  <c r="M331" i="7" s="1"/>
  <c r="J326" i="7"/>
  <c r="H326" i="7" s="1"/>
  <c r="M326" i="7" s="1"/>
  <c r="J171" i="7"/>
  <c r="H171" i="7" s="1"/>
  <c r="H18" i="19" s="1"/>
  <c r="J212" i="7"/>
  <c r="J319" i="7"/>
  <c r="H319" i="7" s="1"/>
  <c r="M319" i="7" s="1"/>
  <c r="J71" i="7"/>
  <c r="H71" i="7" s="1"/>
  <c r="M71" i="7" s="1"/>
  <c r="J174" i="7"/>
  <c r="J354" i="7"/>
  <c r="J334" i="7"/>
  <c r="H334" i="7" s="1"/>
  <c r="M334" i="7" s="1"/>
  <c r="J128" i="7"/>
  <c r="H128" i="7" s="1"/>
  <c r="M128" i="7" s="1"/>
  <c r="J160" i="7"/>
  <c r="J180" i="7"/>
  <c r="M171" i="7"/>
  <c r="M31" i="7"/>
  <c r="H22" i="19"/>
  <c r="N22" i="19"/>
  <c r="M311" i="7"/>
  <c r="H17" i="19"/>
  <c r="J26" i="7"/>
  <c r="H26" i="7" s="1"/>
  <c r="M26" i="7" s="1"/>
  <c r="J375" i="7"/>
  <c r="H375" i="7" s="1"/>
  <c r="M375" i="7" s="1"/>
  <c r="J67" i="7"/>
  <c r="H67" i="7" s="1"/>
  <c r="M67" i="7" s="1"/>
  <c r="J66" i="7"/>
  <c r="H66" i="7" s="1"/>
  <c r="M66" i="7" s="1"/>
  <c r="J226" i="7"/>
  <c r="H226" i="7" s="1"/>
  <c r="M226" i="7" s="1"/>
  <c r="I375" i="7"/>
  <c r="G375" i="7" s="1"/>
  <c r="J116" i="7"/>
  <c r="H116" i="7" s="1"/>
  <c r="M116" i="7" s="1"/>
  <c r="J368" i="7"/>
  <c r="H368" i="7" s="1"/>
  <c r="M368" i="7" s="1"/>
  <c r="I91" i="7"/>
  <c r="G91" i="7" s="1"/>
  <c r="J117" i="7"/>
  <c r="H117" i="7" s="1"/>
  <c r="M117" i="7" s="1"/>
  <c r="J68" i="7"/>
  <c r="H68" i="7" s="1"/>
  <c r="M68" i="7" s="1"/>
  <c r="I146" i="7"/>
  <c r="G146" i="7" s="1"/>
  <c r="I158" i="7"/>
  <c r="G158" i="7" s="1"/>
  <c r="J38" i="7"/>
  <c r="H38" i="7" s="1"/>
  <c r="M38" i="7" s="1"/>
  <c r="J158" i="7"/>
  <c r="H158" i="7" s="1"/>
  <c r="M158" i="7" s="1"/>
  <c r="J119" i="7"/>
  <c r="H119" i="7" s="1"/>
  <c r="M119" i="7" s="1"/>
  <c r="J154" i="7"/>
  <c r="H154" i="7" s="1"/>
  <c r="M154" i="7" s="1"/>
  <c r="I116" i="7"/>
  <c r="G116" i="7" s="1"/>
  <c r="J155" i="7"/>
  <c r="J112" i="7"/>
  <c r="H112" i="7" s="1"/>
  <c r="M112" i="7" s="1"/>
  <c r="I99" i="7"/>
  <c r="G99" i="7" s="1"/>
  <c r="I59" i="7"/>
  <c r="G59" i="7" s="1"/>
  <c r="I157" i="7"/>
  <c r="G157" i="7" s="1"/>
  <c r="J146" i="7"/>
  <c r="H146" i="7" s="1"/>
  <c r="M146" i="7" s="1"/>
  <c r="I108" i="7"/>
  <c r="G108" i="7" s="1"/>
  <c r="J248" i="7"/>
  <c r="H248" i="7" s="1"/>
  <c r="M248" i="7" s="1"/>
  <c r="I112" i="7"/>
  <c r="G112" i="7" s="1"/>
  <c r="I117" i="7"/>
  <c r="G117" i="7" s="1"/>
  <c r="J275" i="7"/>
  <c r="H275" i="7" s="1"/>
  <c r="M275" i="7" s="1"/>
  <c r="J357" i="7"/>
  <c r="H357" i="7" s="1"/>
  <c r="M357" i="7" s="1"/>
  <c r="I120" i="7"/>
  <c r="G120" i="7" s="1"/>
  <c r="I371" i="7"/>
  <c r="G371" i="7" s="1"/>
  <c r="I51" i="7"/>
  <c r="G51" i="7" s="1"/>
  <c r="I368" i="7"/>
  <c r="G368" i="7" s="1"/>
  <c r="J147" i="7"/>
  <c r="H147" i="7" s="1"/>
  <c r="M147" i="7" s="1"/>
  <c r="J75" i="7"/>
  <c r="H75" i="7" s="1"/>
  <c r="M75" i="7" s="1"/>
  <c r="J120" i="7"/>
  <c r="H120" i="7" s="1"/>
  <c r="M120" i="7" s="1"/>
  <c r="I248" i="7"/>
  <c r="G248" i="7" s="1"/>
  <c r="J236" i="7"/>
  <c r="H236" i="7" s="1"/>
  <c r="M236" i="7" s="1"/>
  <c r="J371" i="7"/>
  <c r="H371" i="7" s="1"/>
  <c r="M371" i="7" s="1"/>
  <c r="H212" i="7"/>
  <c r="M212" i="7" s="1"/>
  <c r="H354" i="7"/>
  <c r="M354" i="7" s="1"/>
  <c r="H174" i="7"/>
  <c r="M174" i="7" s="1"/>
  <c r="AN174" i="6"/>
  <c r="AN184" i="6"/>
  <c r="H314" i="7"/>
  <c r="M314" i="7" s="1"/>
  <c r="H180" i="7"/>
  <c r="M180" i="7" s="1"/>
  <c r="H160" i="7"/>
  <c r="M160" i="7" s="1"/>
  <c r="AN182" i="6"/>
  <c r="H155" i="7"/>
  <c r="M155" i="7" s="1"/>
  <c r="J108" i="7"/>
  <c r="H108" i="7" s="1"/>
  <c r="M108" i="7" s="1"/>
  <c r="J111" i="7"/>
  <c r="H111" i="7" s="1"/>
  <c r="Z184" i="6"/>
  <c r="Z175" i="6"/>
  <c r="Z180" i="6"/>
  <c r="Z185" i="6"/>
  <c r="Z177" i="6"/>
  <c r="Z138" i="6"/>
  <c r="Z173" i="6"/>
  <c r="Z179" i="6"/>
  <c r="Z182" i="6"/>
  <c r="Z172" i="6"/>
  <c r="Z149" i="6"/>
  <c r="Z171" i="6"/>
  <c r="Z174" i="6"/>
  <c r="Z183" i="6"/>
  <c r="Z143" i="6"/>
  <c r="Z181" i="6"/>
  <c r="Z176" i="6"/>
  <c r="M231" i="7"/>
  <c r="H20" i="19"/>
  <c r="AN175" i="6"/>
  <c r="AN172" i="6"/>
  <c r="AN181" i="6"/>
  <c r="AN176" i="6"/>
  <c r="AN180" i="6"/>
  <c r="AN185" i="6"/>
  <c r="AN177" i="6"/>
  <c r="AN173" i="6"/>
  <c r="AN139" i="6"/>
  <c r="AN179" i="6"/>
  <c r="AN171" i="6"/>
  <c r="AN183" i="6"/>
  <c r="AB143" i="6"/>
  <c r="AB183" i="6"/>
  <c r="AB174" i="6"/>
  <c r="AB179" i="6"/>
  <c r="AB149" i="6"/>
  <c r="AB175" i="6"/>
  <c r="AB173" i="6"/>
  <c r="AB180" i="6"/>
  <c r="AB184" i="6"/>
  <c r="AB141" i="6"/>
  <c r="AB177" i="6"/>
  <c r="AB138" i="6"/>
  <c r="AB182" i="6"/>
  <c r="AB181" i="6"/>
  <c r="AB172" i="6"/>
  <c r="AB176" i="6"/>
  <c r="AB171" i="6"/>
  <c r="AB185" i="6"/>
  <c r="AP174" i="6"/>
  <c r="AP182" i="6"/>
  <c r="AP171" i="6"/>
  <c r="AP179" i="6"/>
  <c r="AP181" i="6"/>
  <c r="AP139" i="6"/>
  <c r="AP183" i="6"/>
  <c r="AP173" i="6"/>
  <c r="AP184" i="6"/>
  <c r="AP177" i="6"/>
  <c r="AP172" i="6"/>
  <c r="AP185" i="6"/>
  <c r="AP175" i="6"/>
  <c r="AP180" i="6"/>
  <c r="AP176" i="6"/>
  <c r="I387" i="7" l="1"/>
  <c r="G387" i="7" s="1"/>
  <c r="I392" i="7"/>
  <c r="G392" i="7" s="1"/>
  <c r="I388" i="7"/>
  <c r="G388" i="7" s="1"/>
  <c r="I397" i="7"/>
  <c r="G397" i="7" s="1"/>
  <c r="J397" i="7"/>
  <c r="H397" i="7" s="1"/>
  <c r="I398" i="7"/>
  <c r="G398" i="7" s="1"/>
  <c r="I149" i="7"/>
  <c r="G149" i="7" s="1"/>
  <c r="J395" i="7"/>
  <c r="H395" i="7" s="1"/>
  <c r="I152" i="7"/>
  <c r="G152" i="7" s="1"/>
  <c r="I400" i="7"/>
  <c r="G400" i="7" s="1"/>
  <c r="J389" i="7"/>
  <c r="H389" i="7" s="1"/>
  <c r="J387" i="7"/>
  <c r="H387" i="7" s="1"/>
  <c r="I396" i="7"/>
  <c r="G396" i="7" s="1"/>
  <c r="J401" i="7"/>
  <c r="H401" i="7" s="1"/>
  <c r="J399" i="7"/>
  <c r="H399" i="7" s="1"/>
  <c r="I389" i="7"/>
  <c r="G389" i="7" s="1"/>
  <c r="I391" i="7"/>
  <c r="G391" i="7" s="1"/>
  <c r="J388" i="7"/>
  <c r="H388" i="7" s="1"/>
  <c r="I160" i="7"/>
  <c r="G160" i="7" s="1"/>
  <c r="J398" i="7"/>
  <c r="H398" i="7" s="1"/>
  <c r="J392" i="7"/>
  <c r="H392" i="7" s="1"/>
  <c r="I395" i="7"/>
  <c r="G395" i="7" s="1"/>
  <c r="I390" i="7"/>
  <c r="G390" i="7" s="1"/>
  <c r="J390" i="7"/>
  <c r="H390" i="7" s="1"/>
  <c r="I399" i="7"/>
  <c r="G399" i="7" s="1"/>
  <c r="J393" i="7"/>
  <c r="H393" i="7" s="1"/>
  <c r="J150" i="7"/>
  <c r="H150" i="7" s="1"/>
  <c r="M150" i="7" s="1"/>
  <c r="I154" i="7"/>
  <c r="G154" i="7" s="1"/>
  <c r="J396" i="7"/>
  <c r="H396" i="7" s="1"/>
  <c r="J400" i="7"/>
  <c r="H400" i="7" s="1"/>
  <c r="I393" i="7"/>
  <c r="G393" i="7" s="1"/>
  <c r="J391" i="7"/>
  <c r="H391" i="7" s="1"/>
  <c r="I401" i="7"/>
  <c r="G401" i="7" s="1"/>
  <c r="N15" i="19"/>
  <c r="M111" i="7"/>
</calcChain>
</file>

<file path=xl/comments1.xml><?xml version="1.0" encoding="utf-8"?>
<comments xmlns="http://schemas.openxmlformats.org/spreadsheetml/2006/main">
  <authors>
    <author>Industrial Research Limited</author>
  </authors>
  <commentList>
    <comment ref="A1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Temp at Rotronics different to CT</t>
        </r>
      </text>
    </comment>
    <comment ref="B1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temp gradient and in calibration of Rotronic</t>
        </r>
      </text>
    </comment>
    <comment ref="C1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calibration of Rotronic</t>
        </r>
      </text>
    </comment>
    <comment ref="A5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Temp at Rotronics different to CT</t>
        </r>
      </text>
    </comment>
    <comment ref="B5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temp gradient and in calibration of Rotronic</t>
        </r>
      </text>
    </comment>
    <comment ref="C5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Include uncert in calibration of Rotronic</t>
        </r>
      </text>
    </comment>
  </commentList>
</comments>
</file>

<file path=xl/comments2.xml><?xml version="1.0" encoding="utf-8"?>
<comments xmlns="http://schemas.openxmlformats.org/spreadsheetml/2006/main">
  <authors>
    <author>Industrial Research Limited</author>
    <author>Bruce McLennan</author>
    <author>Laurie Christian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Description of test, eg, 2000/5A Range, 4 Turns, 500/5 AT range Two-stage, 500AT CT</t>
        </r>
      </text>
    </comment>
    <comment ref="B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1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9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9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99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1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1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34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3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52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53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7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71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18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189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0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0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24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2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42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43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6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61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7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79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29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29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14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1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32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33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E335" authorId="1">
      <text>
        <r>
          <rPr>
            <b/>
            <sz val="9"/>
            <color indexed="81"/>
            <rFont val="Tahoma"/>
            <family val="2"/>
          </rPr>
          <t>Bruce McLennan:</t>
        </r>
        <r>
          <rPr>
            <sz val="9"/>
            <color indexed="81"/>
            <rFont val="Tahoma"/>
            <family val="2"/>
          </rPr>
          <t xml:space="preserve">
-0.2295 in the labbook.</t>
        </r>
      </text>
    </comment>
    <comment ref="B35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51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6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69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38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38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04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0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22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23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4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41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5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Output terminals</t>
        </r>
      </text>
    </comment>
    <comment ref="B459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8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X481" authorId="2">
      <text>
        <r>
          <rPr>
            <b/>
            <sz val="9"/>
            <color indexed="81"/>
            <rFont val="Tahoma"/>
            <family val="2"/>
          </rPr>
          <t>Laurie Christian:</t>
        </r>
        <r>
          <rPr>
            <sz val="9"/>
            <color indexed="81"/>
            <rFont val="Tahoma"/>
            <family val="2"/>
          </rPr>
          <t xml:space="preserve">
Formula was this.</t>
        </r>
      </text>
    </comment>
    <comment ref="B48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9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49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0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0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14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21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2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3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42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  <comment ref="B549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Date</t>
        </r>
      </text>
    </comment>
  </commentList>
</comments>
</file>

<file path=xl/comments3.xml><?xml version="1.0" encoding="utf-8"?>
<comments xmlns="http://schemas.openxmlformats.org/spreadsheetml/2006/main">
  <authors>
    <author>Industrial Research Limited</author>
    <author>Andrew Corney</author>
    <author>l.christian</author>
  </authors>
  <commentList>
    <comment ref="X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3 of the template</t>
        </r>
      </text>
    </comment>
    <comment ref="Y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2 of the template.</t>
        </r>
      </text>
    </comment>
    <comment ref="AE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formula for template version 2 onwards</t>
        </r>
      </text>
    </comment>
    <comment ref="AL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3 of the template</t>
        </r>
      </text>
    </comment>
    <comment ref="AM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New to version 2 of the template.</t>
        </r>
      </text>
    </comment>
    <comment ref="P7" authorId="1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cover factor varies from 2.8 to 2.6 as excitation increases.  This corresponds to dof going from 4 to 5.  Take as 4 for all, to keep things simple.</t>
        </r>
      </text>
    </comment>
    <comment ref="W7" authorId="1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see Uncertainties worksheet</t>
        </r>
      </text>
    </comment>
    <comment ref="AD7" authorId="1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cover factor is 2.4 which corresponds to dof of 6.5</t>
        </r>
      </text>
    </comment>
    <comment ref="AK7" authorId="1">
      <text>
        <r>
          <rPr>
            <b/>
            <sz val="8"/>
            <color indexed="81"/>
            <rFont val="Tahoma"/>
            <family val="2"/>
          </rPr>
          <t>Andrew Corney:</t>
        </r>
        <r>
          <rPr>
            <sz val="8"/>
            <color indexed="81"/>
            <rFont val="Tahoma"/>
            <family val="2"/>
          </rPr>
          <t xml:space="preserve">
see Uncertainties worksheet</t>
        </r>
      </text>
    </comment>
    <comment ref="P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X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Uses repeat measurements: need to enter the correct calculations in cell O206 etc</t>
        </r>
      </text>
    </comment>
    <comment ref="AD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L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Uses repeat measurements: need to enter the correct calculations in cell AC206 etc</t>
        </r>
      </text>
    </comment>
    <comment ref="D10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Changed the formula to cope with non-nominal mV readings</t>
        </r>
      </text>
    </comment>
    <comment ref="P2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4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4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6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6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8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8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9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9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1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1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3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3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5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5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7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7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18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18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0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0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2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2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4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4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6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6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7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79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29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297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31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315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33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333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P35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  <comment ref="AD351" authorId="2">
      <text>
        <r>
          <rPr>
            <b/>
            <sz val="8"/>
            <color indexed="81"/>
            <rFont val="Tahoma"/>
            <family val="2"/>
          </rPr>
          <t>l.christian:</t>
        </r>
        <r>
          <rPr>
            <sz val="8"/>
            <color indexed="81"/>
            <rFont val="Tahoma"/>
            <family val="2"/>
          </rPr>
          <t xml:space="preserve">
Uncertainties to use for 2-stage transformers</t>
        </r>
      </text>
    </comment>
  </commentList>
</comments>
</file>

<file path=xl/comments4.xml><?xml version="1.0" encoding="utf-8"?>
<comments xmlns="http://schemas.openxmlformats.org/spreadsheetml/2006/main">
  <authors>
    <author>Industrial Research Limited</author>
    <author>Keith Jones</author>
  </authors>
  <commentList>
    <comment ref="G3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See Burden Uncertainty note below</t>
        </r>
      </text>
    </comment>
    <comment ref="L4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These entries are historic: Andy set the values to zero after 2002</t>
        </r>
      </text>
    </comment>
    <comment ref="B5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Resolution uncertainty of slidewire</t>
        </r>
      </text>
    </comment>
    <comment ref="B6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We don't apply a correction for the mutual inductance but instead an uncertainty which is the std devn of the errors (the mean error is very close to zero)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Not used at present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We take a mean correction for the Aux CT ratio and this is the std devn of these corrections and is applied as an uncertainty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Industrial Research Limited:</t>
        </r>
        <r>
          <rPr>
            <sz val="8"/>
            <color indexed="81"/>
            <rFont val="Tahoma"/>
            <family val="2"/>
          </rPr>
          <t xml:space="preserve">
We take a mean correction for the Aux CT phase and this is the std devn of these corrections and is applied as an uncertainty</t>
        </r>
      </text>
    </comment>
    <comment ref="K30" authorId="1">
      <text>
        <r>
          <rPr>
            <b/>
            <sz val="8"/>
            <color indexed="81"/>
            <rFont val="Tahoma"/>
            <family val="2"/>
          </rPr>
          <t>Keith Jones:</t>
        </r>
        <r>
          <rPr>
            <sz val="8"/>
            <color indexed="81"/>
            <rFont val="Tahoma"/>
            <family val="2"/>
          </rPr>
          <t xml:space="preserve">
Divide change by this number.  Default is 2.</t>
        </r>
      </text>
    </comment>
    <comment ref="D35" authorId="1">
      <text>
        <r>
          <rPr>
            <b/>
            <sz val="8"/>
            <color indexed="81"/>
            <rFont val="Tahoma"/>
            <family val="2"/>
          </rPr>
          <t>Keith Jones:</t>
        </r>
        <r>
          <rPr>
            <sz val="8"/>
            <color indexed="81"/>
            <rFont val="Tahoma"/>
            <family val="2"/>
          </rPr>
          <t xml:space="preserve">
Differences now divided by 2 (or whatever is chosen in K30).</t>
        </r>
      </text>
    </comment>
  </commentList>
</comments>
</file>

<file path=xl/sharedStrings.xml><?xml version="1.0" encoding="utf-8"?>
<sst xmlns="http://schemas.openxmlformats.org/spreadsheetml/2006/main" count="2218" uniqueCount="560">
  <si>
    <t>Arnold Test Set Readings, manual entry</t>
  </si>
  <si>
    <t>Shunt
mV</t>
  </si>
  <si>
    <t>ratio error
%</t>
  </si>
  <si>
    <t>phase error
minutes</t>
  </si>
  <si>
    <t>multiply 
by</t>
  </si>
  <si>
    <t>% rated current</t>
  </si>
  <si>
    <t>ratio error
(%)</t>
  </si>
  <si>
    <t>phase error
crad</t>
  </si>
  <si>
    <t>Coverage Factor</t>
  </si>
  <si>
    <t>Burden (ohms)</t>
  </si>
  <si>
    <t>Effect of Bunching</t>
  </si>
  <si>
    <t>bunch right</t>
  </si>
  <si>
    <t>bunch bottom</t>
  </si>
  <si>
    <t>bunch left</t>
  </si>
  <si>
    <t>%</t>
  </si>
  <si>
    <t>Primary Current (% of rated)</t>
  </si>
  <si>
    <t>ohms</t>
  </si>
  <si>
    <t>right</t>
  </si>
  <si>
    <t>left</t>
  </si>
  <si>
    <t>Error</t>
  </si>
  <si>
    <t>Expanded Uncertainty</t>
  </si>
  <si>
    <t>Unexplained discrepancies</t>
  </si>
  <si>
    <t>slidewire_res</t>
  </si>
  <si>
    <t>ratio_factor</t>
  </si>
  <si>
    <t>phase_factor</t>
  </si>
  <si>
    <t>burden_res</t>
  </si>
  <si>
    <t>earthing_Re</t>
  </si>
  <si>
    <t>earthing_Im</t>
  </si>
  <si>
    <t>MSL
 standard</t>
  </si>
  <si>
    <t>Test set
slidewire</t>
  </si>
  <si>
    <t>Current 
coefficient</t>
  </si>
  <si>
    <t>Frequency
coefficient</t>
  </si>
  <si>
    <t>Burden
coefficient</t>
  </si>
  <si>
    <t>Temp
coefficient</t>
  </si>
  <si>
    <t>Conductor
config</t>
  </si>
  <si>
    <t>combined
standard
uncertainty</t>
  </si>
  <si>
    <t>DOF</t>
  </si>
  <si>
    <t>Cover</t>
  </si>
  <si>
    <t>Mutual
inductor</t>
  </si>
  <si>
    <t>DOF:</t>
  </si>
  <si>
    <t>Load
% of rated</t>
  </si>
  <si>
    <t>current 
error</t>
  </si>
  <si>
    <t>phase 
error</t>
  </si>
  <si>
    <t>burden</t>
  </si>
  <si>
    <t>B5A0VA</t>
  </si>
  <si>
    <t>crad</t>
  </si>
  <si>
    <t xml:space="preserve">Current 
error
</t>
  </si>
  <si>
    <t xml:space="preserve">Phase 
error
</t>
  </si>
  <si>
    <t>Named uncertainty constants</t>
  </si>
  <si>
    <t>There are thus 50 positive and 50 negative divisions.  A minor division can be reliably subdivided by eye to 0.2 of a division.</t>
  </si>
  <si>
    <t>The slide-wire is graduated +0.5% to -0.5%. Each major scale division (steps of 0.1%) is divided into 10 minor divisions (steps of 0.01%).</t>
  </si>
  <si>
    <t xml:space="preserve">The mutual inductor is graduated +23 minutes to -23 minutes.  The scale is non-linear, being expanded near zero.  </t>
  </si>
  <si>
    <t>Hence the 1 sigma resolution is 0.001%, multiplied by the scale multiplying factor determined by the common resistor chosen.</t>
  </si>
  <si>
    <t>Conductor configuration</t>
  </si>
  <si>
    <t>% rated load</t>
  </si>
  <si>
    <t>Look-up table for conductor configuration uncertainties</t>
  </si>
  <si>
    <t>Current coefficient</t>
  </si>
  <si>
    <t>Earthing
and coupling</t>
  </si>
  <si>
    <t>Earthing and coupling</t>
  </si>
  <si>
    <t>minutes</t>
  </si>
  <si>
    <t>forward</t>
  </si>
  <si>
    <t>reverse</t>
  </si>
  <si>
    <t>Reversal Error</t>
  </si>
  <si>
    <t>multiplier</t>
  </si>
  <si>
    <t>mean:</t>
  </si>
  <si>
    <t>The detector isolating transformer has effectively eliminated detector earthing and common mode problems.</t>
  </si>
  <si>
    <t>Conservatively allow 0.0005% and .0005 crad for earthing and coupling effects.</t>
  </si>
  <si>
    <t>Negligible at the ppm level!</t>
  </si>
  <si>
    <t>From measurements taken on Everett Edgcumbe 844400 on 11 July 2002 we have, for forward and reverse AC potentiometer current:</t>
  </si>
  <si>
    <t>current_coef</t>
  </si>
  <si>
    <t>Effect of burden</t>
  </si>
  <si>
    <t>BurdenUnc</t>
  </si>
  <si>
    <t>take the "current coefficient" to be 0.2 times the change in ratio or phase in going from one excitation to the next</t>
  </si>
  <si>
    <t>To acount for the inability to set the current to better than 10% at 5% ecitation, and for some instability of the transformer at low excitation,</t>
  </si>
  <si>
    <t>The current can be set more precisely at higher excitations, but the current dependence is much less, and the stability is much better.</t>
  </si>
  <si>
    <t>Burden Uncertainty</t>
  </si>
  <si>
    <t>Assume that the change in burden in going from 5 VA to O VA is known and stable to 5% (a fairly conservated estimate).</t>
  </si>
  <si>
    <t>The uncertainty due to burden is just the change in ratio and phase multiplied by 0.05.</t>
  </si>
  <si>
    <t>Test set transformer</t>
  </si>
  <si>
    <t>current 
correction</t>
  </si>
  <si>
    <t>phase 
correction</t>
  </si>
  <si>
    <t xml:space="preserve">current error
</t>
  </si>
  <si>
    <t xml:space="preserve">phase error
</t>
  </si>
  <si>
    <t>Before demagnetisation</t>
  </si>
  <si>
    <t>After demagnetisation</t>
  </si>
  <si>
    <t>bunch top</t>
  </si>
  <si>
    <t>Changes in ratio from unbunched</t>
  </si>
  <si>
    <t>bottom</t>
  </si>
  <si>
    <t>top</t>
  </si>
  <si>
    <t>Changes in phase from unbunched</t>
  </si>
  <si>
    <t>Largest change at each excitation in pale green.  Largest changes of all in bright green.</t>
  </si>
  <si>
    <t>TestSetRatioCor</t>
  </si>
  <si>
    <t>TestSetPhaseCor</t>
  </si>
  <si>
    <t>0.5 VA Burden</t>
  </si>
  <si>
    <t>low_ burden</t>
  </si>
  <si>
    <t>high_burden</t>
  </si>
  <si>
    <t>TABLE 10.  Rated Transformation Ratio 2000:5, 4000 Ampere Turns</t>
  </si>
  <si>
    <t>TABLE 11.  Rated Transformation Ratio 2500:5, 5000 Ampere Turns</t>
  </si>
  <si>
    <t>TABLE 12.  Rated Transformation Ratio 3000:5, 6000 Ampere Turns</t>
  </si>
  <si>
    <t>Everett Edgcumbe 844400 errors</t>
  </si>
  <si>
    <t>Sensitivity to conductor configuration is also a measure of the general stability of the transformer.</t>
  </si>
  <si>
    <t xml:space="preserve">client CT uncorrected </t>
  </si>
  <si>
    <r>
      <t>current error
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A/A)</t>
    </r>
  </si>
  <si>
    <r>
      <t>phase error
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rad)</t>
    </r>
  </si>
  <si>
    <t xml:space="preserve"> Use the largest ratio and phase change from the results in blocks '5 A Data' M24, and take half these values.</t>
  </si>
  <si>
    <t>Taking half the worst case change as one sigma is conservative, so take confidence level as 20%</t>
  </si>
  <si>
    <t>Hence dof is</t>
  </si>
  <si>
    <t>Coverage factor</t>
  </si>
  <si>
    <t>From MSL report Electrical/2002/S21466, 28 July 2002</t>
  </si>
  <si>
    <t>UNCERTAINTIES IN CURRENT RATIO ERROR, %</t>
  </si>
  <si>
    <t>UNCERTAINTIES IN PHASE ERROR, crad</t>
  </si>
  <si>
    <t>Change after demagnetisation</t>
  </si>
  <si>
    <t xml:space="preserve">Largest change in green.  </t>
  </si>
  <si>
    <t>AT</t>
  </si>
  <si>
    <t>844400 range</t>
  </si>
  <si>
    <t>and lookup</t>
  </si>
  <si>
    <t>Maximum value</t>
  </si>
  <si>
    <t xml:space="preserve">for uncertainty </t>
  </si>
  <si>
    <t>worksheet</t>
  </si>
  <si>
    <t>Table number</t>
  </si>
  <si>
    <t>Data Label</t>
  </si>
  <si>
    <t>UUT Secondary terminals</t>
  </si>
  <si>
    <t>UUT Secondary</t>
  </si>
  <si>
    <t>Effect of bunching:</t>
  </si>
  <si>
    <t>To right of table [ M55 to U63 ] added a formula to get the maximum reading for  ratio and phase.</t>
  </si>
  <si>
    <t>This is easier to pick up in the Uncertainties page</t>
  </si>
  <si>
    <t>Uncertainties</t>
  </si>
  <si>
    <t>Conductor Configuration:</t>
  </si>
  <si>
    <t>5 A data</t>
  </si>
  <si>
    <t>Hand entered Data</t>
  </si>
  <si>
    <t>844400</t>
  </si>
  <si>
    <t>Column A:</t>
  </si>
  <si>
    <t>Added lookup formula for VLookup in 1 A calc.</t>
  </si>
  <si>
    <t>Lookup for ratio and phase errors and uncertainties:</t>
  </si>
  <si>
    <t>This affected columns: G, H, P &amp; AC</t>
  </si>
  <si>
    <t>Lookup now a formula in column B that is derived from the 844400 data</t>
  </si>
  <si>
    <t>that is hand entered on the 1A calc sheet and the % of rated current</t>
  </si>
  <si>
    <t>5 A calc</t>
  </si>
  <si>
    <t>Table Labels:</t>
  </si>
  <si>
    <t>Changed to a formula to pick up ratios, table number and the secondary connections.</t>
  </si>
  <si>
    <t xml:space="preserve">Column L:  Table number. Hand enter the appropriate number for the report </t>
  </si>
  <si>
    <t xml:space="preserve">Column M:  UUT Ratio from originally entered data </t>
  </si>
  <si>
    <t>Column K:  UUT secondary from 5 A data sheet</t>
  </si>
  <si>
    <t>5 A Tables</t>
  </si>
  <si>
    <t>For this report the 40% lines were removed from the tables.</t>
  </si>
  <si>
    <t>This Spreadsheet originated in S21554.xls in Reports2004\S21554</t>
  </si>
  <si>
    <t>Now pick up calculated values columns W and X instead of relying on hand entered cells.</t>
  </si>
  <si>
    <t>Highlight in light yellow:</t>
  </si>
  <si>
    <t>The hand entry of results from the lab book. Columns B, E and F.</t>
  </si>
  <si>
    <t>The hand entry of table numbers.</t>
  </si>
  <si>
    <t>Phase error</t>
  </si>
  <si>
    <t>5  A Ranges</t>
  </si>
  <si>
    <t>The Ampere turns of the 844400 CT in column B is derived from the description of the test.</t>
  </si>
  <si>
    <t>not used</t>
  </si>
  <si>
    <t>Change to make MSL std 1sd</t>
  </si>
  <si>
    <t>Measured Burden</t>
  </si>
  <si>
    <t>Nominal</t>
  </si>
  <si>
    <t>B5A5.0VA</t>
  </si>
  <si>
    <t xml:space="preserve">Current error
</t>
  </si>
  <si>
    <t xml:space="preserve">Phase error
</t>
  </si>
  <si>
    <t>5.0 VA Burden</t>
  </si>
  <si>
    <t>For the 5A tables using the 2 Stage CT removed the 844400 uncertainties and copied the 2 stage CT uncertainties (/10000) from CT844400_Oct05.xls</t>
  </si>
  <si>
    <t>For this report added 40% line back into report tables</t>
  </si>
  <si>
    <t>For this report changed the % ratio error to mA/A and the Centi radians phase error to m radians.</t>
  </si>
  <si>
    <t>in mA/A</t>
  </si>
  <si>
    <t>in m rad</t>
  </si>
  <si>
    <t>Checked LAC for S21577</t>
  </si>
  <si>
    <t>We enter the nominal burden because we apply a correction from the actual burden.</t>
  </si>
  <si>
    <t>Changed formula in % Loaded Current column of % A calc page to allow for small deviations from nominal current.  Lookups weren't working otherwise.</t>
  </si>
  <si>
    <r>
      <t>Burden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)</t>
    </r>
  </si>
  <si>
    <t>Rated burden</t>
  </si>
  <si>
    <t>Client</t>
  </si>
  <si>
    <t>Magnetisation</t>
  </si>
  <si>
    <t>Change History</t>
  </si>
  <si>
    <t>This spreadsheet was created from the one used to calibrate the Vircom-EMS CT (Report S21613 dated 16 December 2005)</t>
  </si>
  <si>
    <t xml:space="preserve">To use enter the data on the 5 A data page in the cells highlighted in </t>
  </si>
  <si>
    <t>Edit the cells coloured this way as appropriate</t>
  </si>
  <si>
    <t>Cells B5, etc are used to create the Table headings on the 5A Tables page</t>
  </si>
  <si>
    <t>The measurements are done in the order:</t>
  </si>
  <si>
    <t>1/ Before and after magnetization</t>
  </si>
  <si>
    <t>3/ Calibration of specific ranges</t>
  </si>
  <si>
    <t>Cells L2, etc on the 5A Tables page are used to set the Table number.</t>
  </si>
  <si>
    <t>The page Cf Previous Results can be used to compare the results with earlier calibrations.</t>
  </si>
  <si>
    <t>Common Resistors  Feb 2000</t>
  </si>
  <si>
    <t xml:space="preserve">Nominal </t>
  </si>
  <si>
    <t xml:space="preserve">Actual </t>
  </si>
  <si>
    <t>NML</t>
  </si>
  <si>
    <t>Resistance</t>
  </si>
  <si>
    <t>at 50 Hz</t>
  </si>
  <si>
    <t>1973 report</t>
  </si>
  <si>
    <t>(ohms)]</t>
  </si>
  <si>
    <t>(ohms)</t>
  </si>
  <si>
    <t>(mrad)</t>
  </si>
  <si>
    <t xml:space="preserve">Scale </t>
  </si>
  <si>
    <t>Correction</t>
  </si>
  <si>
    <t>NML 1973</t>
  </si>
  <si>
    <t>Reading</t>
  </si>
  <si>
    <t>report correction</t>
  </si>
  <si>
    <t>(%)</t>
  </si>
  <si>
    <t>(minutes)</t>
  </si>
  <si>
    <t>B McLennan: 17 October 2007</t>
  </si>
  <si>
    <t xml:space="preserve">In Andy's notes he comments that the 1A ratio error barely </t>
  </si>
  <si>
    <t>affects the result.</t>
  </si>
  <si>
    <t>Hence the Mutual inductors error (and also the Slide wire error)</t>
  </si>
  <si>
    <t>is treated as a correction.</t>
  </si>
  <si>
    <t>Auxiliary Current Transformer Errors  Feb 2000</t>
  </si>
  <si>
    <t>Rated tranformation ratio 5:5</t>
  </si>
  <si>
    <t>Primary</t>
  </si>
  <si>
    <t>Current</t>
  </si>
  <si>
    <t>Phase</t>
  </si>
  <si>
    <t>current</t>
  </si>
  <si>
    <t>Current Error</t>
  </si>
  <si>
    <t>Phase Errror</t>
  </si>
  <si>
    <t>(% of rated)</t>
  </si>
  <si>
    <t>x 10-3</t>
  </si>
  <si>
    <t>(rad x 10-3)</t>
  </si>
  <si>
    <t>Number used in the 5A CT spreadsheet as a multiplying factor.</t>
  </si>
  <si>
    <t>-</t>
  </si>
  <si>
    <t>Auxiliary Current Transformer Errors  July 2002</t>
  </si>
  <si>
    <t>Rated tranformation ratio 1:5</t>
  </si>
  <si>
    <t>correction factor</t>
  </si>
  <si>
    <t>ratio</t>
  </si>
  <si>
    <t>phase</t>
  </si>
  <si>
    <t>This is low in comparison with the auxiliary transformer errors</t>
  </si>
  <si>
    <t xml:space="preserve">We believe that Andy repeated this test later (see below) and </t>
  </si>
  <si>
    <t xml:space="preserve">decided to treat the mutual inductor as a component of  </t>
  </si>
  <si>
    <t>uncertainty. Because of this he did not update this table which</t>
  </si>
  <si>
    <t>unfortunately appears in MSLT.E.056.002</t>
  </si>
  <si>
    <t>This Data is from:</t>
  </si>
  <si>
    <t>G:\estds\CALIBRAT\POWER&amp;ENERGY\CTS\ArnoldTestSet\Arnold.xls</t>
  </si>
  <si>
    <t>This is the Data set that we believe should have been in the Tech proc.</t>
  </si>
  <si>
    <t>These results are mirror imaged and inverted to a test done later and</t>
  </si>
  <si>
    <t>is multiplied by the range. Normally the multiplier is less than 1.</t>
  </si>
  <si>
    <t>reported below. The max offset here is 0.23 minutes = 67urad, this</t>
  </si>
  <si>
    <t>Number used in the 1A CT spreadsheet as a multiplying factor.</t>
  </si>
  <si>
    <t>Added the results page from Arnold.xls and called it "Arnold" in this workbook. So that we can see where the corrections and uncertainties come from.</t>
  </si>
  <si>
    <t>Slidewire Scale Corrections Feb 2000</t>
  </si>
  <si>
    <t>Variable Mutual Inductor
Corrections
Feb 2000</t>
  </si>
  <si>
    <t xml:space="preserve">This calibration </t>
  </si>
  <si>
    <t>Phase error
(centi-radians)</t>
  </si>
  <si>
    <t>xxx</t>
  </si>
  <si>
    <t>Primary current
(% of rated)</t>
  </si>
  <si>
    <t xml:space="preserve">For the Metrix report S21467 </t>
  </si>
  <si>
    <t xml:space="preserve">S no: </t>
  </si>
  <si>
    <t>Job Number:</t>
  </si>
  <si>
    <t>Table 1</t>
  </si>
  <si>
    <t>500 AT transformer, P1, rated transformation ratio 5:5</t>
  </si>
  <si>
    <t>Load</t>
  </si>
  <si>
    <t xml:space="preserve"> Ratio Error</t>
  </si>
  <si>
    <t>Phase Error</t>
  </si>
  <si>
    <t xml:space="preserve">Measured - Calculated </t>
  </si>
  <si>
    <t>% of 
rated</t>
  </si>
  <si>
    <t>Error
(uA/A)</t>
  </si>
  <si>
    <t xml:space="preserve">
Standard
uncertainty
(uA/A)</t>
  </si>
  <si>
    <t>Degrees
of
freedom</t>
  </si>
  <si>
    <t>Error
(urad)</t>
  </si>
  <si>
    <t xml:space="preserve">
Standard
uncertainty
(urad)</t>
  </si>
  <si>
    <t>Ratio Error
(uA/A)</t>
  </si>
  <si>
    <t>Phase Error
(urad)</t>
  </si>
  <si>
    <t>Table 2</t>
  </si>
  <si>
    <t>600 AT transformer, P1, rated transformation ratio 20:5</t>
  </si>
  <si>
    <t>Table 3</t>
  </si>
  <si>
    <t>500 AT transformer, P2, rated transformation ratio 100:5</t>
  </si>
  <si>
    <t>Table 4</t>
  </si>
  <si>
    <t>600 AT transformer, P2, rated transformation ratio 100:5</t>
  </si>
  <si>
    <t>Table 5</t>
  </si>
  <si>
    <t>500 AT transformer, P3, rated transformation ratio 100:5</t>
  </si>
  <si>
    <t>Copied from the "Tables" page of: G:\estds\CALIBRAT\POWER&amp;ENERGY\CTS\TwoStageCTs\Ctcal3.xls</t>
  </si>
  <si>
    <t>But in CT844400_Oct05.xls the uncertainties are changed to be more conservative, probably because the CT is being used at 500:5 and these tables calibrate tha 100:5 range.</t>
  </si>
  <si>
    <t>Common Resistors  October 2007</t>
  </si>
  <si>
    <t>Slidewire Scale Corrections
October 2007</t>
  </si>
  <si>
    <t>Variable Mutual Inductor Corrections
October 2007</t>
  </si>
  <si>
    <t>Auxiliary Current Transformer Errors October 2007</t>
  </si>
  <si>
    <t>53 Hz</t>
  </si>
  <si>
    <t>Average</t>
  </si>
  <si>
    <t>50 Hz</t>
  </si>
  <si>
    <t>Rob some current with 1k across 5A output of Aux transformer.</t>
  </si>
  <si>
    <t>Rob more current with 680ohm across 5A output of Aux transformer.</t>
  </si>
  <si>
    <t>G:\estds\CALIBRAT\POWER&amp;ENERGY\CTS\ArnoldTestSet\Arnold_2007.xls</t>
  </si>
  <si>
    <t>These tables are from:</t>
  </si>
  <si>
    <t xml:space="preserve">Current Error
</t>
  </si>
  <si>
    <t xml:space="preserve">Phase Error
</t>
  </si>
  <si>
    <t>G:\estds\CALIBRAT\POWER&amp;ENERGY\CTS\EE844400\CT844400_CheckNov07.xls</t>
  </si>
  <si>
    <t>Change from 2500:5 / 8VA done in 2002.</t>
  </si>
  <si>
    <t>Added the two stage CT calibration results In "TwoStageCT" worksheet</t>
  </si>
  <si>
    <t>Updated "Arnold" worksheet from "G:\estds\CALIBRAT\POWER&amp;ENERGY\CTS\ArnoldTestSet\Arnold_2007.xls"</t>
  </si>
  <si>
    <t>Pointed named variables "TestSetRatioCor" and "TestSetPhaseCor" on "5 A Calc" worksheet  to the new numbers</t>
  </si>
  <si>
    <t>Added "CF Previous Results" worksheet to compare the previous results and to start building a history.</t>
  </si>
  <si>
    <t>Added a results table of the November 2007 check calibration of the 844400 CT to the "844400" worksheet.</t>
  </si>
  <si>
    <t>These tables from:</t>
  </si>
  <si>
    <t xml:space="preserve">TABLE (2) 5000 AT.  10 TURNS, L2-M, VS TWO-STAGE CT 500:5  5VA burden  </t>
  </si>
  <si>
    <t xml:space="preserve">TABLE (1) 5000 AT.  10 TURNS, L2-M, VS TWO-STAGE CT 500:5  8VA burden  </t>
  </si>
  <si>
    <t>TABLE (4)   6000 AT.  12 TURNS, L1-M, VS TWO-STAGE CT 500:5  5VA burden</t>
  </si>
  <si>
    <t>TABLE (3)   6000 AT.  12 TURNS, L1-M, VS TWO-STAGE CT 500:5 8VA burden</t>
  </si>
  <si>
    <t>Current error
(%)</t>
  </si>
  <si>
    <t>Means</t>
  </si>
  <si>
    <t>Std Devn</t>
  </si>
  <si>
    <t>Expanded uncert</t>
  </si>
  <si>
    <t>Change from 2002</t>
  </si>
  <si>
    <t>of 700 to 1600 urad for 5A and 800 to 1800 urad for 1A.</t>
  </si>
  <si>
    <t>is treated as an uncertainty and the Auxiliary transformer error</t>
  </si>
  <si>
    <t>Mean correction=</t>
  </si>
  <si>
    <t>Std devn =</t>
  </si>
  <si>
    <t>Treat this factor as an uncertainty with a std devn=</t>
  </si>
  <si>
    <t>Correction/</t>
  </si>
  <si>
    <t>Resolution</t>
  </si>
  <si>
    <t>ie less than one sigma, hence don't include an additional uncertainty component</t>
  </si>
  <si>
    <t>at two sigma. Cf the scale resolution is 0.002% at two sigma so we can ignore this uncertainty.</t>
  </si>
  <si>
    <t>Std devn</t>
  </si>
  <si>
    <t>Corrn (%)</t>
  </si>
  <si>
    <t>Correction (% of F.S.)</t>
  </si>
  <si>
    <t>These are % of F.S. so for the x1 or 0.5 % error scale these are &lt; 0.12% of 0.5% or 0.0006%</t>
  </si>
  <si>
    <t>cf resolution uncertainty is 0.1 minutes (one sigma) at 25 minutes.</t>
  </si>
  <si>
    <t>crad (now is the std dev of corrns)</t>
  </si>
  <si>
    <t>mutual_ind</t>
  </si>
  <si>
    <t>Aux CT and mutual ind corrn (crad)</t>
  </si>
  <si>
    <t>aux_CT_ratio</t>
  </si>
  <si>
    <t>aux_CT_phase</t>
  </si>
  <si>
    <t>not %</t>
  </si>
  <si>
    <t>Aux CT error (%)</t>
  </si>
  <si>
    <t>S21686 for the Metrix Atco multi-range CT</t>
  </si>
  <si>
    <t>Shunt resistance</t>
  </si>
  <si>
    <t>Rotronics Temp</t>
  </si>
  <si>
    <t>Rotronics RH</t>
  </si>
  <si>
    <t>Additional 2-sigma uncert</t>
  </si>
  <si>
    <t>Quoted values</t>
  </si>
  <si>
    <t>Rotronics correction</t>
  </si>
  <si>
    <t>Temp gradient corrn</t>
  </si>
  <si>
    <t>Arnold Test Set Uncertainties</t>
  </si>
  <si>
    <t>Note by Laurie on 16 Dec 05: found that there is a direct interaction between mutual inductor and SR830- this may have caused some of the observed errors.</t>
  </si>
  <si>
    <t>1/ Resolution of slidewire</t>
  </si>
  <si>
    <t>2/ Resolution of mutual inductor</t>
  </si>
  <si>
    <t>The uncertainty (column AD) now reflects this non-linearity.</t>
  </si>
  <si>
    <t>3/ Mutual inductor errors</t>
  </si>
  <si>
    <t>Don't apply correction but treat std devn of corrections as an uncertainty</t>
  </si>
  <si>
    <t>4/ Aux CT ratio</t>
  </si>
  <si>
    <t>Apply a mean correction and use std devn of errors as an uncertainty in that correction.</t>
  </si>
  <si>
    <t>5/ Aux CT phase</t>
  </si>
  <si>
    <t>V2 template created at end of S21686: Changed the phase angle (mutual inductor) resolution uncertainty formula, making it reading dependent as it is in the CMC calculation.</t>
  </si>
  <si>
    <t xml:space="preserve">Added uncertainty components for these corrections (std devn of the values), the mutual inductor  std devn (no correction applied), </t>
  </si>
  <si>
    <t>Also TestSetRatioCorr and TestSetPhaseCorr now are (1+error) rather than (1-error) and use mean rather than single (originally 5% value).</t>
  </si>
  <si>
    <t>Arnold Xer</t>
  </si>
  <si>
    <t>in mrad</t>
  </si>
  <si>
    <t>Enter row number</t>
  </si>
  <si>
    <t>Model</t>
  </si>
  <si>
    <t>S/N</t>
  </si>
  <si>
    <t>Inserted data from 5 A Data page of checked S21686 spreadsheet into the data page of this template</t>
  </si>
  <si>
    <t>The results were</t>
  </si>
  <si>
    <t>Data copied from S21686 report into 5A template spreadsheet and then Pasted Special here</t>
  </si>
  <si>
    <t>S21686 report Table</t>
  </si>
  <si>
    <t>Table xxx. Ratio 1250:5.  Secondary: Secondary winding</t>
  </si>
  <si>
    <t>Burden (W)</t>
  </si>
  <si>
    <t>Differences</t>
  </si>
  <si>
    <t>2/ Effect of bunching: these measurements are necessary because they are used to derive an uncertainty component.  For non-window CTs you can test the effect of CT orientation and location, ie sensitivity to magnetic fields (see S21685 spreadsheets).</t>
  </si>
  <si>
    <t>For Transfield reports S21757 and S21758.</t>
  </si>
  <si>
    <t>Add two additional columns to the uncertainty calculations in the "5A calc" worksheet. One in the phase and one in the ratio uncertainty calculation.</t>
  </si>
  <si>
    <t>This is so an instability component can be added to the uncertainties in both phase and ratio where it can be observed in the measurements.</t>
  </si>
  <si>
    <t>Observed instability</t>
  </si>
  <si>
    <t>Date:</t>
  </si>
  <si>
    <t xml:space="preserve">Enter data for the reference for </t>
  </si>
  <si>
    <t>Bunching test into this block.</t>
  </si>
  <si>
    <t>Either the "After demagnetisation"</t>
  </si>
  <si>
    <t xml:space="preserve">data repeated or that of a more </t>
  </si>
  <si>
    <t>setup for a bunching test.</t>
  </si>
  <si>
    <t>UUT Range</t>
  </si>
  <si>
    <t>UUT Turns</t>
  </si>
  <si>
    <t xml:space="preserve">Standard Range </t>
  </si>
  <si>
    <t>Standard Turns</t>
  </si>
  <si>
    <t>TABLE (5)   4000 AT.  8 TURNS, L3-M, VS TWO-STAGE CT 500:5  8VA burden</t>
  </si>
  <si>
    <t>TABLE (6)   4000 AT.  8 TURNS, L3-M, VS TWO-STAGE CT 500:5  5VA burden</t>
  </si>
  <si>
    <t>Repeat 6000AT</t>
  </si>
  <si>
    <t>TABLE (7)   6000 AT.  12 TURNS, L1-M, VS TWO-STAGE CT 500:5 8VA burden</t>
  </si>
  <si>
    <t>TABLE (8)   6000 AT.  12 TURNS, L1-M, VS TWO-STAGE CT 500:5  5VA burden</t>
  </si>
  <si>
    <t>Check that the "844400" worksheet has the correct table referenced for the VA that you are working at.</t>
  </si>
  <si>
    <t>Enter resistor value</t>
  </si>
  <si>
    <t>Added Change from 2002 for 4000 AT range on 844400 page</t>
  </si>
  <si>
    <t>Fixed 6000 AT change formula on 844400 page</t>
  </si>
  <si>
    <t>Changed colour of column AD on 5A calc page to make it clearer that the formula is different to the ratio error one</t>
  </si>
  <si>
    <t>Added suggested formula for stability of DUT in cells X9 and AL9 of 5 A calc page</t>
  </si>
  <si>
    <t>V4.0</t>
  </si>
  <si>
    <t>Update conductor configuration uncertainties on uncertainty worksheet. See cell K30</t>
  </si>
  <si>
    <t>For Metrix report S21857</t>
  </si>
  <si>
    <t>For Transfield Services report S21865</t>
  </si>
  <si>
    <t>5ACT Template V4.0.xls</t>
  </si>
  <si>
    <t>Created 11 Dec. 2012</t>
  </si>
  <si>
    <t>V3.0</t>
  </si>
  <si>
    <t>Table 1. Ratio 4000:5.  Secondary: M-L3</t>
  </si>
  <si>
    <t>Current error
(uA/A)</t>
  </si>
  <si>
    <t>Phase error
(micro-radians)</t>
  </si>
  <si>
    <t>Table 2. Ratio 4000:5.  Secondary: M-L3</t>
  </si>
  <si>
    <t>Table 3. Ratio 5000:5.  Secondary: M-L2</t>
  </si>
  <si>
    <t>Table 4. Ratio 5000:5.  Secondary: M-L2</t>
  </si>
  <si>
    <t>Table 5. Ratio 6000:5.  Secondary: M-L1</t>
  </si>
  <si>
    <t>Table 6. Ratio 6000:5.  Secondary: M-L1</t>
  </si>
  <si>
    <t>Table . Self Cal Ratio 5/5  6000AT.  Secondary: M-L1</t>
  </si>
  <si>
    <t>Table . Self Cal Ratio 5/5  5000AT.  Secondary: M-L2</t>
  </si>
  <si>
    <t>Table . Self Cal Ratio 5/5  4000AT.  Secondary: M-L3</t>
  </si>
  <si>
    <t>4000/5 Range, 8 turns @ 5VA burden, vs 100 AT, 500 range, 2 Stage CT</t>
  </si>
  <si>
    <t>4000/5 Range, 8 turns @ 8VA burden, vs 100 AT, 500 range, 2 Stage CT</t>
  </si>
  <si>
    <t>I:\MSL\Private\Electricity\Commercial\Reports\2013\S21891\CT844400_Apr2013_ 5A_V4.0.xls</t>
  </si>
  <si>
    <t>5000/5 Range, 10 turns @ 5VA burden, vs 100 AT, 500 range, 2 Stage CT</t>
  </si>
  <si>
    <t>5000/5 Range, 10 turns @ 8VA burden, vs 100 AT, 500 range, 2 Stage CT</t>
  </si>
  <si>
    <t>6000/5 Range, 12 turns @ 5VA burden, vs 100 AT, 500 range, 2 Stage CT</t>
  </si>
  <si>
    <t>6000/5 Range, 12 turns @ 8VA burden, vs 100 AT, 500 range, 2 Stage CT</t>
  </si>
  <si>
    <t>6000/5 Range, 0 turns @ 8VA burden, vs 100 AT, 5 range, 2 Stage CT</t>
  </si>
  <si>
    <t>5000/5 Range, 0 turns @ 8VA burden, vs 100 AT, 5 range, 2 Stage CT</t>
  </si>
  <si>
    <t>4000/5 Range, 0 turns @ 8VA burden, vs 100 AT, 5 range, 2 Stage CT</t>
  </si>
  <si>
    <t>V5.0 draft</t>
  </si>
  <si>
    <t>Update calibration constants on the following worksheets:</t>
  </si>
  <si>
    <t>TwoStageCT:  Data from:  The "Tables" page in: ….\Private\Electricity\Quality\TECHPROC\E056-CTscale\Supporting Information\TwoStageCTs\Ctcal3_2012.xls</t>
  </si>
  <si>
    <t>8444400: Data from: The "5A Tables" page in I:\MSL\Private\Electricity\Commercial\Reports\2013\S21891\CT844400_Apr2013_ 5A_V4.0.xls</t>
  </si>
  <si>
    <t>Arnold: Data from:  The  "Summary" page in …Private\Electricity\Quality\TECHPROC\E056-CTscale\Supporting Information\ArnoldTestSet\Arnold_2012.xls</t>
  </si>
  <si>
    <t>MSL standard used:</t>
  </si>
  <si>
    <t>If  2 stage 100 turn enter 1</t>
  </si>
  <si>
    <t>If  2 stage 120 turn enter 2</t>
  </si>
  <si>
    <t>If  844400 enter 3</t>
  </si>
  <si>
    <t>This primary is "100/100" or "100/50" or "100/25"</t>
  </si>
  <si>
    <t>This primary is "120/200" or "120/100"</t>
  </si>
  <si>
    <t>This primary is "100/500" or "100/100"</t>
  </si>
  <si>
    <t>This primary is "120/100" or "120/20"</t>
  </si>
  <si>
    <t>This primary is "100/20"  or "100/10" or "100/5"</t>
  </si>
  <si>
    <t>Copied from the "Tables" page of:</t>
  </si>
  <si>
    <t xml:space="preserve"> ….MSL\Private\Electricity\Quality\TECHPROC\E056-CTscale\Supporting Information\TwoStageCTs\Ctcal3_2012.xls</t>
  </si>
  <si>
    <t>PTCT / 1-1</t>
  </si>
  <si>
    <t>200:5</t>
  </si>
  <si>
    <t>5VA</t>
  </si>
  <si>
    <t>IANZ</t>
  </si>
  <si>
    <t>burden test, 0 ohms, 100 ohms off</t>
  </si>
  <si>
    <t>burden test, 0 ohms, 100 ohms on</t>
  </si>
  <si>
    <t>Burden</t>
  </si>
  <si>
    <t>0.0 VA Burden</t>
  </si>
  <si>
    <t>Test Burden dependence.</t>
  </si>
  <si>
    <t>burden test, 0 ohms, 1000 ohms off</t>
  </si>
  <si>
    <t>burden test, 0 ohms, 1000 ohms on</t>
  </si>
  <si>
    <t>B5A6.0VA</t>
  </si>
  <si>
    <t>burden test, 0.24 ohms, 1000 ohms off</t>
  </si>
  <si>
    <t>burden test, 0.24 ohms, 1000 ohms on</t>
  </si>
  <si>
    <t>burden test, 0.20 ohms, 100 ohms off</t>
  </si>
  <si>
    <t>burden test, 0.20 ohms, 100 ohms on</t>
  </si>
  <si>
    <t>with 100 ohm Ti115,965</t>
  </si>
  <si>
    <t>burden test, 0.16 ohms, 100 ohms off</t>
  </si>
  <si>
    <t>burden test, 0.16 ohms, 100 ohms on</t>
  </si>
  <si>
    <t>burden test, 0.04 ohms, 100 ohms off</t>
  </si>
  <si>
    <t>burden test, 0.04 ohms, 100 ohms on</t>
  </si>
  <si>
    <t>B5A4.0VA</t>
  </si>
  <si>
    <t>B5A1.0VA</t>
  </si>
  <si>
    <t>???</t>
  </si>
  <si>
    <t>This is at 100% rated current.</t>
  </si>
  <si>
    <t>25%_burden</t>
  </si>
  <si>
    <t>After Demag Data used here</t>
  </si>
  <si>
    <t>2 stage CT</t>
  </si>
  <si>
    <t>Actually calculated to a 1.25VA burden</t>
  </si>
  <si>
    <t>200/5A Range, 1 Turns, 100/5 AT Range Two stage 100 turn CT.</t>
  </si>
  <si>
    <t>burden test, 0.2 ohms, 100 ohms off</t>
  </si>
  <si>
    <t>burden test, 0.22 ohms, 100 ohms on</t>
  </si>
  <si>
    <t>B5A2.0VA</t>
  </si>
  <si>
    <t>burden test, 0.08 ohms, 100 ohms off</t>
  </si>
  <si>
    <t>burden test, 0.08 ohms, 100 ohms on</t>
  </si>
  <si>
    <t>6VA</t>
  </si>
  <si>
    <t>4VA</t>
  </si>
  <si>
    <t>2VA</t>
  </si>
  <si>
    <t>1VA</t>
  </si>
  <si>
    <t>Tinsley Temperature</t>
  </si>
  <si>
    <t>T Co</t>
  </si>
  <si>
    <t>I:\MSL\Private\Electricity\Ongoing\OHM\Buildup_ratsandmice_2015.xls</t>
  </si>
  <si>
    <t>Repeat on Monday morning</t>
  </si>
  <si>
    <t>Temperature at UUT</t>
  </si>
  <si>
    <t>Greisinger GMH1</t>
  </si>
  <si>
    <t>sd</t>
  </si>
  <si>
    <t>Temperature of UUT</t>
  </si>
  <si>
    <t>Greisinger  GMH1</t>
  </si>
  <si>
    <t>Over whole time of this calibration</t>
  </si>
  <si>
    <t>1.25 VA Burden</t>
  </si>
  <si>
    <t>100% point</t>
  </si>
  <si>
    <t>Change orientation</t>
  </si>
  <si>
    <t>x1 multiply</t>
  </si>
  <si>
    <t>Fluke Supply</t>
  </si>
  <si>
    <t>From 2 turns data</t>
  </si>
  <si>
    <t>Exp Unc minutes</t>
  </si>
  <si>
    <t>VA</t>
  </si>
  <si>
    <t>A</t>
  </si>
  <si>
    <t>V</t>
  </si>
  <si>
    <t>25% burden</t>
  </si>
  <si>
    <t>Inductive</t>
  </si>
  <si>
    <t>Repeat 5VA with inductive burden</t>
  </si>
  <si>
    <t>Lab jack removed (aluminium)</t>
  </si>
  <si>
    <t>Wood supporting the UUT.</t>
  </si>
  <si>
    <t>Compare with the 18th</t>
  </si>
  <si>
    <t>Compare with the 15th</t>
  </si>
  <si>
    <t>Compare with the 15th (After demag)</t>
  </si>
  <si>
    <t>Burden was inductive.</t>
  </si>
  <si>
    <t>S1 - S2</t>
  </si>
  <si>
    <t>Demagnetisation cycle</t>
  </si>
  <si>
    <t>Inductive Burden</t>
  </si>
  <si>
    <t>Repeat 1VA</t>
  </si>
  <si>
    <t>Single turn data</t>
  </si>
  <si>
    <t>Inductive Burden….</t>
  </si>
  <si>
    <t>Inductive Burden.</t>
  </si>
  <si>
    <t>5VA 1PF</t>
  </si>
  <si>
    <t>1.25VA 1PF</t>
  </si>
  <si>
    <t>Repeat 5VA</t>
  </si>
  <si>
    <t>241 to 258 Demag cycle..</t>
  </si>
  <si>
    <t>Tinsley Ti965 value</t>
  </si>
  <si>
    <t>PF</t>
  </si>
  <si>
    <t>Repeat 5VA with better inductive burden. (Better inductors) This is at 100%</t>
  </si>
  <si>
    <t>Repeat 5VA inductive</t>
  </si>
  <si>
    <t>Ohms</t>
  </si>
  <si>
    <t>Repeat on 1st September.</t>
  </si>
  <si>
    <t>Repeat 5VA with ESI 10 ohm box at 100 ohm</t>
  </si>
  <si>
    <t>with 100 ohm ESI box (LTC10 at 100 ohm)</t>
  </si>
  <si>
    <t>Note: The 3 phase mains power switch failed. Keith held it on to complete the 5VA inductive and the 1VA.</t>
  </si>
  <si>
    <t>The 0VA has been copied for the ESI box 0VA</t>
  </si>
  <si>
    <t>Update the calculation to use most recent versions of reference values and calculations</t>
  </si>
  <si>
    <t>Common Resistors</t>
  </si>
  <si>
    <t>Value</t>
  </si>
  <si>
    <t>R</t>
  </si>
  <si>
    <t>(ohm)</t>
  </si>
  <si>
    <t>Slide Wire Scale</t>
  </si>
  <si>
    <t>Expanded</t>
  </si>
  <si>
    <t>Coverage</t>
  </si>
  <si>
    <t>Uncertainty</t>
  </si>
  <si>
    <t>Factor</t>
  </si>
  <si>
    <t>Slide Wire Phase</t>
  </si>
  <si>
    <t>Variable Mutual Inductor</t>
  </si>
  <si>
    <t>Mutual Inductor Phase</t>
  </si>
  <si>
    <t>Auxiliary Current Transformer</t>
  </si>
  <si>
    <t>Ratio</t>
  </si>
  <si>
    <t>(mA/A)</t>
  </si>
  <si>
    <t>Kn = 1:5</t>
  </si>
  <si>
    <t>Kn = 5:5</t>
  </si>
  <si>
    <t>…Private\Electricity\Quality\TECHPROC\E056-CTscale\Supporting Information\ArnoldTestSet\KJArnold_2012.xls</t>
  </si>
  <si>
    <t>Correction Factor</t>
  </si>
  <si>
    <t>Correction/uncertainty</t>
  </si>
  <si>
    <t>so correction &lt; uncertainty</t>
  </si>
  <si>
    <t>Burden summary</t>
  </si>
  <si>
    <t>X</t>
  </si>
  <si>
    <t>0VA</t>
  </si>
  <si>
    <t>5VA0.8PF</t>
  </si>
  <si>
    <t>better5VA0.8PF</t>
  </si>
  <si>
    <t>B</t>
  </si>
  <si>
    <t>C</t>
  </si>
  <si>
    <t>D</t>
  </si>
  <si>
    <t>E</t>
  </si>
  <si>
    <t>F</t>
  </si>
  <si>
    <t>G</t>
  </si>
  <si>
    <t>H</t>
  </si>
  <si>
    <t>Convenience label</t>
  </si>
  <si>
    <t>Want results before attempting to correct for burden sensitivity</t>
  </si>
  <si>
    <t>Burden Label</t>
  </si>
  <si>
    <t>Multiplier</t>
  </si>
  <si>
    <t>In 5A calc, columns M and N have the burden dependence formula removed and are the corrected values picked up in the ForPython sheet.</t>
  </si>
  <si>
    <t>not crad</t>
  </si>
  <si>
    <t>Uncertainty components</t>
  </si>
  <si>
    <t>error</t>
  </si>
  <si>
    <t>2-stage</t>
  </si>
  <si>
    <t>u</t>
  </si>
  <si>
    <t>dof</t>
  </si>
  <si>
    <t>2-stage dof</t>
  </si>
  <si>
    <t>e dof</t>
  </si>
  <si>
    <t>p dof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</si>
</sst>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"/>
    <numFmt numFmtId="166" formatCode="0.00000"/>
    <numFmt numFmtId="167" formatCode="0.0000"/>
    <numFmt numFmtId="168" formatCode="0.0000000"/>
    <numFmt numFmtId="169" formatCode="0.000000"/>
    <numFmt numFmtId="170" formatCode="0.0E+00"/>
    <numFmt numFmtId="171" formatCode="0.00000000"/>
  </numFmts>
  <fonts count="2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2"/>
      <name val="Arial"/>
      <family val="2"/>
    </font>
    <font>
      <sz val="12"/>
      <name val="Book Antiqua"/>
      <family val="1"/>
    </font>
    <font>
      <u/>
      <sz val="10"/>
      <name val="Arial"/>
      <family val="2"/>
    </font>
    <font>
      <u/>
      <sz val="10"/>
      <name val="Arial"/>
      <family val="2"/>
    </font>
    <font>
      <sz val="10"/>
      <color indexed="10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7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/>
    <xf numFmtId="0" fontId="0" fillId="0" borderId="3" xfId="0" applyBorder="1"/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" fontId="0" fillId="0" borderId="0" xfId="0" applyNumberFormat="1"/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/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64" fontId="0" fillId="0" borderId="0" xfId="0" applyNumberFormat="1" applyFill="1"/>
    <xf numFmtId="167" fontId="0" fillId="0" borderId="0" xfId="0" applyNumberFormat="1" applyFill="1" applyAlignment="1">
      <alignment horizontal="center" wrapText="1"/>
    </xf>
    <xf numFmtId="167" fontId="0" fillId="0" borderId="0" xfId="0" applyNumberFormat="1" applyFill="1"/>
    <xf numFmtId="164" fontId="0" fillId="0" borderId="0" xfId="0" applyNumberFormat="1" applyFill="1" applyAlignment="1">
      <alignment horizontal="right" wrapText="1"/>
    </xf>
    <xf numFmtId="1" fontId="0" fillId="0" borderId="0" xfId="0" applyNumberFormat="1" applyFill="1"/>
    <xf numFmtId="165" fontId="0" fillId="0" borderId="0" xfId="0" applyNumberFormat="1" applyFill="1"/>
    <xf numFmtId="165" fontId="0" fillId="0" borderId="0" xfId="0" applyNumberFormat="1"/>
    <xf numFmtId="2" fontId="0" fillId="0" borderId="0" xfId="0" applyNumberFormat="1"/>
    <xf numFmtId="167" fontId="0" fillId="0" borderId="0" xfId="0" applyNumberFormat="1"/>
    <xf numFmtId="46" fontId="2" fillId="0" borderId="0" xfId="0" applyNumberFormat="1" applyFont="1"/>
    <xf numFmtId="164" fontId="0" fillId="0" borderId="0" xfId="0" applyNumberFormat="1" applyFill="1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Border="1" applyAlignment="1">
      <alignment horizontal="center" vertical="center" wrapText="1"/>
    </xf>
    <xf numFmtId="167" fontId="0" fillId="0" borderId="0" xfId="0" applyNumberFormat="1" applyBorder="1"/>
    <xf numFmtId="167" fontId="0" fillId="0" borderId="0" xfId="0" applyNumberFormat="1" applyFill="1" applyBorder="1" applyAlignment="1">
      <alignment horizontal="center" wrapText="1"/>
    </xf>
    <xf numFmtId="0" fontId="0" fillId="0" borderId="8" xfId="0" applyBorder="1"/>
    <xf numFmtId="0" fontId="2" fillId="0" borderId="2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9" fontId="0" fillId="0" borderId="0" xfId="0" applyNumberFormat="1"/>
    <xf numFmtId="166" fontId="0" fillId="0" borderId="0" xfId="0" applyNumberFormat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0" xfId="0" applyFont="1"/>
    <xf numFmtId="164" fontId="0" fillId="0" borderId="2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5" fontId="0" fillId="0" borderId="8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/>
    <xf numFmtId="164" fontId="0" fillId="0" borderId="12" xfId="0" applyNumberForma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 wrapText="1"/>
    </xf>
    <xf numFmtId="165" fontId="0" fillId="0" borderId="12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 wrapText="1"/>
    </xf>
    <xf numFmtId="166" fontId="0" fillId="0" borderId="0" xfId="0" applyNumberFormat="1" applyFill="1" applyAlignment="1">
      <alignment horizontal="center" wrapText="1"/>
    </xf>
    <xf numFmtId="49" fontId="2" fillId="0" borderId="0" xfId="0" applyNumberFormat="1" applyFont="1" applyAlignment="1">
      <alignment horizontal="left"/>
    </xf>
    <xf numFmtId="46" fontId="2" fillId="0" borderId="2" xfId="0" applyNumberFormat="1" applyFont="1" applyBorder="1" applyAlignment="1">
      <alignment horizontal="left" vertical="center"/>
    </xf>
    <xf numFmtId="1" fontId="0" fillId="0" borderId="7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165" fontId="0" fillId="0" borderId="4" xfId="0" applyNumberForma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7" fontId="0" fillId="0" borderId="9" xfId="0" applyNumberFormat="1" applyBorder="1"/>
    <xf numFmtId="1" fontId="2" fillId="0" borderId="0" xfId="0" applyNumberFormat="1" applyFont="1" applyBorder="1" applyAlignment="1">
      <alignment horizontal="left" vertical="center"/>
    </xf>
    <xf numFmtId="0" fontId="0" fillId="0" borderId="0" xfId="0" applyFill="1"/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7" fontId="0" fillId="0" borderId="0" xfId="0" applyNumberFormat="1" applyFill="1" applyBorder="1"/>
    <xf numFmtId="167" fontId="0" fillId="0" borderId="0" xfId="0" applyNumberFormat="1" applyAlignment="1">
      <alignment horizontal="center" wrapText="1"/>
    </xf>
    <xf numFmtId="0" fontId="2" fillId="0" borderId="1" xfId="0" applyFont="1" applyBorder="1"/>
    <xf numFmtId="0" fontId="2" fillId="0" borderId="0" xfId="0" applyFont="1" applyBorder="1"/>
    <xf numFmtId="0" fontId="2" fillId="0" borderId="2" xfId="0" applyFont="1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1" xfId="0" applyBorder="1" applyAlignment="1">
      <alignment horizontal="center" vertical="center" wrapText="1"/>
    </xf>
    <xf numFmtId="164" fontId="0" fillId="0" borderId="8" xfId="0" applyNumberFormat="1" applyBorder="1"/>
    <xf numFmtId="0" fontId="0" fillId="0" borderId="0" xfId="0" applyFill="1" applyBorder="1"/>
    <xf numFmtId="167" fontId="0" fillId="0" borderId="1" xfId="0" applyNumberFormat="1" applyFill="1" applyBorder="1"/>
    <xf numFmtId="0" fontId="0" fillId="0" borderId="9" xfId="0" applyFill="1" applyBorder="1"/>
    <xf numFmtId="0" fontId="0" fillId="0" borderId="0" xfId="0" applyFill="1" applyAlignment="1">
      <alignment horizontal="center" wrapText="1"/>
    </xf>
    <xf numFmtId="164" fontId="0" fillId="0" borderId="0" xfId="0" applyNumberFormat="1" applyFill="1" applyBorder="1" applyAlignment="1">
      <alignment horizontal="center"/>
    </xf>
    <xf numFmtId="2" fontId="0" fillId="0" borderId="0" xfId="0" applyNumberFormat="1" applyFill="1"/>
    <xf numFmtId="0" fontId="0" fillId="2" borderId="4" xfId="0" applyFill="1" applyBorder="1"/>
    <xf numFmtId="0" fontId="0" fillId="2" borderId="0" xfId="0" applyFill="1" applyBorder="1"/>
    <xf numFmtId="2" fontId="0" fillId="0" borderId="0" xfId="0" applyNumberForma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 vertical="center" wrapText="1"/>
    </xf>
    <xf numFmtId="0" fontId="0" fillId="0" borderId="2" xfId="0" applyFill="1" applyBorder="1"/>
    <xf numFmtId="0" fontId="0" fillId="0" borderId="1" xfId="0" applyFill="1" applyBorder="1"/>
    <xf numFmtId="0" fontId="0" fillId="0" borderId="10" xfId="0" applyFill="1" applyBorder="1"/>
    <xf numFmtId="0" fontId="2" fillId="0" borderId="0" xfId="0" applyFont="1" applyAlignment="1">
      <alignment wrapText="1"/>
    </xf>
    <xf numFmtId="0" fontId="2" fillId="0" borderId="0" xfId="0" applyFont="1" applyFill="1" applyBorder="1" applyAlignment="1">
      <alignment horizontal="center" vertical="center" wrapText="1"/>
    </xf>
    <xf numFmtId="165" fontId="0" fillId="0" borderId="0" xfId="0" applyNumberFormat="1" applyBorder="1" applyAlignment="1">
      <alignment horizontal="left" vertical="center"/>
    </xf>
    <xf numFmtId="0" fontId="2" fillId="2" borderId="0" xfId="0" applyFont="1" applyFill="1"/>
    <xf numFmtId="0" fontId="0" fillId="2" borderId="0" xfId="0" applyFill="1"/>
    <xf numFmtId="0" fontId="2" fillId="0" borderId="0" xfId="0" applyFont="1" applyFill="1"/>
    <xf numFmtId="0" fontId="0" fillId="0" borderId="0" xfId="0" applyFill="1" applyAlignment="1">
      <alignment wrapText="1"/>
    </xf>
    <xf numFmtId="0" fontId="0" fillId="0" borderId="0" xfId="0" applyFill="1" applyAlignment="1">
      <alignment horizontal="center" vertical="center" wrapText="1"/>
    </xf>
    <xf numFmtId="15" fontId="0" fillId="0" borderId="0" xfId="0" applyNumberFormat="1" applyFill="1"/>
    <xf numFmtId="2" fontId="8" fillId="0" borderId="0" xfId="0" applyNumberFormat="1" applyFont="1" applyFill="1"/>
    <xf numFmtId="0" fontId="8" fillId="0" borderId="0" xfId="0" applyFont="1" applyFill="1"/>
    <xf numFmtId="0" fontId="9" fillId="0" borderId="0" xfId="0" applyFont="1" applyFill="1"/>
    <xf numFmtId="1" fontId="0" fillId="0" borderId="4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5" fontId="2" fillId="2" borderId="0" xfId="0" applyNumberFormat="1" applyFont="1" applyFill="1"/>
    <xf numFmtId="0" fontId="2" fillId="0" borderId="0" xfId="0" quotePrefix="1" applyFont="1"/>
    <xf numFmtId="0" fontId="10" fillId="0" borderId="0" xfId="0" applyFont="1"/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0" fillId="0" borderId="13" xfId="0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164" fontId="0" fillId="0" borderId="13" xfId="0" applyNumberFormat="1" applyBorder="1" applyAlignment="1">
      <alignment horizontal="center" vertical="center" wrapText="1"/>
    </xf>
    <xf numFmtId="165" fontId="0" fillId="0" borderId="13" xfId="0" applyNumberFormat="1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64" fontId="0" fillId="0" borderId="0" xfId="0" applyNumberFormat="1" applyAlignment="1"/>
    <xf numFmtId="164" fontId="0" fillId="0" borderId="10" xfId="0" applyNumberFormat="1" applyBorder="1" applyAlignment="1">
      <alignment horizontal="center" vertical="center" wrapText="1"/>
    </xf>
    <xf numFmtId="164" fontId="0" fillId="0" borderId="10" xfId="0" applyNumberFormat="1" applyBorder="1"/>
    <xf numFmtId="0" fontId="0" fillId="3" borderId="0" xfId="0" applyFill="1"/>
    <xf numFmtId="0" fontId="0" fillId="0" borderId="0" xfId="0" applyAlignment="1">
      <alignment vertical="center" wrapText="1"/>
    </xf>
    <xf numFmtId="0" fontId="0" fillId="4" borderId="0" xfId="0" applyFill="1" applyBorder="1"/>
    <xf numFmtId="2" fontId="0" fillId="4" borderId="0" xfId="0" applyNumberFormat="1" applyFill="1" applyBorder="1"/>
    <xf numFmtId="0" fontId="1" fillId="0" borderId="0" xfId="0" applyFont="1" applyFill="1"/>
    <xf numFmtId="1" fontId="1" fillId="0" borderId="0" xfId="0" applyNumberFormat="1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5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" fontId="0" fillId="0" borderId="12" xfId="0" applyNumberFormat="1" applyFill="1" applyBorder="1" applyAlignment="1">
      <alignment horizontal="center" vertical="center" wrapText="1"/>
    </xf>
    <xf numFmtId="164" fontId="0" fillId="0" borderId="12" xfId="0" applyNumberForma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 wrapText="1"/>
    </xf>
    <xf numFmtId="165" fontId="0" fillId="0" borderId="8" xfId="0" applyNumberFormat="1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2" fontId="0" fillId="0" borderId="10" xfId="0" applyNumberForma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165" fontId="0" fillId="0" borderId="13" xfId="0" applyNumberFormat="1" applyFill="1" applyBorder="1" applyAlignment="1">
      <alignment horizontal="center" vertical="center" wrapText="1"/>
    </xf>
    <xf numFmtId="165" fontId="0" fillId="0" borderId="11" xfId="0" applyNumberFormat="1" applyFill="1" applyBorder="1" applyAlignment="1">
      <alignment horizontal="center" vertical="center" wrapText="1"/>
    </xf>
    <xf numFmtId="0" fontId="0" fillId="0" borderId="13" xfId="0" applyFill="1" applyBorder="1"/>
    <xf numFmtId="0" fontId="0" fillId="0" borderId="11" xfId="0" applyFill="1" applyBorder="1"/>
    <xf numFmtId="164" fontId="0" fillId="0" borderId="10" xfId="0" applyNumberFormat="1" applyFill="1" applyBorder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167" fontId="1" fillId="0" borderId="0" xfId="0" applyNumberFormat="1" applyFont="1" applyFill="1"/>
    <xf numFmtId="164" fontId="1" fillId="0" borderId="0" xfId="0" applyNumberFormat="1" applyFont="1" applyAlignment="1">
      <alignment horizontal="center" wrapText="1"/>
    </xf>
    <xf numFmtId="167" fontId="1" fillId="0" borderId="0" xfId="0" applyNumberFormat="1" applyFont="1" applyFill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164" fontId="1" fillId="0" borderId="0" xfId="0" applyNumberFormat="1" applyFont="1" applyFill="1" applyAlignment="1">
      <alignment horizontal="center" wrapText="1"/>
    </xf>
    <xf numFmtId="2" fontId="11" fillId="0" borderId="0" xfId="0" applyNumberFormat="1" applyFont="1" applyAlignment="1">
      <alignment horizontal="center" wrapText="1"/>
    </xf>
    <xf numFmtId="0" fontId="11" fillId="0" borderId="0" xfId="0" applyFont="1" applyAlignment="1">
      <alignment horizontal="center" wrapText="1"/>
    </xf>
    <xf numFmtId="167" fontId="11" fillId="0" borderId="0" xfId="0" applyNumberFormat="1" applyFont="1" applyFill="1"/>
    <xf numFmtId="164" fontId="11" fillId="0" borderId="0" xfId="0" applyNumberFormat="1" applyFont="1" applyAlignment="1">
      <alignment horizontal="center" wrapText="1"/>
    </xf>
    <xf numFmtId="164" fontId="11" fillId="0" borderId="0" xfId="0" applyNumberFormat="1" applyFont="1" applyFill="1" applyAlignment="1">
      <alignment horizontal="center" wrapText="1"/>
    </xf>
    <xf numFmtId="0" fontId="0" fillId="0" borderId="0" xfId="0" applyNumberFormat="1" applyFill="1" applyBorder="1" applyAlignment="1"/>
    <xf numFmtId="167" fontId="0" fillId="0" borderId="0" xfId="0" applyNumberFormat="1" applyFill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167" fontId="0" fillId="5" borderId="0" xfId="0" applyNumberFormat="1" applyFill="1" applyBorder="1"/>
    <xf numFmtId="0" fontId="0" fillId="5" borderId="0" xfId="0" applyFill="1"/>
    <xf numFmtId="0" fontId="2" fillId="5" borderId="0" xfId="0" applyFont="1" applyFill="1"/>
    <xf numFmtId="0" fontId="2" fillId="5" borderId="0" xfId="0" applyFont="1" applyFill="1" applyAlignment="1">
      <alignment horizontal="left"/>
    </xf>
    <xf numFmtId="49" fontId="2" fillId="5" borderId="0" xfId="0" applyNumberFormat="1" applyFont="1" applyFill="1" applyAlignment="1">
      <alignment horizontal="left"/>
    </xf>
    <xf numFmtId="0" fontId="0" fillId="5" borderId="0" xfId="0" applyFill="1" applyBorder="1"/>
    <xf numFmtId="1" fontId="0" fillId="5" borderId="0" xfId="0" applyNumberFormat="1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1" fillId="0" borderId="0" xfId="0" applyFont="1"/>
    <xf numFmtId="167" fontId="0" fillId="0" borderId="10" xfId="0" applyNumberFormat="1" applyFill="1" applyBorder="1"/>
    <xf numFmtId="164" fontId="0" fillId="2" borderId="6" xfId="0" applyNumberFormat="1" applyFill="1" applyBorder="1"/>
    <xf numFmtId="14" fontId="2" fillId="5" borderId="0" xfId="0" applyNumberFormat="1" applyFont="1" applyFill="1"/>
    <xf numFmtId="0" fontId="0" fillId="6" borderId="7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2" fontId="0" fillId="6" borderId="12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6" borderId="13" xfId="0" applyNumberFormat="1" applyFill="1" applyBorder="1" applyAlignment="1">
      <alignment horizontal="center"/>
    </xf>
    <xf numFmtId="2" fontId="0" fillId="6" borderId="11" xfId="0" applyNumberFormat="1" applyFill="1" applyBorder="1" applyAlignment="1">
      <alignment horizontal="center"/>
    </xf>
    <xf numFmtId="0" fontId="0" fillId="6" borderId="0" xfId="0" applyFill="1" applyBorder="1"/>
    <xf numFmtId="167" fontId="0" fillId="6" borderId="0" xfId="0" applyNumberFormat="1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 applyBorder="1"/>
    <xf numFmtId="0" fontId="13" fillId="3" borderId="0" xfId="0" applyFont="1" applyFill="1" applyBorder="1" applyAlignment="1">
      <alignment horizontal="right"/>
    </xf>
    <xf numFmtId="0" fontId="7" fillId="3" borderId="0" xfId="0" applyFont="1" applyFill="1"/>
    <xf numFmtId="0" fontId="0" fillId="3" borderId="18" xfId="0" applyFill="1" applyBorder="1"/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6" fontId="0" fillId="3" borderId="3" xfId="0" applyNumberFormat="1" applyFill="1" applyBorder="1" applyAlignment="1">
      <alignment horizontal="center"/>
    </xf>
    <xf numFmtId="165" fontId="0" fillId="3" borderId="12" xfId="0" applyNumberFormat="1" applyFill="1" applyBorder="1" applyAlignment="1">
      <alignment horizontal="center"/>
    </xf>
    <xf numFmtId="166" fontId="0" fillId="3" borderId="8" xfId="0" applyNumberFormat="1" applyFill="1" applyBorder="1" applyAlignment="1">
      <alignment horizontal="center"/>
    </xf>
    <xf numFmtId="167" fontId="0" fillId="3" borderId="12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164" fontId="0" fillId="3" borderId="12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7" fontId="0" fillId="3" borderId="10" xfId="0" applyNumberFormat="1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165" fontId="0" fillId="3" borderId="13" xfId="0" applyNumberFormat="1" applyFill="1" applyBorder="1"/>
    <xf numFmtId="164" fontId="0" fillId="3" borderId="7" xfId="0" applyNumberFormat="1" applyFill="1" applyBorder="1" applyAlignment="1">
      <alignment horizontal="center"/>
    </xf>
    <xf numFmtId="0" fontId="0" fillId="3" borderId="13" xfId="0" applyFill="1" applyBorder="1"/>
    <xf numFmtId="0" fontId="0" fillId="3" borderId="11" xfId="0" applyFill="1" applyBorder="1"/>
    <xf numFmtId="2" fontId="0" fillId="3" borderId="12" xfId="0" applyNumberFormat="1" applyFill="1" applyBorder="1" applyAlignment="1">
      <alignment horizontal="center"/>
    </xf>
    <xf numFmtId="2" fontId="0" fillId="3" borderId="8" xfId="0" applyNumberFormat="1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9" xfId="0" applyFill="1" applyBorder="1"/>
    <xf numFmtId="165" fontId="0" fillId="3" borderId="2" xfId="0" applyNumberFormat="1" applyFill="1" applyBorder="1" applyAlignment="1">
      <alignment horizontal="center"/>
    </xf>
    <xf numFmtId="0" fontId="0" fillId="3" borderId="10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3" borderId="3" xfId="0" applyFill="1" applyBorder="1"/>
    <xf numFmtId="0" fontId="0" fillId="3" borderId="8" xfId="0" applyFill="1" applyBorder="1"/>
    <xf numFmtId="165" fontId="0" fillId="3" borderId="8" xfId="0" applyNumberFormat="1" applyFill="1" applyBorder="1" applyAlignment="1">
      <alignment horizontal="center"/>
    </xf>
    <xf numFmtId="167" fontId="0" fillId="3" borderId="0" xfId="0" applyNumberFormat="1" applyFill="1" applyBorder="1"/>
    <xf numFmtId="14" fontId="2" fillId="0" borderId="0" xfId="0" applyNumberFormat="1" applyFont="1"/>
    <xf numFmtId="0" fontId="0" fillId="3" borderId="2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2" fillId="3" borderId="22" xfId="0" applyFont="1" applyFill="1" applyBorder="1"/>
    <xf numFmtId="0" fontId="0" fillId="3" borderId="24" xfId="0" applyFill="1" applyBorder="1"/>
    <xf numFmtId="0" fontId="2" fillId="6" borderId="0" xfId="0" applyFont="1" applyFill="1" applyBorder="1"/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1" fontId="0" fillId="3" borderId="26" xfId="0" applyNumberFormat="1" applyFill="1" applyBorder="1" applyAlignment="1">
      <alignment horizontal="center"/>
    </xf>
    <xf numFmtId="1" fontId="0" fillId="3" borderId="25" xfId="0" applyNumberFormat="1" applyFill="1" applyBorder="1" applyAlignment="1">
      <alignment horizontal="center"/>
    </xf>
    <xf numFmtId="165" fontId="0" fillId="6" borderId="0" xfId="0" applyNumberFormat="1" applyFill="1" applyBorder="1"/>
    <xf numFmtId="0" fontId="0" fillId="6" borderId="2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2" fillId="3" borderId="27" xfId="0" applyFont="1" applyFill="1" applyBorder="1"/>
    <xf numFmtId="0" fontId="0" fillId="3" borderId="28" xfId="0" applyFill="1" applyBorder="1"/>
    <xf numFmtId="0" fontId="0" fillId="3" borderId="29" xfId="0" applyFill="1" applyBorder="1"/>
    <xf numFmtId="15" fontId="3" fillId="2" borderId="0" xfId="0" applyNumberFormat="1" applyFont="1" applyFill="1"/>
    <xf numFmtId="0" fontId="0" fillId="7" borderId="0" xfId="0" applyFill="1"/>
    <xf numFmtId="167" fontId="0" fillId="7" borderId="0" xfId="0" applyNumberFormat="1" applyFill="1"/>
    <xf numFmtId="0" fontId="0" fillId="0" borderId="0" xfId="0" applyNumberFormat="1"/>
    <xf numFmtId="1" fontId="11" fillId="0" borderId="0" xfId="0" applyNumberFormat="1" applyFont="1" applyAlignment="1">
      <alignment horizontal="center" wrapText="1"/>
    </xf>
    <xf numFmtId="14" fontId="0" fillId="0" borderId="0" xfId="0" applyNumberFormat="1"/>
    <xf numFmtId="0" fontId="0" fillId="0" borderId="23" xfId="0" applyBorder="1"/>
    <xf numFmtId="0" fontId="0" fillId="0" borderId="30" xfId="0" applyBorder="1"/>
    <xf numFmtId="0" fontId="0" fillId="0" borderId="3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32" xfId="0" applyFont="1" applyBorder="1"/>
    <xf numFmtId="0" fontId="0" fillId="0" borderId="15" xfId="0" applyBorder="1"/>
    <xf numFmtId="0" fontId="0" fillId="0" borderId="16" xfId="0" applyBorder="1"/>
    <xf numFmtId="0" fontId="2" fillId="0" borderId="17" xfId="0" applyFont="1" applyBorder="1"/>
    <xf numFmtId="0" fontId="0" fillId="0" borderId="18" xfId="0" applyBorder="1"/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1" fontId="0" fillId="0" borderId="25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67" fontId="0" fillId="0" borderId="0" xfId="0" applyNumberFormat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 vertical="center" wrapText="1"/>
    </xf>
    <xf numFmtId="167" fontId="0" fillId="0" borderId="13" xfId="0" applyNumberFormat="1" applyBorder="1"/>
    <xf numFmtId="2" fontId="0" fillId="0" borderId="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15" fontId="2" fillId="0" borderId="0" xfId="0" applyNumberFormat="1" applyFont="1"/>
    <xf numFmtId="0" fontId="0" fillId="0" borderId="2" xfId="0" applyFill="1" applyBorder="1" applyAlignment="1">
      <alignment horizontal="center" vertical="center" wrapText="1"/>
    </xf>
    <xf numFmtId="0" fontId="2" fillId="7" borderId="5" xfId="0" applyFont="1" applyFill="1" applyBorder="1"/>
    <xf numFmtId="0" fontId="0" fillId="7" borderId="35" xfId="0" applyFill="1" applyBorder="1"/>
    <xf numFmtId="0" fontId="0" fillId="7" borderId="6" xfId="0" applyFill="1" applyBorder="1"/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2" fontId="0" fillId="7" borderId="7" xfId="0" applyNumberFormat="1" applyFill="1" applyBorder="1" applyAlignment="1">
      <alignment horizontal="center"/>
    </xf>
    <xf numFmtId="166" fontId="0" fillId="7" borderId="3" xfId="0" applyNumberFormat="1" applyFill="1" applyBorder="1" applyAlignment="1">
      <alignment horizontal="center"/>
    </xf>
    <xf numFmtId="2" fontId="0" fillId="7" borderId="12" xfId="0" applyNumberFormat="1" applyFill="1" applyBorder="1" applyAlignment="1">
      <alignment horizontal="center"/>
    </xf>
    <xf numFmtId="166" fontId="0" fillId="7" borderId="8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8" xfId="0" applyNumberFormat="1" applyFill="1" applyBorder="1" applyAlignment="1">
      <alignment horizontal="center"/>
    </xf>
    <xf numFmtId="164" fontId="0" fillId="7" borderId="12" xfId="0" applyNumberFormat="1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67" fontId="0" fillId="7" borderId="10" xfId="0" applyNumberFormat="1" applyFill="1" applyBorder="1" applyAlignment="1">
      <alignment horizontal="center"/>
    </xf>
    <xf numFmtId="2" fontId="0" fillId="7" borderId="10" xfId="0" applyNumberFormat="1" applyFill="1" applyBorder="1" applyAlignment="1">
      <alignment horizontal="center"/>
    </xf>
    <xf numFmtId="165" fontId="0" fillId="7" borderId="13" xfId="0" applyNumberFormat="1" applyFill="1" applyBorder="1"/>
    <xf numFmtId="167" fontId="0" fillId="7" borderId="7" xfId="0" applyNumberFormat="1" applyFill="1" applyBorder="1" applyAlignment="1">
      <alignment horizontal="center"/>
    </xf>
    <xf numFmtId="0" fontId="0" fillId="7" borderId="13" xfId="0" applyFill="1" applyBorder="1"/>
    <xf numFmtId="0" fontId="0" fillId="7" borderId="11" xfId="0" applyFill="1" applyBorder="1"/>
    <xf numFmtId="0" fontId="0" fillId="7" borderId="0" xfId="0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2" fontId="0" fillId="7" borderId="0" xfId="0" applyNumberFormat="1" applyFill="1"/>
    <xf numFmtId="2" fontId="0" fillId="7" borderId="13" xfId="0" applyNumberFormat="1" applyFill="1" applyBorder="1" applyAlignment="1">
      <alignment horizontal="center"/>
    </xf>
    <xf numFmtId="2" fontId="0" fillId="7" borderId="11" xfId="0" applyNumberFormat="1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2" fillId="7" borderId="2" xfId="0" applyFont="1" applyFill="1" applyBorder="1"/>
    <xf numFmtId="0" fontId="0" fillId="7" borderId="4" xfId="0" applyFill="1" applyBorder="1"/>
    <xf numFmtId="0" fontId="0" fillId="7" borderId="3" xfId="0" applyFill="1" applyBorder="1"/>
    <xf numFmtId="15" fontId="0" fillId="7" borderId="0" xfId="0" applyNumberFormat="1" applyFill="1" applyBorder="1" applyAlignment="1">
      <alignment horizontal="center"/>
    </xf>
    <xf numFmtId="0" fontId="0" fillId="7" borderId="1" xfId="0" applyFill="1" applyBorder="1"/>
    <xf numFmtId="0" fontId="0" fillId="7" borderId="0" xfId="0" applyFill="1" applyBorder="1"/>
    <xf numFmtId="0" fontId="0" fillId="7" borderId="8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65" fontId="0" fillId="7" borderId="8" xfId="0" applyNumberFormat="1" applyFill="1" applyBorder="1" applyAlignment="1">
      <alignment horizontal="center"/>
    </xf>
    <xf numFmtId="167" fontId="0" fillId="7" borderId="0" xfId="0" applyNumberFormat="1" applyFill="1" applyBorder="1"/>
    <xf numFmtId="0" fontId="0" fillId="7" borderId="9" xfId="0" applyFill="1" applyBorder="1"/>
    <xf numFmtId="165" fontId="0" fillId="7" borderId="12" xfId="0" applyNumberFormat="1" applyFill="1" applyBorder="1" applyAlignment="1">
      <alignment horizontal="center"/>
    </xf>
    <xf numFmtId="0" fontId="0" fillId="7" borderId="10" xfId="0" applyFill="1" applyBorder="1"/>
    <xf numFmtId="1" fontId="0" fillId="7" borderId="0" xfId="0" applyNumberFormat="1" applyFill="1" applyBorder="1" applyAlignment="1">
      <alignment horizontal="left"/>
    </xf>
    <xf numFmtId="0" fontId="2" fillId="7" borderId="0" xfId="0" applyFont="1" applyFill="1"/>
    <xf numFmtId="0" fontId="2" fillId="7" borderId="0" xfId="0" applyFont="1" applyFill="1" applyAlignment="1">
      <alignment horizontal="right"/>
    </xf>
    <xf numFmtId="0" fontId="0" fillId="7" borderId="4" xfId="0" applyFill="1" applyBorder="1" applyAlignment="1">
      <alignment horizontal="right"/>
    </xf>
    <xf numFmtId="0" fontId="0" fillId="7" borderId="9" xfId="0" applyFill="1" applyBorder="1" applyAlignment="1">
      <alignment horizontal="right"/>
    </xf>
    <xf numFmtId="0" fontId="0" fillId="7" borderId="2" xfId="0" applyFill="1" applyBorder="1"/>
    <xf numFmtId="166" fontId="0" fillId="0" borderId="0" xfId="0" applyNumberFormat="1" applyFill="1"/>
    <xf numFmtId="46" fontId="2" fillId="0" borderId="2" xfId="0" applyNumberFormat="1" applyFont="1" applyFill="1" applyBorder="1" applyAlignment="1">
      <alignment horizontal="left" vertical="center"/>
    </xf>
    <xf numFmtId="0" fontId="0" fillId="0" borderId="7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" fontId="0" fillId="0" borderId="7" xfId="0" applyNumberFormat="1" applyFill="1" applyBorder="1" applyAlignment="1">
      <alignment horizontal="center" vertical="center" wrapText="1"/>
    </xf>
    <xf numFmtId="1" fontId="0" fillId="0" borderId="4" xfId="0" applyNumberFormat="1" applyFill="1" applyBorder="1" applyAlignment="1">
      <alignment horizontal="center" vertical="center" wrapText="1"/>
    </xf>
    <xf numFmtId="165" fontId="0" fillId="0" borderId="4" xfId="0" applyNumberFormat="1" applyFill="1" applyBorder="1" applyAlignment="1">
      <alignment horizontal="center" vertical="center" wrapText="1"/>
    </xf>
    <xf numFmtId="165" fontId="0" fillId="0" borderId="7" xfId="0" applyNumberFormat="1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0" fontId="3" fillId="0" borderId="0" xfId="0" applyFont="1" applyFill="1"/>
    <xf numFmtId="167" fontId="0" fillId="6" borderId="3" xfId="0" applyNumberFormat="1" applyFill="1" applyBorder="1"/>
    <xf numFmtId="167" fontId="0" fillId="6" borderId="11" xfId="0" applyNumberFormat="1" applyFill="1" applyBorder="1"/>
    <xf numFmtId="0" fontId="2" fillId="6" borderId="0" xfId="0" applyFont="1" applyFill="1"/>
    <xf numFmtId="169" fontId="0" fillId="0" borderId="0" xfId="0" applyNumberFormat="1" applyFill="1" applyAlignment="1">
      <alignment horizontal="center" wrapText="1"/>
    </xf>
    <xf numFmtId="0" fontId="14" fillId="0" borderId="0" xfId="0" applyFont="1"/>
    <xf numFmtId="166" fontId="0" fillId="0" borderId="0" xfId="0" applyNumberFormat="1" applyFill="1" applyBorder="1" applyAlignment="1">
      <alignment horizontal="center" wrapText="1"/>
    </xf>
    <xf numFmtId="0" fontId="0" fillId="8" borderId="0" xfId="0" applyFill="1" applyAlignment="1">
      <alignment horizontal="center" vertical="center" wrapText="1"/>
    </xf>
    <xf numFmtId="166" fontId="0" fillId="0" borderId="0" xfId="0" applyNumberFormat="1" applyBorder="1"/>
    <xf numFmtId="166" fontId="0" fillId="0" borderId="0" xfId="0" applyNumberFormat="1" applyFill="1" applyAlignment="1">
      <alignment horizontal="right" wrapText="1"/>
    </xf>
    <xf numFmtId="165" fontId="0" fillId="2" borderId="0" xfId="0" applyNumberFormat="1" applyFill="1"/>
    <xf numFmtId="0" fontId="0" fillId="2" borderId="5" xfId="0" applyFill="1" applyBorder="1"/>
    <xf numFmtId="0" fontId="0" fillId="2" borderId="35" xfId="0" applyFill="1" applyBorder="1"/>
    <xf numFmtId="0" fontId="0" fillId="2" borderId="6" xfId="0" applyFill="1" applyBorder="1"/>
    <xf numFmtId="166" fontId="0" fillId="0" borderId="9" xfId="0" applyNumberFormat="1" applyBorder="1"/>
    <xf numFmtId="0" fontId="15" fillId="0" borderId="0" xfId="0" applyFont="1"/>
    <xf numFmtId="0" fontId="16" fillId="0" borderId="0" xfId="0" applyFont="1"/>
    <xf numFmtId="0" fontId="2" fillId="7" borderId="0" xfId="0" applyFont="1" applyFill="1" applyBorder="1" applyAlignment="1">
      <alignment horizontal="center"/>
    </xf>
    <xf numFmtId="164" fontId="0" fillId="7" borderId="0" xfId="0" applyNumberFormat="1" applyFill="1"/>
    <xf numFmtId="165" fontId="0" fillId="7" borderId="0" xfId="0" applyNumberFormat="1" applyFill="1"/>
    <xf numFmtId="2" fontId="0" fillId="7" borderId="0" xfId="0" applyNumberFormat="1" applyFill="1" applyBorder="1"/>
    <xf numFmtId="166" fontId="0" fillId="7" borderId="0" xfId="0" applyNumberFormat="1" applyFill="1" applyBorder="1"/>
    <xf numFmtId="0" fontId="0" fillId="5" borderId="1" xfId="0" applyFill="1" applyBorder="1"/>
    <xf numFmtId="166" fontId="0" fillId="5" borderId="0" xfId="0" applyNumberFormat="1" applyFill="1" applyBorder="1"/>
    <xf numFmtId="17" fontId="0" fillId="0" borderId="0" xfId="0" applyNumberFormat="1"/>
    <xf numFmtId="0" fontId="3" fillId="0" borderId="0" xfId="0" applyFont="1" applyFill="1" applyAlignment="1">
      <alignment horizontal="right"/>
    </xf>
    <xf numFmtId="15" fontId="0" fillId="0" borderId="0" xfId="0" applyNumberFormat="1"/>
    <xf numFmtId="170" fontId="0" fillId="0" borderId="12" xfId="0" applyNumberFormat="1" applyBorder="1" applyAlignment="1">
      <alignment horizontal="center" vertical="center" wrapText="1"/>
    </xf>
    <xf numFmtId="170" fontId="0" fillId="0" borderId="0" xfId="0" applyNumberFormat="1" applyBorder="1" applyAlignment="1">
      <alignment horizontal="center" vertical="center" wrapText="1"/>
    </xf>
    <xf numFmtId="170" fontId="0" fillId="0" borderId="8" xfId="0" applyNumberFormat="1" applyBorder="1" applyAlignment="1">
      <alignment horizontal="center" vertical="center" wrapText="1"/>
    </xf>
    <xf numFmtId="166" fontId="0" fillId="0" borderId="9" xfId="0" applyNumberFormat="1" applyBorder="1" applyAlignment="1">
      <alignment horizontal="center" vertical="center" wrapText="1"/>
    </xf>
    <xf numFmtId="166" fontId="0" fillId="0" borderId="13" xfId="0" applyNumberFormat="1" applyBorder="1" applyAlignment="1">
      <alignment horizontal="center" vertical="center" wrapText="1"/>
    </xf>
    <xf numFmtId="14" fontId="17" fillId="0" borderId="0" xfId="0" applyNumberFormat="1" applyFont="1"/>
    <xf numFmtId="0" fontId="17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Fill="1"/>
    <xf numFmtId="0" fontId="0" fillId="0" borderId="1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center"/>
    </xf>
    <xf numFmtId="1" fontId="0" fillId="0" borderId="0" xfId="0" applyNumberFormat="1" applyFill="1" applyAlignment="1">
      <alignment horizontal="center" wrapText="1"/>
    </xf>
    <xf numFmtId="0" fontId="18" fillId="0" borderId="0" xfId="0" applyFont="1"/>
    <xf numFmtId="0" fontId="0" fillId="9" borderId="0" xfId="0" applyFill="1"/>
    <xf numFmtId="167" fontId="0" fillId="9" borderId="4" xfId="0" applyNumberFormat="1" applyFill="1" applyBorder="1"/>
    <xf numFmtId="167" fontId="0" fillId="9" borderId="3" xfId="0" applyNumberFormat="1" applyFill="1" applyBorder="1"/>
    <xf numFmtId="167" fontId="0" fillId="9" borderId="0" xfId="0" applyNumberFormat="1" applyFill="1" applyBorder="1"/>
    <xf numFmtId="167" fontId="0" fillId="9" borderId="8" xfId="0" applyNumberFormat="1" applyFill="1" applyBorder="1"/>
    <xf numFmtId="167" fontId="0" fillId="9" borderId="9" xfId="0" applyNumberFormat="1" applyFill="1" applyBorder="1"/>
    <xf numFmtId="167" fontId="0" fillId="9" borderId="11" xfId="0" applyNumberFormat="1" applyFill="1" applyBorder="1"/>
    <xf numFmtId="15" fontId="2" fillId="10" borderId="0" xfId="0" applyNumberFormat="1" applyFont="1" applyFill="1"/>
    <xf numFmtId="0" fontId="0" fillId="10" borderId="0" xfId="0" applyFill="1"/>
    <xf numFmtId="0" fontId="2" fillId="10" borderId="0" xfId="0" applyFont="1" applyFill="1"/>
    <xf numFmtId="0" fontId="2" fillId="10" borderId="32" xfId="0" applyFont="1" applyFill="1" applyBorder="1"/>
    <xf numFmtId="0" fontId="0" fillId="10" borderId="15" xfId="0" applyFill="1" applyBorder="1"/>
    <xf numFmtId="0" fontId="0" fillId="10" borderId="16" xfId="0" applyFill="1" applyBorder="1"/>
    <xf numFmtId="0" fontId="2" fillId="10" borderId="17" xfId="0" applyFont="1" applyFill="1" applyBorder="1"/>
    <xf numFmtId="0" fontId="0" fillId="10" borderId="0" xfId="0" applyFill="1" applyBorder="1"/>
    <xf numFmtId="0" fontId="0" fillId="10" borderId="18" xfId="0" applyFill="1" applyBorder="1"/>
    <xf numFmtId="0" fontId="0" fillId="10" borderId="23" xfId="0" applyFill="1" applyBorder="1"/>
    <xf numFmtId="0" fontId="0" fillId="10" borderId="9" xfId="0" applyFill="1" applyBorder="1"/>
    <xf numFmtId="0" fontId="0" fillId="10" borderId="30" xfId="0" applyFill="1" applyBorder="1"/>
    <xf numFmtId="0" fontId="0" fillId="10" borderId="31" xfId="0" applyFill="1" applyBorder="1" applyAlignment="1">
      <alignment horizontal="center" vertical="center" wrapText="1"/>
    </xf>
    <xf numFmtId="0" fontId="0" fillId="10" borderId="23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30" xfId="0" applyFill="1" applyBorder="1" applyAlignment="1">
      <alignment horizontal="center" vertical="center" wrapText="1"/>
    </xf>
    <xf numFmtId="1" fontId="0" fillId="10" borderId="25" xfId="0" applyNumberFormat="1" applyFill="1" applyBorder="1" applyAlignment="1">
      <alignment horizontal="center"/>
    </xf>
    <xf numFmtId="164" fontId="0" fillId="10" borderId="2" xfId="0" applyNumberFormat="1" applyFill="1" applyBorder="1" applyAlignment="1">
      <alignment horizontal="center"/>
    </xf>
    <xf numFmtId="164" fontId="0" fillId="10" borderId="4" xfId="0" applyNumberFormat="1" applyFill="1" applyBorder="1" applyAlignment="1">
      <alignment horizontal="center"/>
    </xf>
    <xf numFmtId="1" fontId="0" fillId="10" borderId="3" xfId="0" applyNumberFormat="1" applyFill="1" applyBorder="1" applyAlignment="1">
      <alignment horizontal="center"/>
    </xf>
    <xf numFmtId="164" fontId="0" fillId="10" borderId="0" xfId="0" applyNumberFormat="1" applyFill="1" applyBorder="1" applyAlignment="1">
      <alignment horizontal="center"/>
    </xf>
    <xf numFmtId="164" fontId="0" fillId="10" borderId="18" xfId="0" applyNumberFormat="1" applyFill="1" applyBorder="1" applyAlignment="1">
      <alignment horizontal="center"/>
    </xf>
    <xf numFmtId="1" fontId="0" fillId="10" borderId="26" xfId="0" applyNumberFormat="1" applyFill="1" applyBorder="1" applyAlignment="1">
      <alignment horizontal="center"/>
    </xf>
    <xf numFmtId="164" fontId="0" fillId="10" borderId="1" xfId="0" applyNumberFormat="1" applyFill="1" applyBorder="1" applyAlignment="1">
      <alignment horizontal="center"/>
    </xf>
    <xf numFmtId="1" fontId="0" fillId="10" borderId="8" xfId="0" applyNumberForma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10" borderId="0" xfId="0" applyFont="1" applyFill="1" applyAlignment="1">
      <alignment horizontal="right"/>
    </xf>
    <xf numFmtId="165" fontId="0" fillId="0" borderId="9" xfId="0" applyNumberFormat="1" applyBorder="1" applyAlignment="1">
      <alignment horizontal="center" vertical="center" wrapText="1"/>
    </xf>
    <xf numFmtId="165" fontId="0" fillId="0" borderId="9" xfId="0" applyNumberFormat="1" applyBorder="1"/>
    <xf numFmtId="165" fontId="0" fillId="0" borderId="13" xfId="0" applyNumberFormat="1" applyBorder="1"/>
    <xf numFmtId="165" fontId="0" fillId="0" borderId="4" xfId="0" applyNumberFormat="1" applyFill="1" applyBorder="1" applyAlignment="1">
      <alignment horizontal="center" vertical="center"/>
    </xf>
    <xf numFmtId="165" fontId="0" fillId="0" borderId="4" xfId="0" applyNumberFormat="1" applyFill="1" applyBorder="1"/>
    <xf numFmtId="165" fontId="0" fillId="0" borderId="14" xfId="0" applyNumberFormat="1" applyBorder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165" fontId="0" fillId="0" borderId="9" xfId="0" applyNumberFormat="1" applyFill="1" applyBorder="1"/>
    <xf numFmtId="165" fontId="0" fillId="0" borderId="13" xfId="0" applyNumberFormat="1" applyFill="1" applyBorder="1"/>
    <xf numFmtId="165" fontId="0" fillId="0" borderId="4" xfId="0" applyNumberFormat="1" applyBorder="1" applyAlignment="1">
      <alignment horizontal="center" vertical="center"/>
    </xf>
    <xf numFmtId="165" fontId="0" fillId="0" borderId="4" xfId="0" applyNumberFormat="1" applyBorder="1"/>
    <xf numFmtId="165" fontId="0" fillId="0" borderId="10" xfId="0" applyNumberFormat="1" applyBorder="1" applyAlignment="1">
      <alignment horizontal="center" vertical="center" wrapText="1"/>
    </xf>
    <xf numFmtId="164" fontId="0" fillId="0" borderId="35" xfId="0" applyNumberFormat="1" applyFill="1" applyBorder="1" applyAlignment="1">
      <alignment horizontal="center" vertical="center" wrapText="1"/>
    </xf>
    <xf numFmtId="165" fontId="0" fillId="0" borderId="0" xfId="0" applyNumberFormat="1" applyBorder="1"/>
    <xf numFmtId="1" fontId="0" fillId="0" borderId="9" xfId="0" applyNumberFormat="1" applyFill="1" applyBorder="1" applyAlignment="1">
      <alignment horizontal="center" vertical="center" wrapText="1"/>
    </xf>
    <xf numFmtId="165" fontId="0" fillId="0" borderId="0" xfId="0" applyNumberFormat="1" applyFill="1" applyBorder="1"/>
    <xf numFmtId="14" fontId="3" fillId="0" borderId="0" xfId="0" applyNumberFormat="1" applyFont="1"/>
    <xf numFmtId="0" fontId="0" fillId="0" borderId="0" xfId="0" applyAlignment="1">
      <alignment horizontal="center" vertical="center"/>
    </xf>
    <xf numFmtId="46" fontId="0" fillId="2" borderId="0" xfId="0" quotePrefix="1" applyNumberFormat="1" applyFill="1"/>
    <xf numFmtId="164" fontId="0" fillId="0" borderId="1" xfId="0" applyNumberFormat="1" applyFill="1" applyBorder="1"/>
    <xf numFmtId="164" fontId="0" fillId="0" borderId="0" xfId="0" applyNumberFormat="1" applyFill="1" applyBorder="1"/>
    <xf numFmtId="164" fontId="0" fillId="0" borderId="8" xfId="0" applyNumberFormat="1" applyFill="1" applyBorder="1"/>
    <xf numFmtId="164" fontId="0" fillId="0" borderId="10" xfId="0" applyNumberFormat="1" applyFill="1" applyBorder="1"/>
    <xf numFmtId="164" fontId="0" fillId="0" borderId="9" xfId="0" applyNumberFormat="1" applyFill="1" applyBorder="1"/>
    <xf numFmtId="164" fontId="0" fillId="0" borderId="11" xfId="0" applyNumberFormat="1" applyFill="1" applyBorder="1"/>
    <xf numFmtId="164" fontId="1" fillId="0" borderId="0" xfId="0" applyNumberFormat="1" applyFont="1" applyFill="1"/>
    <xf numFmtId="0" fontId="2" fillId="4" borderId="0" xfId="0" applyFont="1" applyFill="1"/>
    <xf numFmtId="0" fontId="19" fillId="0" borderId="0" xfId="0" applyFont="1"/>
    <xf numFmtId="0" fontId="0" fillId="2" borderId="9" xfId="0" applyFill="1" applyBorder="1"/>
    <xf numFmtId="1" fontId="0" fillId="0" borderId="9" xfId="0" applyNumberFormat="1" applyFill="1" applyBorder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165" fontId="0" fillId="0" borderId="3" xfId="0" applyNumberFormat="1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0" fontId="3" fillId="2" borderId="0" xfId="0" applyFont="1" applyFill="1"/>
    <xf numFmtId="0" fontId="19" fillId="11" borderId="0" xfId="0" applyFont="1" applyFill="1"/>
    <xf numFmtId="0" fontId="3" fillId="0" borderId="5" xfId="0" applyFont="1" applyBorder="1"/>
    <xf numFmtId="166" fontId="0" fillId="11" borderId="0" xfId="0" applyNumberFormat="1" applyFill="1"/>
    <xf numFmtId="0" fontId="3" fillId="10" borderId="0" xfId="0" applyFont="1" applyFill="1" applyAlignment="1">
      <alignment horizontal="center"/>
    </xf>
    <xf numFmtId="164" fontId="0" fillId="0" borderId="4" xfId="0" applyNumberFormat="1" applyBorder="1" applyAlignment="1">
      <alignment horizontal="center" vertical="center" wrapText="1"/>
    </xf>
    <xf numFmtId="0" fontId="2" fillId="2" borderId="0" xfId="0" applyFont="1" applyFill="1" applyBorder="1"/>
    <xf numFmtId="14" fontId="0" fillId="0" borderId="0" xfId="0" applyNumberFormat="1" applyFill="1"/>
    <xf numFmtId="2" fontId="0" fillId="2" borderId="0" xfId="0" applyNumberFormat="1" applyFill="1"/>
    <xf numFmtId="164" fontId="0" fillId="12" borderId="0" xfId="0" applyNumberFormat="1" applyFill="1" applyAlignment="1">
      <alignment horizontal="center" wrapText="1"/>
    </xf>
    <xf numFmtId="0" fontId="0" fillId="13" borderId="0" xfId="0" applyFill="1"/>
    <xf numFmtId="15" fontId="0" fillId="13" borderId="0" xfId="0" applyNumberFormat="1" applyFill="1"/>
    <xf numFmtId="164" fontId="0" fillId="13" borderId="0" xfId="0" applyNumberFormat="1" applyFill="1"/>
    <xf numFmtId="2" fontId="0" fillId="13" borderId="0" xfId="0" applyNumberFormat="1" applyFill="1"/>
    <xf numFmtId="0" fontId="2" fillId="13" borderId="0" xfId="0" applyFont="1" applyFill="1"/>
    <xf numFmtId="0" fontId="3" fillId="0" borderId="0" xfId="0" applyFont="1" applyFill="1" applyBorder="1" applyAlignment="1">
      <alignment horizontal="center" vertical="center" wrapText="1"/>
    </xf>
    <xf numFmtId="0" fontId="0" fillId="12" borderId="0" xfId="0" applyFill="1"/>
    <xf numFmtId="0" fontId="3" fillId="0" borderId="0" xfId="0" applyFont="1" applyAlignment="1"/>
    <xf numFmtId="167" fontId="25" fillId="0" borderId="0" xfId="0" applyNumberFormat="1" applyFont="1" applyFill="1" applyAlignment="1">
      <alignment horizontal="center" wrapText="1"/>
    </xf>
    <xf numFmtId="0" fontId="25" fillId="0" borderId="0" xfId="0" applyFont="1"/>
    <xf numFmtId="0" fontId="0" fillId="14" borderId="0" xfId="0" applyFill="1"/>
    <xf numFmtId="0" fontId="2" fillId="14" borderId="0" xfId="0" applyFont="1" applyFill="1" applyAlignment="1">
      <alignment horizontal="right"/>
    </xf>
    <xf numFmtId="165" fontId="0" fillId="14" borderId="0" xfId="0" applyNumberFormat="1" applyFill="1"/>
    <xf numFmtId="0" fontId="2" fillId="14" borderId="0" xfId="0" applyFont="1" applyFill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4" borderId="0" xfId="0" applyFill="1" applyBorder="1"/>
    <xf numFmtId="0" fontId="2" fillId="15" borderId="0" xfId="0" applyFont="1" applyFill="1"/>
    <xf numFmtId="15" fontId="0" fillId="15" borderId="0" xfId="0" applyNumberFormat="1" applyFill="1"/>
    <xf numFmtId="0" fontId="0" fillId="15" borderId="0" xfId="0" applyFill="1"/>
    <xf numFmtId="0" fontId="2" fillId="16" borderId="0" xfId="0" applyFont="1" applyFill="1"/>
    <xf numFmtId="0" fontId="0" fillId="16" borderId="0" xfId="0" applyFill="1"/>
    <xf numFmtId="15" fontId="0" fillId="16" borderId="0" xfId="0" applyNumberFormat="1" applyFill="1"/>
    <xf numFmtId="164" fontId="0" fillId="16" borderId="0" xfId="0" applyNumberFormat="1" applyFill="1"/>
    <xf numFmtId="2" fontId="0" fillId="16" borderId="0" xfId="0" applyNumberFormat="1" applyFill="1"/>
    <xf numFmtId="164" fontId="0" fillId="11" borderId="0" xfId="0" applyNumberFormat="1" applyFill="1"/>
    <xf numFmtId="167" fontId="0" fillId="11" borderId="1" xfId="0" applyNumberFormat="1" applyFill="1" applyBorder="1"/>
    <xf numFmtId="167" fontId="0" fillId="11" borderId="0" xfId="0" applyNumberFormat="1" applyFill="1"/>
    <xf numFmtId="164" fontId="2" fillId="11" borderId="0" xfId="0" applyNumberFormat="1" applyFont="1" applyFill="1"/>
    <xf numFmtId="0" fontId="0" fillId="11" borderId="0" xfId="0" applyFill="1"/>
    <xf numFmtId="0" fontId="2" fillId="11" borderId="0" xfId="0" applyFont="1" applyFill="1"/>
    <xf numFmtId="0" fontId="26" fillId="0" borderId="0" xfId="0" applyFont="1"/>
    <xf numFmtId="165" fontId="0" fillId="17" borderId="0" xfId="0" applyNumberFormat="1" applyFill="1" applyBorder="1" applyAlignment="1">
      <alignment horizontal="left" vertical="center"/>
    </xf>
    <xf numFmtId="0" fontId="0" fillId="17" borderId="0" xfId="0" applyFill="1"/>
    <xf numFmtId="0" fontId="26" fillId="11" borderId="0" xfId="0" applyFont="1" applyFill="1"/>
    <xf numFmtId="2" fontId="0" fillId="0" borderId="3" xfId="0" applyNumberFormat="1" applyBorder="1"/>
    <xf numFmtId="2" fontId="0" fillId="0" borderId="8" xfId="0" applyNumberFormat="1" applyBorder="1"/>
    <xf numFmtId="0" fontId="2" fillId="0" borderId="13" xfId="0" applyFont="1" applyBorder="1" applyAlignment="1">
      <alignment horizontal="center"/>
    </xf>
    <xf numFmtId="2" fontId="0" fillId="2" borderId="6" xfId="0" applyNumberFormat="1" applyFill="1" applyBorder="1"/>
    <xf numFmtId="0" fontId="25" fillId="2" borderId="0" xfId="0" applyFont="1" applyFill="1"/>
    <xf numFmtId="164" fontId="3" fillId="0" borderId="12" xfId="0" applyNumberFormat="1" applyFont="1" applyBorder="1" applyAlignment="1">
      <alignment horizontal="center" vertical="center" wrapText="1"/>
    </xf>
    <xf numFmtId="0" fontId="0" fillId="18" borderId="0" xfId="0" applyFill="1"/>
    <xf numFmtId="165" fontId="3" fillId="18" borderId="0" xfId="0" applyNumberFormat="1" applyFont="1" applyFill="1" applyBorder="1" applyAlignment="1">
      <alignment horizontal="left" vertical="center"/>
    </xf>
    <xf numFmtId="167" fontId="0" fillId="13" borderId="0" xfId="0" applyNumberFormat="1" applyFill="1"/>
    <xf numFmtId="167" fontId="0" fillId="16" borderId="0" xfId="0" applyNumberFormat="1" applyFill="1"/>
    <xf numFmtId="165" fontId="0" fillId="10" borderId="0" xfId="0" applyNumberFormat="1" applyFill="1" applyBorder="1" applyAlignment="1">
      <alignment horizontal="left" vertical="center"/>
    </xf>
    <xf numFmtId="167" fontId="0" fillId="11" borderId="0" xfId="0" applyNumberFormat="1" applyFill="1" applyBorder="1"/>
    <xf numFmtId="0" fontId="3" fillId="0" borderId="7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168" fontId="3" fillId="0" borderId="2" xfId="0" applyNumberFormat="1" applyFont="1" applyFill="1" applyBorder="1" applyAlignment="1">
      <alignment horizontal="left"/>
    </xf>
    <xf numFmtId="164" fontId="3" fillId="0" borderId="2" xfId="0" applyNumberFormat="1" applyFont="1" applyFill="1" applyBorder="1" applyAlignment="1">
      <alignment horizontal="left"/>
    </xf>
    <xf numFmtId="169" fontId="3" fillId="0" borderId="7" xfId="0" applyNumberFormat="1" applyFont="1" applyBorder="1" applyAlignment="1">
      <alignment horizontal="left"/>
    </xf>
    <xf numFmtId="164" fontId="3" fillId="0" borderId="3" xfId="0" applyNumberFormat="1" applyFont="1" applyBorder="1" applyAlignment="1">
      <alignment horizontal="left"/>
    </xf>
    <xf numFmtId="165" fontId="3" fillId="0" borderId="3" xfId="0" applyNumberFormat="1" applyFont="1" applyFill="1" applyBorder="1" applyAlignment="1">
      <alignment horizontal="center"/>
    </xf>
    <xf numFmtId="165" fontId="3" fillId="0" borderId="12" xfId="0" applyNumberFormat="1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68" fontId="3" fillId="0" borderId="1" xfId="0" applyNumberFormat="1" applyFont="1" applyFill="1" applyBorder="1" applyAlignment="1">
      <alignment horizontal="left"/>
    </xf>
    <xf numFmtId="164" fontId="3" fillId="0" borderId="1" xfId="0" applyNumberFormat="1" applyFont="1" applyFill="1" applyBorder="1" applyAlignment="1">
      <alignment horizontal="left"/>
    </xf>
    <xf numFmtId="0" fontId="3" fillId="0" borderId="12" xfId="0" applyFont="1" applyBorder="1" applyAlignment="1">
      <alignment horizontal="left"/>
    </xf>
    <xf numFmtId="164" fontId="3" fillId="0" borderId="8" xfId="0" applyNumberFormat="1" applyFont="1" applyBorder="1" applyAlignment="1">
      <alignment horizontal="left"/>
    </xf>
    <xf numFmtId="165" fontId="3" fillId="0" borderId="8" xfId="0" applyNumberFormat="1" applyFont="1" applyFill="1" applyBorder="1" applyAlignment="1">
      <alignment horizontal="center"/>
    </xf>
    <xf numFmtId="167" fontId="3" fillId="0" borderId="1" xfId="0" applyNumberFormat="1" applyFont="1" applyFill="1" applyBorder="1" applyAlignment="1">
      <alignment horizontal="left"/>
    </xf>
    <xf numFmtId="167" fontId="3" fillId="0" borderId="8" xfId="0" applyNumberFormat="1" applyFont="1" applyBorder="1" applyAlignment="1">
      <alignment horizontal="left"/>
    </xf>
    <xf numFmtId="169" fontId="3" fillId="0" borderId="1" xfId="0" applyNumberFormat="1" applyFont="1" applyFill="1" applyBorder="1" applyAlignment="1">
      <alignment horizontal="left"/>
    </xf>
    <xf numFmtId="166" fontId="3" fillId="0" borderId="1" xfId="0" applyNumberFormat="1" applyFont="1" applyFill="1" applyBorder="1" applyAlignment="1">
      <alignment horizontal="left"/>
    </xf>
    <xf numFmtId="166" fontId="3" fillId="0" borderId="8" xfId="0" applyNumberFormat="1" applyFont="1" applyBorder="1" applyAlignment="1">
      <alignment horizontal="left"/>
    </xf>
    <xf numFmtId="165" fontId="3" fillId="0" borderId="12" xfId="0" applyNumberFormat="1" applyFont="1" applyFill="1" applyBorder="1" applyAlignment="1">
      <alignment horizontal="center"/>
    </xf>
    <xf numFmtId="167" fontId="3" fillId="0" borderId="10" xfId="0" applyNumberFormat="1" applyFont="1" applyFill="1" applyBorder="1" applyAlignment="1">
      <alignment horizontal="center"/>
    </xf>
    <xf numFmtId="2" fontId="3" fillId="0" borderId="10" xfId="0" applyNumberFormat="1" applyFont="1" applyFill="1" applyBorder="1" applyAlignment="1">
      <alignment horizontal="center"/>
    </xf>
    <xf numFmtId="0" fontId="3" fillId="0" borderId="13" xfId="0" applyFont="1" applyBorder="1"/>
    <xf numFmtId="0" fontId="3" fillId="0" borderId="11" xfId="0" applyFont="1" applyBorder="1"/>
    <xf numFmtId="165" fontId="3" fillId="0" borderId="13" xfId="0" applyNumberFormat="1" applyFont="1" applyFill="1" applyBorder="1"/>
    <xf numFmtId="11" fontId="0" fillId="0" borderId="0" xfId="0" applyNumberFormat="1"/>
    <xf numFmtId="0" fontId="22" fillId="0" borderId="0" xfId="0" applyFont="1" applyFill="1"/>
    <xf numFmtId="0" fontId="22" fillId="0" borderId="0" xfId="0" applyFont="1"/>
    <xf numFmtId="0" fontId="3" fillId="0" borderId="3" xfId="0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167" fontId="3" fillId="0" borderId="7" xfId="0" applyNumberFormat="1" applyFont="1" applyFill="1" applyBorder="1" applyAlignment="1">
      <alignment horizontal="center"/>
    </xf>
    <xf numFmtId="167" fontId="3" fillId="0" borderId="8" xfId="0" applyNumberFormat="1" applyFont="1" applyFill="1" applyBorder="1" applyAlignment="1">
      <alignment horizontal="center"/>
    </xf>
    <xf numFmtId="165" fontId="3" fillId="0" borderId="7" xfId="0" applyNumberFormat="1" applyFont="1" applyFill="1" applyBorder="1" applyAlignment="1">
      <alignment horizontal="center"/>
    </xf>
    <xf numFmtId="167" fontId="22" fillId="0" borderId="0" xfId="0" applyNumberFormat="1" applyFont="1" applyFill="1"/>
    <xf numFmtId="167" fontId="3" fillId="0" borderId="12" xfId="0" applyNumberFormat="1" applyFont="1" applyFill="1" applyBorder="1" applyAlignment="1">
      <alignment horizontal="center"/>
    </xf>
    <xf numFmtId="167" fontId="2" fillId="0" borderId="5" xfId="0" applyNumberFormat="1" applyFont="1" applyFill="1" applyBorder="1"/>
    <xf numFmtId="167" fontId="22" fillId="0" borderId="35" xfId="0" applyNumberFormat="1" applyFont="1" applyFill="1" applyBorder="1"/>
    <xf numFmtId="0" fontId="22" fillId="0" borderId="6" xfId="0" applyFont="1" applyBorder="1"/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67" fontId="3" fillId="0" borderId="13" xfId="0" applyNumberFormat="1" applyFont="1" applyFill="1" applyBorder="1" applyAlignment="1">
      <alignment horizontal="center"/>
    </xf>
    <xf numFmtId="0" fontId="3" fillId="0" borderId="13" xfId="0" applyFont="1" applyFill="1" applyBorder="1"/>
    <xf numFmtId="0" fontId="3" fillId="0" borderId="11" xfId="0" applyFont="1" applyFill="1" applyBorder="1"/>
    <xf numFmtId="165" fontId="3" fillId="0" borderId="13" xfId="0" applyNumberFormat="1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3" fillId="0" borderId="6" xfId="0" applyFont="1" applyFill="1" applyBorder="1"/>
    <xf numFmtId="2" fontId="3" fillId="0" borderId="12" xfId="0" applyNumberFormat="1" applyFont="1" applyFill="1" applyBorder="1" applyAlignment="1">
      <alignment horizontal="center"/>
    </xf>
    <xf numFmtId="2" fontId="3" fillId="0" borderId="8" xfId="0" applyNumberFormat="1" applyFont="1" applyFill="1" applyBorder="1" applyAlignment="1">
      <alignment horizontal="center"/>
    </xf>
    <xf numFmtId="2" fontId="22" fillId="0" borderId="0" xfId="0" applyNumberFormat="1" applyFont="1" applyFill="1"/>
    <xf numFmtId="164" fontId="3" fillId="0" borderId="12" xfId="0" applyNumberFormat="1" applyFont="1" applyFill="1" applyBorder="1" applyAlignment="1">
      <alignment horizontal="center"/>
    </xf>
    <xf numFmtId="164" fontId="3" fillId="0" borderId="8" xfId="0" applyNumberFormat="1" applyFont="1" applyFill="1" applyBorder="1" applyAlignment="1">
      <alignment horizontal="center"/>
    </xf>
    <xf numFmtId="2" fontId="22" fillId="0" borderId="35" xfId="0" applyNumberFormat="1" applyFont="1" applyFill="1" applyBorder="1"/>
    <xf numFmtId="2" fontId="3" fillId="0" borderId="13" xfId="0" applyNumberFormat="1" applyFont="1" applyFill="1" applyBorder="1" applyAlignment="1">
      <alignment horizontal="center"/>
    </xf>
    <xf numFmtId="2" fontId="3" fillId="0" borderId="11" xfId="0" applyNumberFormat="1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2" fontId="22" fillId="0" borderId="0" xfId="0" applyNumberFormat="1" applyFont="1" applyBorder="1" applyAlignment="1">
      <alignment horizontal="center"/>
    </xf>
    <xf numFmtId="0" fontId="3" fillId="0" borderId="4" xfId="0" applyFont="1" applyFill="1" applyBorder="1"/>
    <xf numFmtId="0" fontId="3" fillId="0" borderId="3" xfId="0" applyFont="1" applyFill="1" applyBorder="1"/>
    <xf numFmtId="0" fontId="2" fillId="0" borderId="10" xfId="0" applyFont="1" applyFill="1" applyBorder="1"/>
    <xf numFmtId="0" fontId="3" fillId="0" borderId="9" xfId="0" applyFont="1" applyFill="1" applyBorder="1"/>
    <xf numFmtId="0" fontId="3" fillId="0" borderId="11" xfId="0" applyFont="1" applyBorder="1" applyAlignment="1">
      <alignment horizontal="center"/>
    </xf>
    <xf numFmtId="0" fontId="3" fillId="0" borderId="0" xfId="0" applyFont="1" applyFill="1" applyBorder="1"/>
    <xf numFmtId="0" fontId="3" fillId="0" borderId="8" xfId="0" applyFont="1" applyFill="1" applyBorder="1"/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" fontId="3" fillId="0" borderId="12" xfId="0" applyNumberFormat="1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7" xfId="0" applyNumberFormat="1" applyFont="1" applyFill="1" applyBorder="1" applyAlignment="1">
      <alignment horizontal="center"/>
    </xf>
    <xf numFmtId="0" fontId="3" fillId="0" borderId="10" xfId="0" applyFont="1" applyFill="1" applyBorder="1"/>
    <xf numFmtId="167" fontId="3" fillId="0" borderId="0" xfId="0" applyNumberFormat="1" applyFont="1" applyFill="1" applyBorder="1" applyAlignment="1">
      <alignment horizontal="center"/>
    </xf>
    <xf numFmtId="167" fontId="3" fillId="0" borderId="3" xfId="0" applyNumberFormat="1" applyFont="1" applyFill="1" applyBorder="1" applyAlignment="1">
      <alignment horizontal="center"/>
    </xf>
    <xf numFmtId="0" fontId="0" fillId="19" borderId="0" xfId="0" applyFill="1"/>
    <xf numFmtId="0" fontId="3" fillId="19" borderId="0" xfId="0" applyFont="1" applyFill="1"/>
    <xf numFmtId="2" fontId="0" fillId="19" borderId="0" xfId="0" applyNumberFormat="1" applyFill="1"/>
    <xf numFmtId="2" fontId="23" fillId="19" borderId="0" xfId="0" applyNumberFormat="1" applyFont="1" applyFill="1"/>
    <xf numFmtId="0" fontId="23" fillId="19" borderId="0" xfId="0" applyFont="1" applyFill="1"/>
    <xf numFmtId="169" fontId="0" fillId="19" borderId="0" xfId="0" applyNumberFormat="1" applyFill="1"/>
    <xf numFmtId="166" fontId="0" fillId="19" borderId="0" xfId="0" applyNumberFormat="1" applyFill="1"/>
    <xf numFmtId="169" fontId="2" fillId="19" borderId="0" xfId="0" applyNumberFormat="1" applyFont="1" applyFill="1"/>
    <xf numFmtId="166" fontId="2" fillId="19" borderId="0" xfId="0" applyNumberFormat="1" applyFont="1" applyFill="1"/>
    <xf numFmtId="164" fontId="23" fillId="19" borderId="0" xfId="0" applyNumberFormat="1" applyFont="1" applyFill="1"/>
    <xf numFmtId="167" fontId="0" fillId="20" borderId="0" xfId="0" applyNumberFormat="1" applyFill="1"/>
    <xf numFmtId="167" fontId="0" fillId="21" borderId="0" xfId="0" applyNumberFormat="1" applyFill="1"/>
    <xf numFmtId="167" fontId="0" fillId="22" borderId="0" xfId="0" applyNumberFormat="1" applyFill="1"/>
    <xf numFmtId="0" fontId="0" fillId="22" borderId="0" xfId="0" applyFill="1"/>
    <xf numFmtId="167" fontId="0" fillId="23" borderId="0" xfId="0" applyNumberFormat="1" applyFill="1"/>
    <xf numFmtId="166" fontId="24" fillId="19" borderId="0" xfId="0" applyNumberFormat="1" applyFont="1" applyFill="1"/>
    <xf numFmtId="169" fontId="0" fillId="8" borderId="0" xfId="0" applyNumberFormat="1" applyFill="1"/>
    <xf numFmtId="168" fontId="0" fillId="8" borderId="0" xfId="0" applyNumberFormat="1" applyFill="1"/>
    <xf numFmtId="168" fontId="2" fillId="19" borderId="0" xfId="0" applyNumberFormat="1" applyFont="1" applyFill="1"/>
    <xf numFmtId="171" fontId="2" fillId="19" borderId="0" xfId="0" applyNumberFormat="1" applyFont="1" applyFill="1"/>
    <xf numFmtId="0" fontId="2" fillId="0" borderId="0" xfId="0" applyFont="1" applyAlignment="1">
      <alignment horizontal="center"/>
    </xf>
    <xf numFmtId="0" fontId="2" fillId="12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35" xfId="0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0" fillId="10" borderId="37" xfId="0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165" fontId="0" fillId="0" borderId="2" xfId="0" applyNumberFormat="1" applyFill="1" applyBorder="1" applyAlignment="1">
      <alignment horizontal="center" vertical="center" wrapText="1"/>
    </xf>
    <xf numFmtId="165" fontId="0" fillId="0" borderId="3" xfId="0" applyNumberFormat="1" applyFill="1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 wrapText="1"/>
    </xf>
    <xf numFmtId="165" fontId="0" fillId="0" borderId="3" xfId="0" applyNumberFormat="1" applyBorder="1" applyAlignment="1">
      <alignment horizontal="center" vertical="center" wrapText="1"/>
    </xf>
    <xf numFmtId="0" fontId="2" fillId="0" borderId="5" xfId="0" applyFont="1" applyFill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5" xfId="0" applyFont="1" applyFill="1" applyBorder="1" applyAlignment="1">
      <alignment horizontal="center"/>
    </xf>
    <xf numFmtId="0" fontId="3" fillId="0" borderId="6" xfId="0" applyFont="1" applyBorder="1" applyAlignment="1"/>
    <xf numFmtId="0" fontId="2" fillId="0" borderId="5" xfId="0" applyFont="1" applyFill="1" applyBorder="1" applyAlignment="1">
      <alignment horizontal="left" wrapText="1"/>
    </xf>
    <xf numFmtId="0" fontId="2" fillId="0" borderId="35" xfId="0" applyFont="1" applyFill="1" applyBorder="1" applyAlignment="1">
      <alignment horizontal="left" wrapText="1"/>
    </xf>
    <xf numFmtId="0" fontId="2" fillId="7" borderId="5" xfId="0" applyFont="1" applyFill="1" applyBorder="1" applyAlignment="1">
      <alignment horizontal="center" wrapText="1"/>
    </xf>
    <xf numFmtId="0" fontId="2" fillId="7" borderId="35" xfId="0" applyFont="1" applyFill="1" applyBorder="1" applyAlignment="1">
      <alignment horizontal="center" wrapText="1"/>
    </xf>
    <xf numFmtId="0" fontId="2" fillId="7" borderId="6" xfId="0" applyFont="1" applyFill="1" applyBorder="1" applyAlignment="1">
      <alignment horizontal="center" wrapText="1"/>
    </xf>
    <xf numFmtId="0" fontId="2" fillId="3" borderId="31" xfId="0" applyFont="1" applyFill="1" applyBorder="1" applyAlignment="1">
      <alignment horizontal="center" wrapText="1"/>
    </xf>
    <xf numFmtId="0" fontId="2" fillId="3" borderId="35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0" fontId="2" fillId="6" borderId="31" xfId="0" applyFont="1" applyFill="1" applyBorder="1" applyAlignment="1">
      <alignment horizontal="center" vertical="center" wrapText="1"/>
    </xf>
    <xf numFmtId="0" fontId="2" fillId="6" borderId="3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2" xfId="0" applyFont="1" applyFill="1" applyBorder="1" applyAlignment="1"/>
    <xf numFmtId="0" fontId="3" fillId="0" borderId="3" xfId="0" applyFont="1" applyFill="1" applyBorder="1" applyAlignment="1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'5 A data'!$D$243:$D$249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data'!$R$243:$R$249</c:f>
              <c:numCache>
                <c:formatCode>0.000</c:formatCode>
                <c:ptCount val="7"/>
                <c:pt idx="0">
                  <c:v>-0.23271056693257464</c:v>
                </c:pt>
                <c:pt idx="1">
                  <c:v>-0.17453292519943431</c:v>
                </c:pt>
                <c:pt idx="2">
                  <c:v>-0.11635528346628843</c:v>
                </c:pt>
                <c:pt idx="3">
                  <c:v>-8.7266462599717709E-2</c:v>
                </c:pt>
                <c:pt idx="4">
                  <c:v>-2.908882086657294E-2</c:v>
                </c:pt>
                <c:pt idx="5">
                  <c:v>-2.908882086657294E-2</c:v>
                </c:pt>
                <c:pt idx="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37088"/>
        <c:axId val="193738624"/>
      </c:scatterChart>
      <c:valAx>
        <c:axId val="19373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738624"/>
        <c:crosses val="autoZero"/>
        <c:crossBetween val="midCat"/>
      </c:valAx>
      <c:valAx>
        <c:axId val="1937386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737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38830897703545"/>
          <c:y val="0.46666822202780206"/>
          <c:w val="0.11899791231732781"/>
          <c:h val="8.148187032176529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'5 A data'!$I$8:$I$14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data'!$M$8:$M$14</c:f>
              <c:numCache>
                <c:formatCode>0.0000</c:formatCode>
                <c:ptCount val="7"/>
                <c:pt idx="0">
                  <c:v>-6.0000000000000053E-3</c:v>
                </c:pt>
                <c:pt idx="1">
                  <c:v>-4.0000000000000036E-3</c:v>
                </c:pt>
                <c:pt idx="2">
                  <c:v>-2.0000000000000018E-3</c:v>
                </c:pt>
                <c:pt idx="3">
                  <c:v>0</c:v>
                </c:pt>
                <c:pt idx="4">
                  <c:v>-2.0000000000000018E-3</c:v>
                </c:pt>
                <c:pt idx="5">
                  <c:v>-3.999999999999948E-3</c:v>
                </c:pt>
                <c:pt idx="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62816"/>
        <c:axId val="193764352"/>
      </c:scatterChart>
      <c:valAx>
        <c:axId val="1937628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764352"/>
        <c:crosses val="autoZero"/>
        <c:crossBetween val="midCat"/>
      </c:valAx>
      <c:valAx>
        <c:axId val="193764352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93762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012515465539563"/>
          <c:y val="0.44326377952755902"/>
          <c:w val="0.12734850922926189"/>
          <c:h val="8.510695538057744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24815724815724"/>
          <c:y val="0.1059322033898305"/>
          <c:w val="0.7960687960687961"/>
          <c:h val="0.72033898305084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Tables'!$D$6:$D$12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Tables'!$E$6:$E$12</c:f>
              <c:numCache>
                <c:formatCode>0.000</c:formatCode>
                <c:ptCount val="7"/>
                <c:pt idx="0">
                  <c:v>-0.68153155559925072</c:v>
                </c:pt>
                <c:pt idx="1">
                  <c:v>-0.60358303746751041</c:v>
                </c:pt>
                <c:pt idx="2">
                  <c:v>-0.54762188974690429</c:v>
                </c:pt>
                <c:pt idx="3">
                  <c:v>-0.50165708354093086</c:v>
                </c:pt>
                <c:pt idx="4">
                  <c:v>-0.49166665644203494</c:v>
                </c:pt>
                <c:pt idx="5">
                  <c:v>-0.46968565514325344</c:v>
                </c:pt>
                <c:pt idx="6">
                  <c:v>-0.45769491804606277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Tables'!$D$6:$D$12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Tables'!$F$6:$F$12</c:f>
              <c:numCache>
                <c:formatCode>0.000</c:formatCode>
                <c:ptCount val="7"/>
                <c:pt idx="0">
                  <c:v>1.0426156429734734</c:v>
                </c:pt>
                <c:pt idx="1">
                  <c:v>0.89699749614666746</c:v>
                </c:pt>
                <c:pt idx="2">
                  <c:v>0.78633124077220728</c:v>
                </c:pt>
                <c:pt idx="3">
                  <c:v>0.70187512178665656</c:v>
                </c:pt>
                <c:pt idx="4">
                  <c:v>0.63489154610113918</c:v>
                </c:pt>
                <c:pt idx="5">
                  <c:v>0.52422515337128717</c:v>
                </c:pt>
                <c:pt idx="6">
                  <c:v>0.483452887687983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67360"/>
        <c:axId val="200798208"/>
      </c:scatterChart>
      <c:valAx>
        <c:axId val="2007673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98208"/>
        <c:crosses val="autoZero"/>
        <c:crossBetween val="midCat"/>
      </c:valAx>
      <c:valAx>
        <c:axId val="200798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67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63565756289635"/>
          <c:y val="9.6525278499936848E-2"/>
          <c:w val="0.78571523066506155"/>
          <c:h val="0.74517515001951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Tables'!$D$14:$D$21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Tables'!$E$14:$E$21</c:f>
              <c:numCache>
                <c:formatCode>0.000</c:formatCode>
                <c:ptCount val="8"/>
                <c:pt idx="0">
                  <c:v>-0.22182269004984476</c:v>
                </c:pt>
                <c:pt idx="1">
                  <c:v>-0.18185012168088152</c:v>
                </c:pt>
                <c:pt idx="2">
                  <c:v>-0.15287188563382736</c:v>
                </c:pt>
                <c:pt idx="3">
                  <c:v>-0.1368880923984675</c:v>
                </c:pt>
                <c:pt idx="4">
                  <c:v>-0.12889639949761247</c:v>
                </c:pt>
                <c:pt idx="5">
                  <c:v>-0.12090653758511721</c:v>
                </c:pt>
                <c:pt idx="6">
                  <c:v>-0.11890947147813105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Tables'!$D$14:$D$21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Tables'!$F$14:$F$21</c:f>
              <c:numCache>
                <c:formatCode>0.000</c:formatCode>
                <c:ptCount val="8"/>
                <c:pt idx="0">
                  <c:v>0.38443107902044549</c:v>
                </c:pt>
                <c:pt idx="1">
                  <c:v>0.29414703270296477</c:v>
                </c:pt>
                <c:pt idx="2">
                  <c:v>0.2344463962186725</c:v>
                </c:pt>
                <c:pt idx="3">
                  <c:v>0.20386821720272824</c:v>
                </c:pt>
                <c:pt idx="4">
                  <c:v>0.1893064209470979</c:v>
                </c:pt>
                <c:pt idx="5">
                  <c:v>0.17474662383870593</c:v>
                </c:pt>
                <c:pt idx="6">
                  <c:v>0.16892221110865976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36192"/>
        <c:axId val="195921408"/>
      </c:scatterChart>
      <c:valAx>
        <c:axId val="19493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921408"/>
        <c:crosses val="autoZero"/>
        <c:crossBetween val="midCat"/>
      </c:valAx>
      <c:valAx>
        <c:axId val="195921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936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0912541815947"/>
          <c:y val="0.10822556575337254"/>
          <c:w val="0.7940456270907974"/>
          <c:h val="0.714288733972258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Tables'!$D$26:$D$32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Tables'!$E$26:$E$32</c:f>
              <c:numCache>
                <c:formatCode>0.000</c:formatCode>
                <c:ptCount val="7"/>
                <c:pt idx="0">
                  <c:v>-0.67953282140120985</c:v>
                </c:pt>
                <c:pt idx="1">
                  <c:v>-0.60358303746751041</c:v>
                </c:pt>
                <c:pt idx="2">
                  <c:v>-0.54762188974690429</c:v>
                </c:pt>
                <c:pt idx="3">
                  <c:v>-0.50165708354093086</c:v>
                </c:pt>
                <c:pt idx="4">
                  <c:v>-0.49166665644203494</c:v>
                </c:pt>
                <c:pt idx="5">
                  <c:v>-0.46968565514325344</c:v>
                </c:pt>
                <c:pt idx="6">
                  <c:v>-0.45869428514508326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Tables'!$D$26:$D$32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Tables'!$F$26:$F$32</c:f>
              <c:numCache>
                <c:formatCode>0.000</c:formatCode>
                <c:ptCount val="7"/>
                <c:pt idx="0">
                  <c:v>1.0426156429734734</c:v>
                </c:pt>
                <c:pt idx="1">
                  <c:v>0.89699749614666746</c:v>
                </c:pt>
                <c:pt idx="2">
                  <c:v>0.78633124077220728</c:v>
                </c:pt>
                <c:pt idx="3">
                  <c:v>0.70187512178665656</c:v>
                </c:pt>
                <c:pt idx="4">
                  <c:v>0.63489154610113918</c:v>
                </c:pt>
                <c:pt idx="5">
                  <c:v>0.52713747445072545</c:v>
                </c:pt>
                <c:pt idx="6">
                  <c:v>0.483452887687983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79072"/>
        <c:axId val="196180992"/>
      </c:scatterChart>
      <c:valAx>
        <c:axId val="1961790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180992"/>
        <c:crosses val="autoZero"/>
        <c:crossBetween val="midCat"/>
      </c:valAx>
      <c:valAx>
        <c:axId val="196180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179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13861386138615"/>
          <c:y val="0.1122451775878348"/>
          <c:w val="0.80940594059405946"/>
          <c:h val="0.7193895472674866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Tables'!$D$34:$D$40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Tables'!$E$34:$E$40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Tables'!$D$34:$D$40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Tables'!$F$34:$F$40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89184"/>
        <c:axId val="196207744"/>
      </c:scatterChart>
      <c:valAx>
        <c:axId val="19618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207744"/>
        <c:crosses val="autoZero"/>
        <c:crossBetween val="midCat"/>
      </c:valAx>
      <c:valAx>
        <c:axId val="196207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1891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21298699949483"/>
          <c:y val="0.11961722488038277"/>
          <c:w val="0.77925633110706227"/>
          <c:h val="0.6842105263157894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Tables'!$D$46:$D$52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Tables'!$E$46:$E$52</c:f>
              <c:numCache>
                <c:formatCode>0.000</c:formatCode>
                <c:ptCount val="7"/>
                <c:pt idx="0">
                  <c:v>-0.77547206290717274</c:v>
                </c:pt>
                <c:pt idx="1">
                  <c:v>-0.68952860798326887</c:v>
                </c:pt>
                <c:pt idx="2">
                  <c:v>-0.62357378927245821</c:v>
                </c:pt>
                <c:pt idx="3">
                  <c:v>-0.57760898306648478</c:v>
                </c:pt>
                <c:pt idx="4">
                  <c:v>-0.56162235337346633</c:v>
                </c:pt>
                <c:pt idx="5">
                  <c:v>-0.53564388367860305</c:v>
                </c:pt>
                <c:pt idx="6">
                  <c:v>-0.51965567818533065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Tables'!$D$46:$D$52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Tables'!$F$46:$F$52</c:f>
              <c:numCache>
                <c:formatCode>0.000</c:formatCode>
                <c:ptCount val="7"/>
                <c:pt idx="0">
                  <c:v>1.1707577704687537</c:v>
                </c:pt>
                <c:pt idx="1">
                  <c:v>1.00475337608588</c:v>
                </c:pt>
                <c:pt idx="2">
                  <c:v>0.89117479963198143</c:v>
                </c:pt>
                <c:pt idx="3">
                  <c:v>0.78633243309036394</c:v>
                </c:pt>
                <c:pt idx="4">
                  <c:v>0.70478725200765535</c:v>
                </c:pt>
                <c:pt idx="5">
                  <c:v>0.56499764848342171</c:v>
                </c:pt>
                <c:pt idx="6">
                  <c:v>0.51840074064124109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52800"/>
        <c:axId val="203454720"/>
      </c:scatterChart>
      <c:valAx>
        <c:axId val="2034528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54720"/>
        <c:crosses val="autoZero"/>
        <c:crossBetween val="midCat"/>
      </c:valAx>
      <c:valAx>
        <c:axId val="203454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52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7219907705016"/>
          <c:y val="0.11574126402119513"/>
          <c:w val="0.75630458985630544"/>
          <c:h val="0.6944475841271706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Tables'!$D$54:$D$60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Tables'!$E$54:$E$60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Tables'!$D$54:$D$60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Tables'!$F$54:$F$60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74432"/>
        <c:axId val="203476352"/>
      </c:scatterChart>
      <c:valAx>
        <c:axId val="20347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76352"/>
        <c:crosses val="autoZero"/>
        <c:crossBetween val="midCat"/>
      </c:valAx>
      <c:valAx>
        <c:axId val="203476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47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22953091819995"/>
          <c:y val="0.11282107782991702"/>
          <c:w val="0.80989789301018522"/>
          <c:h val="0.717952313463108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Tables'!$D$66:$D$72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Tables'!$E$66:$E$72</c:f>
              <c:numCache>
                <c:formatCode>0.000</c:formatCode>
                <c:ptCount val="7"/>
                <c:pt idx="0">
                  <c:v>-0.59958345347957398</c:v>
                </c:pt>
                <c:pt idx="1">
                  <c:v>-0.52163493534783378</c:v>
                </c:pt>
                <c:pt idx="2">
                  <c:v>-0.47366872441939106</c:v>
                </c:pt>
                <c:pt idx="3">
                  <c:v>-0.43370012080754039</c:v>
                </c:pt>
                <c:pt idx="4">
                  <c:v>-0.41771349111452177</c:v>
                </c:pt>
                <c:pt idx="5">
                  <c:v>-0.40372742660790395</c:v>
                </c:pt>
                <c:pt idx="6">
                  <c:v>-0.39773289210483592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Tables'!$D$66:$D$72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Tables'!$F$66:$F$72</c:f>
              <c:numCache>
                <c:formatCode>0.000</c:formatCode>
                <c:ptCount val="7"/>
                <c:pt idx="0">
                  <c:v>0.92612279979594658</c:v>
                </c:pt>
                <c:pt idx="1">
                  <c:v>0.78632929512801697</c:v>
                </c:pt>
                <c:pt idx="2">
                  <c:v>0.68440000299187098</c:v>
                </c:pt>
                <c:pt idx="3">
                  <c:v>0.608680847244635</c:v>
                </c:pt>
                <c:pt idx="4">
                  <c:v>0.55917119803574655</c:v>
                </c:pt>
                <c:pt idx="5">
                  <c:v>0.47762801610027644</c:v>
                </c:pt>
                <c:pt idx="6">
                  <c:v>0.4426803925758484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12832"/>
        <c:axId val="203515008"/>
      </c:scatterChart>
      <c:valAx>
        <c:axId val="2035128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15008"/>
        <c:crosses val="autoZero"/>
        <c:crossBetween val="midCat"/>
      </c:valAx>
      <c:valAx>
        <c:axId val="203515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12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66709052299633"/>
          <c:y val="0.11061970802446597"/>
          <c:w val="0.77343946695827981"/>
          <c:h val="0.707966131356582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Tables'!$D$74:$D$80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Tables'!$E$74:$E$80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1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Tables'!$D$74:$D$80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Tables'!$F$74:$F$80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43296"/>
        <c:axId val="203545216"/>
      </c:scatterChart>
      <c:valAx>
        <c:axId val="20354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45216"/>
        <c:crosses val="autoZero"/>
        <c:crossBetween val="midCat"/>
      </c:valAx>
      <c:valAx>
        <c:axId val="20354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5432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61809341872962"/>
          <c:y val="0.10091743119266056"/>
          <c:w val="0.85618071473480817"/>
          <c:h val="0.7477064220183485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Tables'!$D$86:$D$92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Tables'!$E$86:$E$92</c:f>
              <c:numCache>
                <c:formatCode>0.000</c:formatCode>
                <c:ptCount val="7"/>
                <c:pt idx="0">
                  <c:v>-0.41969737565589338</c:v>
                </c:pt>
                <c:pt idx="1">
                  <c:v>-0.35973746530652123</c:v>
                </c:pt>
                <c:pt idx="2">
                  <c:v>-0.31976619117024219</c:v>
                </c:pt>
                <c:pt idx="3">
                  <c:v>-0.29079062564761637</c:v>
                </c:pt>
                <c:pt idx="4">
                  <c:v>-0.27580336305361824</c:v>
                </c:pt>
                <c:pt idx="5">
                  <c:v>-0.26381603274504128</c:v>
                </c:pt>
                <c:pt idx="6">
                  <c:v>-0.26081959953903461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Tables'!$D$86:$D$92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Tables'!$F$86:$F$92</c:f>
              <c:numCache>
                <c:formatCode>0.000</c:formatCode>
                <c:ptCount val="7"/>
                <c:pt idx="0">
                  <c:v>0.68440015020257783</c:v>
                </c:pt>
                <c:pt idx="1">
                  <c:v>0.54751896661408628</c:v>
                </c:pt>
                <c:pt idx="2">
                  <c:v>0.47180056419288391</c:v>
                </c:pt>
                <c:pt idx="3">
                  <c:v>0.41646765600171526</c:v>
                </c:pt>
                <c:pt idx="4">
                  <c:v>0.39025657542833214</c:v>
                </c:pt>
                <c:pt idx="5">
                  <c:v>0.35239820968443469</c:v>
                </c:pt>
                <c:pt idx="6">
                  <c:v>0.33492451263663592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16864"/>
        <c:axId val="203727232"/>
      </c:scatterChart>
      <c:valAx>
        <c:axId val="2037168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27232"/>
        <c:crosses val="autoZero"/>
        <c:crossBetween val="midCat"/>
      </c:valAx>
      <c:valAx>
        <c:axId val="203727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16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04787068763251"/>
          <c:y val="9.1667039660805916E-2"/>
          <c:w val="0.8333350948134276"/>
          <c:h val="0.770836469874958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Tables'!$D$94:$D$100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Tables'!$E$94:$E$100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Tables'!$D$94:$D$100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Tables'!$F$94:$F$100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47328"/>
        <c:axId val="203749248"/>
      </c:scatterChart>
      <c:valAx>
        <c:axId val="20374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49248"/>
        <c:crosses val="autoZero"/>
        <c:crossBetween val="midCat"/>
      </c:valAx>
      <c:valAx>
        <c:axId val="203749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47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066790352504632E-2"/>
          <c:y val="0.105"/>
          <c:w val="0.89424860853432286"/>
          <c:h val="0.7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Tables'!$D$106:$D$112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Tables'!$E$106:$E$112</c:f>
              <c:numCache>
                <c:formatCode>0.000</c:formatCode>
                <c:ptCount val="7"/>
                <c:pt idx="0">
                  <c:v>-0.3257568683479713</c:v>
                </c:pt>
                <c:pt idx="1">
                  <c:v>-0.27279252769174228</c:v>
                </c:pt>
                <c:pt idx="2">
                  <c:v>-0.23981682324860631</c:v>
                </c:pt>
                <c:pt idx="3">
                  <c:v>-0.21683746032010329</c:v>
                </c:pt>
                <c:pt idx="4">
                  <c:v>-0.20384893192414602</c:v>
                </c:pt>
                <c:pt idx="5">
                  <c:v>-0.19086223451654855</c:v>
                </c:pt>
                <c:pt idx="6">
                  <c:v>-0.1893648519590726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Tables'!$D$106:$D$112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Tables'!$F$106:$F$112</c:f>
              <c:numCache>
                <c:formatCode>0.000</c:formatCode>
                <c:ptCount val="7"/>
                <c:pt idx="0">
                  <c:v>0.53587177515123063</c:v>
                </c:pt>
                <c:pt idx="1">
                  <c:v>0.4252014812776827</c:v>
                </c:pt>
                <c:pt idx="2">
                  <c:v>0.36113236317423325</c:v>
                </c:pt>
                <c:pt idx="3">
                  <c:v>0.31162409714194078</c:v>
                </c:pt>
                <c:pt idx="4">
                  <c:v>0.29123765872743412</c:v>
                </c:pt>
                <c:pt idx="5">
                  <c:v>0.26502857730128943</c:v>
                </c:pt>
                <c:pt idx="6">
                  <c:v>0.25920416457124329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793920"/>
        <c:axId val="203795840"/>
      </c:scatterChart>
      <c:valAx>
        <c:axId val="203793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95840"/>
        <c:crosses val="autoZero"/>
        <c:crossBetween val="midCat"/>
      </c:valAx>
      <c:valAx>
        <c:axId val="203795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793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876233678439885E-2"/>
          <c:y val="0.10091743119266056"/>
          <c:w val="0.87615605879958514"/>
          <c:h val="0.7477064220183485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Tables'!$D$114:$D$120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Tables'!$E$114:$E$120</c:f>
              <c:numCache>
                <c:formatCode>0.000</c:formatCode>
                <c:ptCount val="7"/>
                <c:pt idx="0">
                  <c:v>-0.23181636104004924</c:v>
                </c:pt>
                <c:pt idx="1">
                  <c:v>-0.18484822297794287</c:v>
                </c:pt>
                <c:pt idx="2">
                  <c:v>-0.15686935402990917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-0.11940915502764127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Tables'!$D$114:$D$120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Tables'!$F$114:$F$120</c:f>
              <c:numCache>
                <c:formatCode>0.000</c:formatCode>
                <c:ptCount val="7"/>
                <c:pt idx="0">
                  <c:v>0.39608036333819824</c:v>
                </c:pt>
                <c:pt idx="1">
                  <c:v>0.29705935378240289</c:v>
                </c:pt>
                <c:pt idx="2">
                  <c:v>0.24172719891726796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0.17474662383870593</c:v>
                </c:pt>
                <c:pt idx="6">
                  <c:v>0.17183453218809797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51104"/>
        <c:axId val="203953280"/>
      </c:scatterChart>
      <c:valAx>
        <c:axId val="20395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53280"/>
        <c:crosses val="autoZero"/>
        <c:crossBetween val="midCat"/>
      </c:valAx>
      <c:valAx>
        <c:axId val="203953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511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23057605441165"/>
          <c:y val="9.1286492006151146E-2"/>
          <c:w val="0.86431305209638931"/>
          <c:h val="0.7717857960520051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Tables'!$D$126:$D$132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Tables'!$E$126:$E$132</c:f>
              <c:numCache>
                <c:formatCode>0.000</c:formatCode>
                <c:ptCount val="7"/>
                <c:pt idx="0">
                  <c:v>-0.99733155888971214</c:v>
                </c:pt>
                <c:pt idx="1">
                  <c:v>-0.88340582519323574</c:v>
                </c:pt>
                <c:pt idx="2">
                  <c:v>-0.78547125931377082</c:v>
                </c:pt>
                <c:pt idx="3">
                  <c:v>-0.70952544013718388</c:v>
                </c:pt>
                <c:pt idx="4">
                  <c:v>-0.67355146846375646</c:v>
                </c:pt>
                <c:pt idx="5">
                  <c:v>-0.61359451740219795</c:v>
                </c:pt>
                <c:pt idx="6">
                  <c:v>-0.58561390672068003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Tables'!$D$126:$D$132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Tables'!$F$126:$F$132</c:f>
              <c:numCache>
                <c:formatCode>0.000</c:formatCode>
                <c:ptCount val="7"/>
                <c:pt idx="0">
                  <c:v>0.40190500549707459</c:v>
                </c:pt>
                <c:pt idx="1">
                  <c:v>0.34365649105341384</c:v>
                </c:pt>
                <c:pt idx="2">
                  <c:v>0.27958737294996422</c:v>
                </c:pt>
                <c:pt idx="3">
                  <c:v>0.23590374907654818</c:v>
                </c:pt>
                <c:pt idx="4">
                  <c:v>0.20969266850316517</c:v>
                </c:pt>
                <c:pt idx="5">
                  <c:v>0.14562341304432413</c:v>
                </c:pt>
                <c:pt idx="6">
                  <c:v>0.12814971599652525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93856"/>
        <c:axId val="203995776"/>
      </c:scatterChart>
      <c:valAx>
        <c:axId val="203993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95776"/>
        <c:crosses val="autoZero"/>
        <c:crossBetween val="midCat"/>
      </c:valAx>
      <c:valAx>
        <c:axId val="203995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3993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037194439370733E-2"/>
          <c:y val="0.10280397288435694"/>
          <c:w val="0.87592750999622038"/>
          <c:h val="0.74299234948239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Tables'!$D$134:$D$140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Tables'!$E$134:$E$140</c:f>
              <c:numCache>
                <c:formatCode>0.000</c:formatCode>
                <c:ptCount val="7"/>
                <c:pt idx="0">
                  <c:v>-0.21982395585180386</c:v>
                </c:pt>
                <c:pt idx="1">
                  <c:v>-0.18284948877990198</c:v>
                </c:pt>
                <c:pt idx="2">
                  <c:v>-0.15586998693088872</c:v>
                </c:pt>
                <c:pt idx="3">
                  <c:v>-0.13788745949748793</c:v>
                </c:pt>
                <c:pt idx="4">
                  <c:v>-0.12989576659663293</c:v>
                </c:pt>
                <c:pt idx="5">
                  <c:v>-0.12090653758511721</c:v>
                </c:pt>
                <c:pt idx="6">
                  <c:v>-0.11890947147813105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Tables'!$D$134:$D$140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Tables'!$F$134:$F$140</c:f>
              <c:numCache>
                <c:formatCode>0.000</c:formatCode>
                <c:ptCount val="7"/>
                <c:pt idx="0">
                  <c:v>0.38151875794100737</c:v>
                </c:pt>
                <c:pt idx="1">
                  <c:v>0.29705935378240289</c:v>
                </c:pt>
                <c:pt idx="2">
                  <c:v>0.23590255675839156</c:v>
                </c:pt>
                <c:pt idx="3">
                  <c:v>0.20532437774244733</c:v>
                </c:pt>
                <c:pt idx="4">
                  <c:v>0.19076258148681702</c:v>
                </c:pt>
                <c:pt idx="5">
                  <c:v>0.17620278437842499</c:v>
                </c:pt>
                <c:pt idx="6">
                  <c:v>0.17183453218809797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59232"/>
        <c:axId val="204165504"/>
      </c:scatterChart>
      <c:valAx>
        <c:axId val="204159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65504"/>
        <c:crosses val="autoZero"/>
        <c:crossBetween val="midCat"/>
      </c:valAx>
      <c:valAx>
        <c:axId val="204165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59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73840445269017"/>
          <c:y val="8.5910941228190874E-2"/>
          <c:w val="0.84601113172541742"/>
          <c:h val="0.773198471053717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Tables'!$D$146:$D$152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Tables'!$E$146:$E$152</c:f>
              <c:numCache>
                <c:formatCode>0.000</c:formatCode>
                <c:ptCount val="7"/>
                <c:pt idx="0">
                  <c:v>-0.68153155559925072</c:v>
                </c:pt>
                <c:pt idx="1">
                  <c:v>-0.60358303746751041</c:v>
                </c:pt>
                <c:pt idx="2">
                  <c:v>-0.54562315554886331</c:v>
                </c:pt>
                <c:pt idx="3">
                  <c:v>-0.50165708354093086</c:v>
                </c:pt>
                <c:pt idx="4">
                  <c:v>-0.49166665644203494</c:v>
                </c:pt>
                <c:pt idx="5">
                  <c:v>-0.46968565514325344</c:v>
                </c:pt>
                <c:pt idx="6">
                  <c:v>-0.45869428514508326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Tables'!$D$146:$D$152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Tables'!$F$146:$F$152</c:f>
              <c:numCache>
                <c:formatCode>0.000</c:formatCode>
                <c:ptCount val="7"/>
                <c:pt idx="0">
                  <c:v>1.04844028513235</c:v>
                </c:pt>
                <c:pt idx="1">
                  <c:v>0.89117285398779111</c:v>
                </c:pt>
                <c:pt idx="2">
                  <c:v>0.78050659861333072</c:v>
                </c:pt>
                <c:pt idx="3">
                  <c:v>0.70187512178665656</c:v>
                </c:pt>
                <c:pt idx="4">
                  <c:v>0.63780386718057736</c:v>
                </c:pt>
                <c:pt idx="5">
                  <c:v>0.53004979553016363</c:v>
                </c:pt>
                <c:pt idx="6">
                  <c:v>0.483452887687983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85600"/>
        <c:axId val="204187520"/>
      </c:scatterChart>
      <c:valAx>
        <c:axId val="2041856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87520"/>
        <c:crosses val="autoZero"/>
        <c:crossBetween val="midCat"/>
      </c:valAx>
      <c:valAx>
        <c:axId val="204187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856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15142232747826E-2"/>
          <c:y val="9.6070073839370052E-2"/>
          <c:w val="0.8745334345253879"/>
          <c:h val="0.7598269476386539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Tables'!$D$154:$D$160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Tables'!$E$154:$E$160</c:f>
              <c:numCache>
                <c:formatCode>0.000</c:formatCode>
                <c:ptCount val="7"/>
                <c:pt idx="0">
                  <c:v>-0.22282205714886522</c:v>
                </c:pt>
                <c:pt idx="1">
                  <c:v>-0.18085075458186106</c:v>
                </c:pt>
                <c:pt idx="2">
                  <c:v>-0.15387125273284782</c:v>
                </c:pt>
                <c:pt idx="3">
                  <c:v>-0.13588872529944704</c:v>
                </c:pt>
                <c:pt idx="4">
                  <c:v>-0.12789703239859201</c:v>
                </c:pt>
                <c:pt idx="5">
                  <c:v>-0.11990717048609677</c:v>
                </c:pt>
                <c:pt idx="6">
                  <c:v>-0.11691073728009016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Tables'!$D$154:$D$160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Tables'!$F$154:$F$160</c:f>
              <c:numCache>
                <c:formatCode>0.000</c:formatCode>
                <c:ptCount val="7"/>
                <c:pt idx="0">
                  <c:v>0.38734340009988372</c:v>
                </c:pt>
                <c:pt idx="1">
                  <c:v>0.29414703270296477</c:v>
                </c:pt>
                <c:pt idx="2">
                  <c:v>0.23590255675839156</c:v>
                </c:pt>
                <c:pt idx="3">
                  <c:v>0.20386821720272824</c:v>
                </c:pt>
                <c:pt idx="4">
                  <c:v>0.1893064209470979</c:v>
                </c:pt>
                <c:pt idx="5">
                  <c:v>0.17474662383870593</c:v>
                </c:pt>
                <c:pt idx="6">
                  <c:v>0.16892221110865976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24000"/>
        <c:axId val="204225920"/>
      </c:scatterChart>
      <c:valAx>
        <c:axId val="20422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25920"/>
        <c:crosses val="autoZero"/>
        <c:crossBetween val="midCat"/>
      </c:valAx>
      <c:valAx>
        <c:axId val="204225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24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52752863025364"/>
          <c:y val="9.6525278499936848E-2"/>
          <c:w val="0.84369270041177546"/>
          <c:h val="0.745175150019512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Tables'!$D$166:$D$172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Tables'!$E$166:$E$172</c:f>
              <c:numCache>
                <c:formatCode>0.000</c:formatCode>
                <c:ptCount val="7"/>
                <c:pt idx="0">
                  <c:v>-0.67353661880708715</c:v>
                </c:pt>
                <c:pt idx="1">
                  <c:v>-0.60758050586359225</c:v>
                </c:pt>
                <c:pt idx="2">
                  <c:v>-0.55361809234102699</c:v>
                </c:pt>
                <c:pt idx="3">
                  <c:v>-0.50565455193701259</c:v>
                </c:pt>
                <c:pt idx="4">
                  <c:v>-0.49566412483811673</c:v>
                </c:pt>
                <c:pt idx="5">
                  <c:v>-0.47368312353933523</c:v>
                </c:pt>
                <c:pt idx="6">
                  <c:v>-0.46169238644214461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Tables'!$D$166:$D$172</c:f>
              <c:numCache>
                <c:formatCode>0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 formatCode="General">
                  <c:v>60</c:v>
                </c:pt>
                <c:pt idx="5" formatCode="General">
                  <c:v>100</c:v>
                </c:pt>
                <c:pt idx="6" formatCode="General">
                  <c:v>120</c:v>
                </c:pt>
              </c:numCache>
            </c:numRef>
          </c:xVal>
          <c:yVal>
            <c:numRef>
              <c:f>'5 A Tables'!$F$166:$F$172</c:f>
              <c:numCache>
                <c:formatCode>0.000</c:formatCode>
                <c:ptCount val="7"/>
                <c:pt idx="0">
                  <c:v>1.0193170743379685</c:v>
                </c:pt>
                <c:pt idx="1">
                  <c:v>0.89699749614666746</c:v>
                </c:pt>
                <c:pt idx="2">
                  <c:v>0.78633124077220728</c:v>
                </c:pt>
                <c:pt idx="3">
                  <c:v>0.70478744286609474</c:v>
                </c:pt>
                <c:pt idx="4">
                  <c:v>0.64071618826001553</c:v>
                </c:pt>
                <c:pt idx="5">
                  <c:v>0.52422515337128717</c:v>
                </c:pt>
                <c:pt idx="6">
                  <c:v>0.483452887687983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54208"/>
        <c:axId val="204264576"/>
      </c:scatterChart>
      <c:valAx>
        <c:axId val="2042542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64576"/>
        <c:crosses val="autoZero"/>
        <c:crossBetween val="midCat"/>
      </c:valAx>
      <c:valAx>
        <c:axId val="204264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542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16685932850106"/>
          <c:y val="9.1286492006151146E-2"/>
          <c:w val="0.8541682464937087"/>
          <c:h val="0.7717857960520051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'5 A Tables'!$D$174:$D$180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Tables'!$E$174:$E$180</c:f>
              <c:numCache>
                <c:formatCode>0.000</c:formatCode>
                <c:ptCount val="7"/>
                <c:pt idx="0">
                  <c:v>-0.21182901905964027</c:v>
                </c:pt>
                <c:pt idx="1">
                  <c:v>-0.18085075458186106</c:v>
                </c:pt>
                <c:pt idx="2">
                  <c:v>-0.15287188563382736</c:v>
                </c:pt>
                <c:pt idx="3">
                  <c:v>-0.13488935820042661</c:v>
                </c:pt>
                <c:pt idx="4">
                  <c:v>-0.12789703239859201</c:v>
                </c:pt>
                <c:pt idx="5">
                  <c:v>-0.11990717048609677</c:v>
                </c:pt>
                <c:pt idx="6">
                  <c:v>-0.11791010437911061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'5 A Tables'!$D$174:$D$180</c:f>
              <c:numCache>
                <c:formatCode>General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100</c:v>
                </c:pt>
                <c:pt idx="6">
                  <c:v>120</c:v>
                </c:pt>
              </c:numCache>
            </c:numRef>
          </c:xVal>
          <c:yVal>
            <c:numRef>
              <c:f>'5 A Tables'!$F$174:$F$180</c:f>
              <c:numCache>
                <c:formatCode>0.000</c:formatCode>
                <c:ptCount val="7"/>
                <c:pt idx="0">
                  <c:v>0.37860643686156914</c:v>
                </c:pt>
                <c:pt idx="1">
                  <c:v>0.30288399594127929</c:v>
                </c:pt>
                <c:pt idx="2">
                  <c:v>0.24463951999670613</c:v>
                </c:pt>
                <c:pt idx="3">
                  <c:v>0.20678053828216644</c:v>
                </c:pt>
                <c:pt idx="4">
                  <c:v>0.19221874202653608</c:v>
                </c:pt>
                <c:pt idx="5">
                  <c:v>0.17620278437842499</c:v>
                </c:pt>
                <c:pt idx="6">
                  <c:v>0.17183453218809797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0352"/>
        <c:axId val="204102272"/>
      </c:scatterChart>
      <c:valAx>
        <c:axId val="20410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02272"/>
        <c:crosses val="autoZero"/>
        <c:crossBetween val="midCat"/>
      </c:valAx>
      <c:valAx>
        <c:axId val="204102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00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'100%points'!$D$15:$D$22</c:f>
              <c:numCache>
                <c:formatCode>d\-mmm\-yy</c:formatCode>
                <c:ptCount val="8"/>
                <c:pt idx="0">
                  <c:v>42566</c:v>
                </c:pt>
                <c:pt idx="1">
                  <c:v>42569</c:v>
                </c:pt>
                <c:pt idx="2">
                  <c:v>42572</c:v>
                </c:pt>
                <c:pt idx="3">
                  <c:v>42592</c:v>
                </c:pt>
                <c:pt idx="4">
                  <c:v>42598</c:v>
                </c:pt>
                <c:pt idx="5">
                  <c:v>42599</c:v>
                </c:pt>
                <c:pt idx="6">
                  <c:v>42611</c:v>
                </c:pt>
                <c:pt idx="7">
                  <c:v>42613</c:v>
                </c:pt>
              </c:numCache>
            </c:numRef>
          </c:xVal>
          <c:yVal>
            <c:numRef>
              <c:f>'100%points'!$E$15:$E$22</c:f>
              <c:numCache>
                <c:formatCode>0.000</c:formatCode>
                <c:ptCount val="8"/>
                <c:pt idx="0">
                  <c:v>-0.46968565514325344</c:v>
                </c:pt>
                <c:pt idx="1">
                  <c:v>-0.46968565514325344</c:v>
                </c:pt>
                <c:pt idx="2">
                  <c:v>-0.46968565514325344</c:v>
                </c:pt>
                <c:pt idx="3">
                  <c:v>-0.47368312353933523</c:v>
                </c:pt>
                <c:pt idx="4">
                  <c:v>-0.47768059193541701</c:v>
                </c:pt>
                <c:pt idx="5">
                  <c:v>-0.47768059193541701</c:v>
                </c:pt>
                <c:pt idx="6">
                  <c:v>-0.47568185773737615</c:v>
                </c:pt>
                <c:pt idx="7">
                  <c:v>-0.47768059193541701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02976"/>
        <c:axId val="204325248"/>
      </c:scatterChart>
      <c:valAx>
        <c:axId val="204302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4325248"/>
        <c:crosses val="autoZero"/>
        <c:crossBetween val="midCat"/>
      </c:valAx>
      <c:valAx>
        <c:axId val="2043252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4302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'100%points'!$J$14:$J$22</c:f>
              <c:numCache>
                <c:formatCode>d\-mmm\-yy</c:formatCode>
                <c:ptCount val="9"/>
                <c:pt idx="0">
                  <c:v>42562</c:v>
                </c:pt>
                <c:pt idx="1">
                  <c:v>42569</c:v>
                </c:pt>
                <c:pt idx="4">
                  <c:v>42592</c:v>
                </c:pt>
                <c:pt idx="7">
                  <c:v>42611</c:v>
                </c:pt>
                <c:pt idx="8">
                  <c:v>42613</c:v>
                </c:pt>
              </c:numCache>
            </c:numRef>
          </c:xVal>
          <c:yVal>
            <c:numRef>
              <c:f>'100%points'!$L$14:$L$22</c:f>
              <c:numCache>
                <c:formatCode>0.00</c:formatCode>
                <c:ptCount val="9"/>
                <c:pt idx="0">
                  <c:v>6.5215597687324305</c:v>
                </c:pt>
                <c:pt idx="1">
                  <c:v>9.1110113578323428</c:v>
                </c:pt>
                <c:pt idx="4">
                  <c:v>9.2611886936272558</c:v>
                </c:pt>
                <c:pt idx="7">
                  <c:v>9.3112478055588923</c:v>
                </c:pt>
                <c:pt idx="8">
                  <c:v>9.3112478055588923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38784"/>
        <c:axId val="203240576"/>
      </c:scatterChart>
      <c:valAx>
        <c:axId val="203238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3240576"/>
        <c:crosses val="autoZero"/>
        <c:crossBetween val="midCat"/>
      </c:valAx>
      <c:valAx>
        <c:axId val="2032405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323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25183147287312"/>
          <c:y val="0.43369321457768595"/>
          <c:w val="0.11041689065975191"/>
          <c:h val="7.8853405619379591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18" Type="http://schemas.openxmlformats.org/officeDocument/2006/relationships/chart" Target="../charts/chart2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17" Type="http://schemas.openxmlformats.org/officeDocument/2006/relationships/chart" Target="../charts/chart19.xml"/><Relationship Id="rId2" Type="http://schemas.openxmlformats.org/officeDocument/2006/relationships/chart" Target="../charts/chart4.xml"/><Relationship Id="rId16" Type="http://schemas.openxmlformats.org/officeDocument/2006/relationships/chart" Target="../charts/chart18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38100</xdr:colOff>
      <xdr:row>258</xdr:row>
      <xdr:rowOff>152400</xdr:rowOff>
    </xdr:from>
    <xdr:to>
      <xdr:col>25</xdr:col>
      <xdr:colOff>209550</xdr:colOff>
      <xdr:row>274</xdr:row>
      <xdr:rowOff>133350</xdr:rowOff>
    </xdr:to>
    <xdr:graphicFrame macro="">
      <xdr:nvGraphicFramePr>
        <xdr:cNvPr id="196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209550</xdr:colOff>
      <xdr:row>26</xdr:row>
      <xdr:rowOff>9525</xdr:rowOff>
    </xdr:from>
    <xdr:to>
      <xdr:col>22</xdr:col>
      <xdr:colOff>47625</xdr:colOff>
      <xdr:row>35</xdr:row>
      <xdr:rowOff>76200</xdr:rowOff>
    </xdr:to>
    <xdr:graphicFrame macro="">
      <xdr:nvGraphicFramePr>
        <xdr:cNvPr id="19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471</xdr:row>
          <xdr:rowOff>19050</xdr:rowOff>
        </xdr:from>
        <xdr:to>
          <xdr:col>21</xdr:col>
          <xdr:colOff>123825</xdr:colOff>
          <xdr:row>477</xdr:row>
          <xdr:rowOff>114300</xdr:rowOff>
        </xdr:to>
        <xdr:sp macro="" textlink="">
          <xdr:nvSpPr>
            <xdr:cNvPr id="1691" name="Object 4" hidden="1">
              <a:extLst>
                <a:ext uri="{63B3BB69-23CF-44E3-9099-C40C66FF867C}">
                  <a14:compatExt spid="_x0000_s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323850</xdr:colOff>
      <xdr:row>2</xdr:row>
      <xdr:rowOff>95250</xdr:rowOff>
    </xdr:from>
    <xdr:to>
      <xdr:col>22</xdr:col>
      <xdr:colOff>581025</xdr:colOff>
      <xdr:row>14</xdr:row>
      <xdr:rowOff>19050</xdr:rowOff>
    </xdr:to>
    <xdr:graphicFrame macro="">
      <xdr:nvGraphicFramePr>
        <xdr:cNvPr id="60540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180975</xdr:colOff>
      <xdr:row>7</xdr:row>
      <xdr:rowOff>142875</xdr:rowOff>
    </xdr:from>
    <xdr:to>
      <xdr:col>28</xdr:col>
      <xdr:colOff>400050</xdr:colOff>
      <xdr:row>23</xdr:row>
      <xdr:rowOff>76200</xdr:rowOff>
    </xdr:to>
    <xdr:graphicFrame macro="">
      <xdr:nvGraphicFramePr>
        <xdr:cNvPr id="605402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352425</xdr:colOff>
      <xdr:row>20</xdr:row>
      <xdr:rowOff>104775</xdr:rowOff>
    </xdr:from>
    <xdr:to>
      <xdr:col>21</xdr:col>
      <xdr:colOff>38100</xdr:colOff>
      <xdr:row>30</xdr:row>
      <xdr:rowOff>28575</xdr:rowOff>
    </xdr:to>
    <xdr:graphicFrame macro="">
      <xdr:nvGraphicFramePr>
        <xdr:cNvPr id="605402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238125</xdr:colOff>
      <xdr:row>25</xdr:row>
      <xdr:rowOff>38100</xdr:rowOff>
    </xdr:from>
    <xdr:to>
      <xdr:col>27</xdr:col>
      <xdr:colOff>409575</xdr:colOff>
      <xdr:row>39</xdr:row>
      <xdr:rowOff>19050</xdr:rowOff>
    </xdr:to>
    <xdr:graphicFrame macro="">
      <xdr:nvGraphicFramePr>
        <xdr:cNvPr id="605402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581025</xdr:colOff>
      <xdr:row>43</xdr:row>
      <xdr:rowOff>76200</xdr:rowOff>
    </xdr:from>
    <xdr:to>
      <xdr:col>21</xdr:col>
      <xdr:colOff>180975</xdr:colOff>
      <xdr:row>53</xdr:row>
      <xdr:rowOff>85725</xdr:rowOff>
    </xdr:to>
    <xdr:graphicFrame macro="">
      <xdr:nvGraphicFramePr>
        <xdr:cNvPr id="605402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590550</xdr:colOff>
      <xdr:row>47</xdr:row>
      <xdr:rowOff>85725</xdr:rowOff>
    </xdr:from>
    <xdr:to>
      <xdr:col>27</xdr:col>
      <xdr:colOff>552450</xdr:colOff>
      <xdr:row>62</xdr:row>
      <xdr:rowOff>9525</xdr:rowOff>
    </xdr:to>
    <xdr:graphicFrame macro="">
      <xdr:nvGraphicFramePr>
        <xdr:cNvPr id="605402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180975</xdr:colOff>
      <xdr:row>63</xdr:row>
      <xdr:rowOff>57150</xdr:rowOff>
    </xdr:from>
    <xdr:to>
      <xdr:col>21</xdr:col>
      <xdr:colOff>190500</xdr:colOff>
      <xdr:row>72</xdr:row>
      <xdr:rowOff>133350</xdr:rowOff>
    </xdr:to>
    <xdr:graphicFrame macro="">
      <xdr:nvGraphicFramePr>
        <xdr:cNvPr id="605402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400050</xdr:colOff>
      <xdr:row>70</xdr:row>
      <xdr:rowOff>19050</xdr:rowOff>
    </xdr:from>
    <xdr:to>
      <xdr:col>27</xdr:col>
      <xdr:colOff>400050</xdr:colOff>
      <xdr:row>83</xdr:row>
      <xdr:rowOff>200025</xdr:rowOff>
    </xdr:to>
    <xdr:graphicFrame macro="">
      <xdr:nvGraphicFramePr>
        <xdr:cNvPr id="605402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47625</xdr:colOff>
      <xdr:row>84</xdr:row>
      <xdr:rowOff>152400</xdr:rowOff>
    </xdr:from>
    <xdr:to>
      <xdr:col>22</xdr:col>
      <xdr:colOff>19050</xdr:colOff>
      <xdr:row>98</xdr:row>
      <xdr:rowOff>9525</xdr:rowOff>
    </xdr:to>
    <xdr:graphicFrame macro="">
      <xdr:nvGraphicFramePr>
        <xdr:cNvPr id="6054030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552450</xdr:colOff>
      <xdr:row>88</xdr:row>
      <xdr:rowOff>123825</xdr:rowOff>
    </xdr:from>
    <xdr:to>
      <xdr:col>35</xdr:col>
      <xdr:colOff>76200</xdr:colOff>
      <xdr:row>103</xdr:row>
      <xdr:rowOff>209550</xdr:rowOff>
    </xdr:to>
    <xdr:graphicFrame macro="">
      <xdr:nvGraphicFramePr>
        <xdr:cNvPr id="6054031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428625</xdr:colOff>
      <xdr:row>103</xdr:row>
      <xdr:rowOff>142875</xdr:rowOff>
    </xdr:from>
    <xdr:to>
      <xdr:col>25</xdr:col>
      <xdr:colOff>76200</xdr:colOff>
      <xdr:row>118</xdr:row>
      <xdr:rowOff>123825</xdr:rowOff>
    </xdr:to>
    <xdr:graphicFrame macro="">
      <xdr:nvGraphicFramePr>
        <xdr:cNvPr id="6054032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47625</xdr:colOff>
      <xdr:row>106</xdr:row>
      <xdr:rowOff>133350</xdr:rowOff>
    </xdr:from>
    <xdr:to>
      <xdr:col>34</xdr:col>
      <xdr:colOff>323850</xdr:colOff>
      <xdr:row>121</xdr:row>
      <xdr:rowOff>85725</xdr:rowOff>
    </xdr:to>
    <xdr:graphicFrame macro="">
      <xdr:nvGraphicFramePr>
        <xdr:cNvPr id="6054033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333375</xdr:colOff>
      <xdr:row>124</xdr:row>
      <xdr:rowOff>28575</xdr:rowOff>
    </xdr:from>
    <xdr:to>
      <xdr:col>22</xdr:col>
      <xdr:colOff>581025</xdr:colOff>
      <xdr:row>136</xdr:row>
      <xdr:rowOff>28575</xdr:rowOff>
    </xdr:to>
    <xdr:graphicFrame macro="">
      <xdr:nvGraphicFramePr>
        <xdr:cNvPr id="6054034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552450</xdr:colOff>
      <xdr:row>128</xdr:row>
      <xdr:rowOff>104775</xdr:rowOff>
    </xdr:from>
    <xdr:to>
      <xdr:col>31</xdr:col>
      <xdr:colOff>209550</xdr:colOff>
      <xdr:row>142</xdr:row>
      <xdr:rowOff>200025</xdr:rowOff>
    </xdr:to>
    <xdr:graphicFrame macro="">
      <xdr:nvGraphicFramePr>
        <xdr:cNvPr id="6054035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247650</xdr:colOff>
      <xdr:row>143</xdr:row>
      <xdr:rowOff>85725</xdr:rowOff>
    </xdr:from>
    <xdr:to>
      <xdr:col>22</xdr:col>
      <xdr:colOff>514350</xdr:colOff>
      <xdr:row>157</xdr:row>
      <xdr:rowOff>142875</xdr:rowOff>
    </xdr:to>
    <xdr:graphicFrame macro="">
      <xdr:nvGraphicFramePr>
        <xdr:cNvPr id="6054036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476250</xdr:colOff>
      <xdr:row>147</xdr:row>
      <xdr:rowOff>0</xdr:rowOff>
    </xdr:from>
    <xdr:to>
      <xdr:col>33</xdr:col>
      <xdr:colOff>66675</xdr:colOff>
      <xdr:row>162</xdr:row>
      <xdr:rowOff>85725</xdr:rowOff>
    </xdr:to>
    <xdr:graphicFrame macro="">
      <xdr:nvGraphicFramePr>
        <xdr:cNvPr id="6054037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609600</xdr:colOff>
      <xdr:row>161</xdr:row>
      <xdr:rowOff>142875</xdr:rowOff>
    </xdr:from>
    <xdr:to>
      <xdr:col>26</xdr:col>
      <xdr:colOff>180975</xdr:colOff>
      <xdr:row>172</xdr:row>
      <xdr:rowOff>133350</xdr:rowOff>
    </xdr:to>
    <xdr:graphicFrame macro="">
      <xdr:nvGraphicFramePr>
        <xdr:cNvPr id="6054038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266700</xdr:colOff>
      <xdr:row>167</xdr:row>
      <xdr:rowOff>152400</xdr:rowOff>
    </xdr:from>
    <xdr:to>
      <xdr:col>24</xdr:col>
      <xdr:colOff>419100</xdr:colOff>
      <xdr:row>182</xdr:row>
      <xdr:rowOff>19050</xdr:rowOff>
    </xdr:to>
    <xdr:graphicFrame macro="">
      <xdr:nvGraphicFramePr>
        <xdr:cNvPr id="6054039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29</xdr:row>
      <xdr:rowOff>142875</xdr:rowOff>
    </xdr:from>
    <xdr:to>
      <xdr:col>9</xdr:col>
      <xdr:colOff>114300</xdr:colOff>
      <xdr:row>46</xdr:row>
      <xdr:rowOff>47625</xdr:rowOff>
    </xdr:to>
    <xdr:graphicFrame macro="">
      <xdr:nvGraphicFramePr>
        <xdr:cNvPr id="245896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542925</xdr:colOff>
      <xdr:row>29</xdr:row>
      <xdr:rowOff>114300</xdr:rowOff>
    </xdr:from>
    <xdr:to>
      <xdr:col>18</xdr:col>
      <xdr:colOff>409575</xdr:colOff>
      <xdr:row>47</xdr:row>
      <xdr:rowOff>104775</xdr:rowOff>
    </xdr:to>
    <xdr:graphicFrame macro="">
      <xdr:nvGraphicFramePr>
        <xdr:cNvPr id="245896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151619</xdr:colOff>
      <xdr:row>34</xdr:row>
      <xdr:rowOff>85047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1925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22</xdr:col>
      <xdr:colOff>151619</xdr:colOff>
      <xdr:row>34</xdr:row>
      <xdr:rowOff>85047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15200" y="161925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11</xdr:col>
      <xdr:colOff>151619</xdr:colOff>
      <xdr:row>69</xdr:row>
      <xdr:rowOff>85047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5829300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36</xdr:row>
      <xdr:rowOff>0</xdr:rowOff>
    </xdr:from>
    <xdr:to>
      <xdr:col>22</xdr:col>
      <xdr:colOff>151619</xdr:colOff>
      <xdr:row>69</xdr:row>
      <xdr:rowOff>85047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5829300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11</xdr:col>
      <xdr:colOff>151619</xdr:colOff>
      <xdr:row>104</xdr:row>
      <xdr:rowOff>85047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1496675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71</xdr:row>
      <xdr:rowOff>0</xdr:rowOff>
    </xdr:from>
    <xdr:to>
      <xdr:col>22</xdr:col>
      <xdr:colOff>151619</xdr:colOff>
      <xdr:row>104</xdr:row>
      <xdr:rowOff>85047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1496675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106</xdr:row>
      <xdr:rowOff>0</xdr:rowOff>
    </xdr:from>
    <xdr:to>
      <xdr:col>11</xdr:col>
      <xdr:colOff>151619</xdr:colOff>
      <xdr:row>139</xdr:row>
      <xdr:rowOff>85047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9600" y="17164050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106</xdr:row>
      <xdr:rowOff>0</xdr:rowOff>
    </xdr:from>
    <xdr:to>
      <xdr:col>22</xdr:col>
      <xdr:colOff>151619</xdr:colOff>
      <xdr:row>139</xdr:row>
      <xdr:rowOff>85047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15200" y="17164050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141</xdr:row>
      <xdr:rowOff>0</xdr:rowOff>
    </xdr:from>
    <xdr:to>
      <xdr:col>11</xdr:col>
      <xdr:colOff>151619</xdr:colOff>
      <xdr:row>174</xdr:row>
      <xdr:rowOff>85047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2831425"/>
          <a:ext cx="6247619" cy="5428572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141</xdr:row>
      <xdr:rowOff>0</xdr:rowOff>
    </xdr:from>
    <xdr:to>
      <xdr:col>22</xdr:col>
      <xdr:colOff>151619</xdr:colOff>
      <xdr:row>174</xdr:row>
      <xdr:rowOff>85047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15200" y="22831425"/>
          <a:ext cx="6247619" cy="54285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mercial/Reports/2015/S21967/S21967_5AmpRatio%20Template%20V5.0_draft_v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Changes"/>
      <sheetName val="Ambient Conditions"/>
      <sheetName val="5 A data"/>
      <sheetName val="5 A calc"/>
      <sheetName val="5 A Tables"/>
      <sheetName val="Uncertainties"/>
      <sheetName val="844400"/>
      <sheetName val="Arnold"/>
      <sheetName val="V2.0 Validation"/>
      <sheetName val="Cf Previous resul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82">
          <cell r="J82">
            <v>0.99936709902044762</v>
          </cell>
          <cell r="K82">
            <v>1.0011822386327505</v>
          </cell>
        </row>
      </sheetData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workbookViewId="0">
      <selection activeCell="B2" sqref="B2"/>
    </sheetView>
  </sheetViews>
  <sheetFormatPr defaultRowHeight="12.75" x14ac:dyDescent="0.2"/>
  <cols>
    <col min="1" max="1" width="10.5703125" customWidth="1"/>
  </cols>
  <sheetData>
    <row r="1" spans="1:7" x14ac:dyDescent="0.2">
      <c r="A1" t="s">
        <v>174</v>
      </c>
    </row>
    <row r="3" spans="1:7" x14ac:dyDescent="0.2">
      <c r="A3" t="s">
        <v>175</v>
      </c>
      <c r="G3" s="97"/>
    </row>
    <row r="4" spans="1:7" x14ac:dyDescent="0.2">
      <c r="A4" t="s">
        <v>177</v>
      </c>
    </row>
    <row r="6" spans="1:7" x14ac:dyDescent="0.2">
      <c r="A6" t="s">
        <v>178</v>
      </c>
    </row>
    <row r="7" spans="1:7" x14ac:dyDescent="0.2">
      <c r="A7" t="s">
        <v>179</v>
      </c>
    </row>
    <row r="8" spans="1:7" x14ac:dyDescent="0.2">
      <c r="A8" t="s">
        <v>353</v>
      </c>
    </row>
    <row r="9" spans="1:7" x14ac:dyDescent="0.2">
      <c r="A9" t="s">
        <v>180</v>
      </c>
    </row>
    <row r="11" spans="1:7" x14ac:dyDescent="0.2">
      <c r="A11" t="s">
        <v>181</v>
      </c>
    </row>
    <row r="13" spans="1:7" x14ac:dyDescent="0.2">
      <c r="A13" t="s">
        <v>182</v>
      </c>
    </row>
    <row r="15" spans="1:7" x14ac:dyDescent="0.2">
      <c r="A15" s="400" t="s">
        <v>373</v>
      </c>
    </row>
    <row r="17" spans="1:2" x14ac:dyDescent="0.2">
      <c r="A17" s="384"/>
    </row>
    <row r="18" spans="1:2" x14ac:dyDescent="0.2">
      <c r="A18" s="254">
        <v>39392</v>
      </c>
      <c r="B18" t="s">
        <v>242</v>
      </c>
    </row>
    <row r="19" spans="1:2" x14ac:dyDescent="0.2">
      <c r="A19" s="384">
        <v>39630</v>
      </c>
      <c r="B19" t="s">
        <v>320</v>
      </c>
    </row>
    <row r="20" spans="1:2" x14ac:dyDescent="0.2">
      <c r="A20" s="392">
        <v>40246</v>
      </c>
      <c r="B20" s="393" t="s">
        <v>354</v>
      </c>
    </row>
    <row r="21" spans="1:2" x14ac:dyDescent="0.2">
      <c r="A21" s="254">
        <v>41253</v>
      </c>
      <c r="B21" s="46" t="s">
        <v>381</v>
      </c>
    </row>
    <row r="23" spans="1:2" x14ac:dyDescent="0.2">
      <c r="A23" s="254">
        <v>41254</v>
      </c>
      <c r="B23" s="46" t="s">
        <v>380</v>
      </c>
    </row>
    <row r="25" spans="1:2" x14ac:dyDescent="0.2">
      <c r="A25" s="254">
        <v>41333</v>
      </c>
      <c r="B25" s="46" t="s">
        <v>382</v>
      </c>
    </row>
  </sheetData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64"/>
  <sheetViews>
    <sheetView topLeftCell="A37" workbookViewId="0">
      <selection activeCell="B2" sqref="B2"/>
    </sheetView>
  </sheetViews>
  <sheetFormatPr defaultRowHeight="12.75" x14ac:dyDescent="0.2"/>
  <cols>
    <col min="1" max="1" width="22.7109375" customWidth="1"/>
    <col min="2" max="2" width="13.5703125" customWidth="1"/>
    <col min="5" max="5" width="10.140625" bestFit="1" customWidth="1"/>
    <col min="9" max="9" width="11.28515625" customWidth="1"/>
  </cols>
  <sheetData>
    <row r="1" spans="1:7" x14ac:dyDescent="0.2">
      <c r="B1" t="s">
        <v>322</v>
      </c>
      <c r="C1" t="s">
        <v>323</v>
      </c>
    </row>
    <row r="2" spans="1:7" x14ac:dyDescent="0.2">
      <c r="A2" s="254">
        <v>42566</v>
      </c>
      <c r="B2" s="97">
        <v>21.01</v>
      </c>
      <c r="C2" s="97">
        <v>46.52</v>
      </c>
      <c r="F2" s="1" t="s">
        <v>466</v>
      </c>
    </row>
    <row r="3" spans="1:7" x14ac:dyDescent="0.2">
      <c r="A3" s="490">
        <v>42569</v>
      </c>
      <c r="B3" s="97">
        <v>20.98</v>
      </c>
      <c r="C3" s="97">
        <v>34.770000000000003</v>
      </c>
      <c r="F3" t="s">
        <v>467</v>
      </c>
    </row>
    <row r="4" spans="1:7" x14ac:dyDescent="0.2">
      <c r="B4" s="97"/>
      <c r="C4" s="97"/>
      <c r="E4" s="254">
        <v>42566</v>
      </c>
      <c r="F4">
        <v>20.12</v>
      </c>
    </row>
    <row r="5" spans="1:7" x14ac:dyDescent="0.2">
      <c r="A5" s="68"/>
      <c r="B5" s="97"/>
      <c r="C5" s="97"/>
      <c r="E5" s="254">
        <v>42569</v>
      </c>
      <c r="F5">
        <v>20.02</v>
      </c>
    </row>
    <row r="6" spans="1:7" x14ac:dyDescent="0.2">
      <c r="B6" s="97"/>
      <c r="C6" s="97"/>
      <c r="E6" s="254">
        <v>42569</v>
      </c>
      <c r="F6">
        <v>19.95</v>
      </c>
    </row>
    <row r="7" spans="1:7" x14ac:dyDescent="0.2">
      <c r="B7" s="97"/>
      <c r="C7" s="97"/>
      <c r="E7" s="254">
        <v>42569</v>
      </c>
      <c r="F7">
        <v>20.02</v>
      </c>
    </row>
    <row r="8" spans="1:7" x14ac:dyDescent="0.2">
      <c r="B8" s="97"/>
      <c r="C8" s="97"/>
      <c r="E8" s="254">
        <v>42569</v>
      </c>
      <c r="F8">
        <v>19.7</v>
      </c>
    </row>
    <row r="9" spans="1:7" x14ac:dyDescent="0.2">
      <c r="B9" s="97"/>
      <c r="C9" s="97"/>
      <c r="E9" s="254">
        <v>42569</v>
      </c>
      <c r="F9">
        <v>19.920000000000002</v>
      </c>
    </row>
    <row r="10" spans="1:7" x14ac:dyDescent="0.2">
      <c r="B10" s="97"/>
      <c r="C10" s="97"/>
      <c r="E10" s="254">
        <v>42569</v>
      </c>
      <c r="F10">
        <v>19.89</v>
      </c>
    </row>
    <row r="11" spans="1:7" x14ac:dyDescent="0.2">
      <c r="B11" s="97"/>
      <c r="C11" s="97"/>
      <c r="E11" s="254">
        <v>42569</v>
      </c>
      <c r="F11">
        <v>20.059999999999999</v>
      </c>
    </row>
    <row r="12" spans="1:7" x14ac:dyDescent="0.2">
      <c r="A12" s="68" t="s">
        <v>295</v>
      </c>
      <c r="B12" s="27">
        <f>AVERAGE(B2:B11)</f>
        <v>20.995000000000001</v>
      </c>
      <c r="C12" s="27">
        <f>AVERAGE(C2:C11)</f>
        <v>40.645000000000003</v>
      </c>
      <c r="E12" s="254">
        <v>42569</v>
      </c>
      <c r="F12">
        <v>20.09</v>
      </c>
    </row>
    <row r="13" spans="1:7" x14ac:dyDescent="0.2">
      <c r="A13" t="s">
        <v>296</v>
      </c>
      <c r="B13" s="28">
        <f>STDEV(B2:B11)</f>
        <v>2.1213203435597228E-2</v>
      </c>
      <c r="C13" s="27">
        <f>STDEV(C2:C11)</f>
        <v>8.308504678941933</v>
      </c>
    </row>
    <row r="14" spans="1:7" x14ac:dyDescent="0.2">
      <c r="A14" s="68" t="s">
        <v>326</v>
      </c>
      <c r="B14" s="370">
        <f>B23</f>
        <v>0.28076944837535839</v>
      </c>
      <c r="C14" s="491">
        <f>C23</f>
        <v>-1.5372272204246176</v>
      </c>
      <c r="F14" s="28">
        <f>AVERAGE(F4:F12)</f>
        <v>19.974444444444444</v>
      </c>
      <c r="G14" t="s">
        <v>274</v>
      </c>
    </row>
    <row r="15" spans="1:7" x14ac:dyDescent="0.2">
      <c r="A15" s="68" t="s">
        <v>327</v>
      </c>
      <c r="B15" s="370"/>
      <c r="C15" s="97"/>
      <c r="F15" s="4">
        <f>STDEV(F4:F12)</f>
        <v>0.12846313781695429</v>
      </c>
      <c r="G15" t="s">
        <v>468</v>
      </c>
    </row>
    <row r="16" spans="1:7" x14ac:dyDescent="0.2">
      <c r="A16" s="68" t="s">
        <v>325</v>
      </c>
      <c r="B16" s="27">
        <f>B12+B14+B15</f>
        <v>21.27576944837536</v>
      </c>
      <c r="C16" s="27">
        <f>C12+C14+C15</f>
        <v>39.107772779575384</v>
      </c>
    </row>
    <row r="17" spans="1:9" x14ac:dyDescent="0.2">
      <c r="A17" s="68" t="s">
        <v>324</v>
      </c>
      <c r="B17" s="28">
        <f>D23</f>
        <v>0.53390520484135895</v>
      </c>
      <c r="C17" s="28">
        <f>E23</f>
        <v>1.2999662979368347</v>
      </c>
    </row>
    <row r="18" spans="1:9" x14ac:dyDescent="0.2">
      <c r="A18" s="68" t="s">
        <v>297</v>
      </c>
      <c r="B18" s="27">
        <f>SQRT((2*B13)^2+B17^2)</f>
        <v>0.53558824460278587</v>
      </c>
      <c r="C18" s="27">
        <f>SQRT((2*C13)^2+C17^2)</f>
        <v>16.667780667376555</v>
      </c>
    </row>
    <row r="23" spans="1:9" x14ac:dyDescent="0.2">
      <c r="B23" s="28">
        <v>0.28076944837535839</v>
      </c>
      <c r="C23" s="28">
        <v>-1.5372272204246176</v>
      </c>
      <c r="D23" s="28">
        <v>0.53390520484135895</v>
      </c>
      <c r="E23" s="28">
        <v>1.2999662979368347</v>
      </c>
    </row>
    <row r="29" spans="1:9" x14ac:dyDescent="0.2">
      <c r="A29" s="46" t="s">
        <v>471</v>
      </c>
    </row>
    <row r="31" spans="1:9" x14ac:dyDescent="0.2">
      <c r="B31" t="s">
        <v>322</v>
      </c>
      <c r="C31" t="s">
        <v>323</v>
      </c>
    </row>
    <row r="32" spans="1:9" x14ac:dyDescent="0.2">
      <c r="A32" s="254">
        <v>42559</v>
      </c>
      <c r="B32" s="97">
        <v>21.19</v>
      </c>
      <c r="C32" s="97">
        <v>42.55</v>
      </c>
      <c r="I32" s="1" t="s">
        <v>469</v>
      </c>
    </row>
    <row r="33" spans="1:10" x14ac:dyDescent="0.2">
      <c r="A33" s="490">
        <v>42562</v>
      </c>
      <c r="B33" s="97">
        <v>20.85</v>
      </c>
      <c r="C33" s="97">
        <v>31.73</v>
      </c>
      <c r="I33" s="1" t="s">
        <v>470</v>
      </c>
    </row>
    <row r="34" spans="1:10" x14ac:dyDescent="0.2">
      <c r="A34" s="254">
        <v>42563</v>
      </c>
      <c r="B34" s="97">
        <v>20.92</v>
      </c>
      <c r="C34" s="97">
        <v>33.96</v>
      </c>
      <c r="I34" s="490">
        <v>42564</v>
      </c>
      <c r="J34">
        <v>19.920000000000002</v>
      </c>
    </row>
    <row r="35" spans="1:10" x14ac:dyDescent="0.2">
      <c r="A35" s="490">
        <v>42564</v>
      </c>
      <c r="B35" s="97">
        <v>21.02</v>
      </c>
      <c r="C35" s="97">
        <v>32.729999999999997</v>
      </c>
      <c r="I35" s="490">
        <v>42564</v>
      </c>
      <c r="J35">
        <v>19.89</v>
      </c>
    </row>
    <row r="36" spans="1:10" x14ac:dyDescent="0.2">
      <c r="A36" s="490">
        <v>42564</v>
      </c>
      <c r="B36" s="97">
        <v>21.01</v>
      </c>
      <c r="C36" s="97">
        <v>33.57</v>
      </c>
      <c r="I36" s="490">
        <v>42564</v>
      </c>
      <c r="J36">
        <v>19.96</v>
      </c>
    </row>
    <row r="37" spans="1:10" x14ac:dyDescent="0.2">
      <c r="A37" s="254">
        <v>42566</v>
      </c>
      <c r="B37" s="97">
        <v>21.01</v>
      </c>
      <c r="C37" s="97">
        <v>46.52</v>
      </c>
      <c r="I37" s="490">
        <v>42564</v>
      </c>
      <c r="J37">
        <v>19.98</v>
      </c>
    </row>
    <row r="38" spans="1:10" x14ac:dyDescent="0.2">
      <c r="A38" s="490">
        <v>42569</v>
      </c>
      <c r="B38" s="97">
        <v>20.98</v>
      </c>
      <c r="C38" s="97">
        <v>34.770000000000003</v>
      </c>
      <c r="I38" s="490">
        <v>42564</v>
      </c>
      <c r="J38">
        <v>19.95</v>
      </c>
    </row>
    <row r="39" spans="1:10" x14ac:dyDescent="0.2">
      <c r="A39" s="254">
        <v>42570</v>
      </c>
      <c r="B39" s="97">
        <v>20.95</v>
      </c>
      <c r="C39" s="97">
        <v>38.79</v>
      </c>
      <c r="I39" s="490">
        <v>42564</v>
      </c>
      <c r="J39">
        <v>19.920000000000002</v>
      </c>
    </row>
    <row r="40" spans="1:10" x14ac:dyDescent="0.2">
      <c r="A40" s="464">
        <v>42571</v>
      </c>
      <c r="B40" s="97">
        <v>21.12</v>
      </c>
      <c r="C40" s="97">
        <v>41.79</v>
      </c>
      <c r="I40" s="490">
        <v>42564</v>
      </c>
      <c r="J40">
        <v>19.93</v>
      </c>
    </row>
    <row r="41" spans="1:10" x14ac:dyDescent="0.2">
      <c r="A41" s="254">
        <v>42572</v>
      </c>
      <c r="B41" s="97">
        <v>21.15</v>
      </c>
      <c r="C41" s="97">
        <v>39.770000000000003</v>
      </c>
      <c r="I41" s="490">
        <v>42564</v>
      </c>
      <c r="J41">
        <v>19.829999999999998</v>
      </c>
    </row>
    <row r="42" spans="1:10" x14ac:dyDescent="0.2">
      <c r="A42" s="254">
        <v>42592</v>
      </c>
      <c r="B42" s="97">
        <v>20.7</v>
      </c>
      <c r="C42" s="97">
        <v>32.44</v>
      </c>
      <c r="I42" s="490">
        <v>42564</v>
      </c>
      <c r="J42">
        <v>19.89</v>
      </c>
    </row>
    <row r="43" spans="1:10" x14ac:dyDescent="0.2">
      <c r="A43" s="254">
        <v>42598</v>
      </c>
      <c r="B43" s="97">
        <v>21.04</v>
      </c>
      <c r="C43" s="97">
        <v>41.22</v>
      </c>
      <c r="I43" s="490">
        <v>42564</v>
      </c>
      <c r="J43">
        <v>19.989999999999998</v>
      </c>
    </row>
    <row r="44" spans="1:10" x14ac:dyDescent="0.2">
      <c r="A44" s="254">
        <v>42599</v>
      </c>
      <c r="B44" s="97">
        <v>20.78</v>
      </c>
      <c r="C44" s="97">
        <v>35.68</v>
      </c>
      <c r="I44" s="254">
        <v>42566</v>
      </c>
      <c r="J44">
        <v>20.12</v>
      </c>
    </row>
    <row r="45" spans="1:10" x14ac:dyDescent="0.2">
      <c r="A45" s="254">
        <v>42600</v>
      </c>
      <c r="B45" s="97">
        <v>20.67</v>
      </c>
      <c r="C45" s="97">
        <v>34.92</v>
      </c>
      <c r="I45" s="254">
        <v>42569</v>
      </c>
      <c r="J45">
        <v>20.02</v>
      </c>
    </row>
    <row r="46" spans="1:10" x14ac:dyDescent="0.2">
      <c r="A46" s="254">
        <v>42611</v>
      </c>
      <c r="B46" s="97">
        <v>21.13</v>
      </c>
      <c r="C46" s="97">
        <v>43.21</v>
      </c>
      <c r="I46" s="254">
        <v>42569</v>
      </c>
      <c r="J46">
        <v>19.95</v>
      </c>
    </row>
    <row r="47" spans="1:10" x14ac:dyDescent="0.2">
      <c r="A47" s="254">
        <v>42613</v>
      </c>
      <c r="B47" s="97">
        <v>21.13</v>
      </c>
      <c r="C47" s="97">
        <v>43.21</v>
      </c>
      <c r="I47" s="254">
        <v>42569</v>
      </c>
      <c r="J47">
        <v>20.02</v>
      </c>
    </row>
    <row r="48" spans="1:10" x14ac:dyDescent="0.2">
      <c r="I48" s="254">
        <v>42569</v>
      </c>
      <c r="J48">
        <v>19.7</v>
      </c>
    </row>
    <row r="49" spans="1:10" x14ac:dyDescent="0.2">
      <c r="I49" s="254">
        <v>42569</v>
      </c>
      <c r="J49">
        <v>19.920000000000002</v>
      </c>
    </row>
    <row r="50" spans="1:10" x14ac:dyDescent="0.2">
      <c r="I50" s="254">
        <v>42569</v>
      </c>
      <c r="J50">
        <v>19.89</v>
      </c>
    </row>
    <row r="51" spans="1:10" x14ac:dyDescent="0.2">
      <c r="I51" s="254">
        <v>42569</v>
      </c>
      <c r="J51">
        <v>20.059999999999999</v>
      </c>
    </row>
    <row r="52" spans="1:10" x14ac:dyDescent="0.2">
      <c r="A52" s="68" t="s">
        <v>295</v>
      </c>
      <c r="B52" s="27">
        <f>AVERAGE(B32:B46)</f>
        <v>20.968000000000004</v>
      </c>
      <c r="C52" s="27">
        <f>AVERAGE(C32:C46)</f>
        <v>37.576666666666675</v>
      </c>
      <c r="I52" s="254">
        <v>42569</v>
      </c>
      <c r="J52">
        <v>20.09</v>
      </c>
    </row>
    <row r="53" spans="1:10" x14ac:dyDescent="0.2">
      <c r="A53" t="s">
        <v>296</v>
      </c>
      <c r="B53" s="28">
        <f>STDEV(B32:B46)</f>
        <v>0.15942754735974193</v>
      </c>
      <c r="C53" s="27">
        <f>STDEV(C32:C46)</f>
        <v>4.6712336496393858</v>
      </c>
      <c r="I53" s="254">
        <v>42611</v>
      </c>
      <c r="J53">
        <v>19.97</v>
      </c>
    </row>
    <row r="54" spans="1:10" x14ac:dyDescent="0.2">
      <c r="A54" s="68" t="s">
        <v>326</v>
      </c>
      <c r="B54" s="370">
        <f>-B63</f>
        <v>-0.28076944837535839</v>
      </c>
      <c r="C54" s="370">
        <f>-C63</f>
        <v>1.5372272204246176</v>
      </c>
      <c r="I54" s="254">
        <v>42611</v>
      </c>
      <c r="J54">
        <v>19.89</v>
      </c>
    </row>
    <row r="55" spans="1:10" x14ac:dyDescent="0.2">
      <c r="A55" s="68" t="s">
        <v>327</v>
      </c>
      <c r="B55" s="370"/>
      <c r="C55" s="97"/>
      <c r="I55" s="254">
        <v>42611</v>
      </c>
      <c r="J55">
        <v>19.96</v>
      </c>
    </row>
    <row r="56" spans="1:10" x14ac:dyDescent="0.2">
      <c r="A56" s="68" t="s">
        <v>325</v>
      </c>
      <c r="B56" s="27">
        <f>B52+B54+B55</f>
        <v>20.687230551624644</v>
      </c>
      <c r="C56" s="27">
        <f>C52+C54+C55</f>
        <v>39.113893887091294</v>
      </c>
      <c r="I56" s="254">
        <v>42611</v>
      </c>
      <c r="J56">
        <v>19.88</v>
      </c>
    </row>
    <row r="57" spans="1:10" x14ac:dyDescent="0.2">
      <c r="A57" s="68" t="s">
        <v>324</v>
      </c>
      <c r="B57" s="28">
        <f>D63</f>
        <v>0.53390520484135895</v>
      </c>
      <c r="C57" s="28">
        <f>E63</f>
        <v>1.2999662979368347</v>
      </c>
      <c r="I57" s="254"/>
    </row>
    <row r="58" spans="1:10" x14ac:dyDescent="0.2">
      <c r="A58" s="68" t="s">
        <v>297</v>
      </c>
      <c r="B58" s="27">
        <f>SQRT((2*B53)^2+B57^2)</f>
        <v>0.62187083802447629</v>
      </c>
      <c r="C58" s="27">
        <f>SQRT((2*C53)^2+C57^2)</f>
        <v>9.4324762185687376</v>
      </c>
    </row>
    <row r="63" spans="1:10" x14ac:dyDescent="0.2">
      <c r="B63" s="28">
        <v>0.28076944837535839</v>
      </c>
      <c r="C63" s="28">
        <v>-1.5372272204246176</v>
      </c>
      <c r="D63" s="28">
        <v>0.53390520484135895</v>
      </c>
      <c r="E63" s="28">
        <v>1.2999662979368347</v>
      </c>
      <c r="J63" s="28">
        <f>AVERAGE(J34:J56)</f>
        <v>19.94478260869565</v>
      </c>
    </row>
    <row r="64" spans="1:10" x14ac:dyDescent="0.2">
      <c r="J64" s="28">
        <f>STDEV(J34:J56)</f>
        <v>8.8465173692938326E-2</v>
      </c>
    </row>
  </sheetData>
  <phoneticPr fontId="1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E597"/>
  <sheetViews>
    <sheetView zoomScaleNormal="100" workbookViewId="0">
      <selection activeCell="E8" sqref="E8"/>
    </sheetView>
  </sheetViews>
  <sheetFormatPr defaultRowHeight="12.75" x14ac:dyDescent="0.2"/>
  <cols>
    <col min="1" max="1" width="23.7109375" customWidth="1"/>
    <col min="2" max="2" width="29" customWidth="1"/>
    <col min="3" max="3" width="15.28515625" customWidth="1"/>
    <col min="4" max="4" width="14.7109375" customWidth="1"/>
    <col min="5" max="5" width="11.7109375" customWidth="1"/>
    <col min="6" max="6" width="19.140625" customWidth="1"/>
    <col min="7" max="7" width="10.28515625" customWidth="1"/>
    <col min="8" max="8" width="10.140625" bestFit="1" customWidth="1"/>
    <col min="13" max="13" width="12.140625" customWidth="1"/>
    <col min="15" max="15" width="11.5703125" customWidth="1"/>
    <col min="23" max="23" width="11" customWidth="1"/>
    <col min="29" max="29" width="11.7109375" bestFit="1" customWidth="1"/>
  </cols>
  <sheetData>
    <row r="1" spans="1:19" ht="21.4" customHeight="1" x14ac:dyDescent="0.25">
      <c r="A1" s="363" t="s">
        <v>383</v>
      </c>
      <c r="B1" s="260" t="s">
        <v>344</v>
      </c>
      <c r="C1" s="96" t="s">
        <v>446</v>
      </c>
      <c r="D1" s="96"/>
      <c r="E1" s="261" t="s">
        <v>151</v>
      </c>
      <c r="F1" s="466" t="s">
        <v>424</v>
      </c>
      <c r="G1" s="261" t="s">
        <v>358</v>
      </c>
      <c r="H1" s="249">
        <v>42559</v>
      </c>
      <c r="K1" s="96" t="s">
        <v>129</v>
      </c>
      <c r="L1" s="97"/>
      <c r="M1" s="97"/>
      <c r="N1" s="97"/>
      <c r="O1" s="97"/>
    </row>
    <row r="2" spans="1:19" x14ac:dyDescent="0.2">
      <c r="A2" s="363" t="s">
        <v>384</v>
      </c>
      <c r="B2" s="261" t="s">
        <v>345</v>
      </c>
      <c r="C2" s="97" t="s">
        <v>423</v>
      </c>
      <c r="E2" s="261" t="s">
        <v>170</v>
      </c>
      <c r="F2" s="97" t="s">
        <v>425</v>
      </c>
      <c r="G2" s="261" t="s">
        <v>171</v>
      </c>
      <c r="H2" s="97" t="s">
        <v>426</v>
      </c>
      <c r="Q2" s="261" t="s">
        <v>412</v>
      </c>
      <c r="R2" s="5">
        <v>1</v>
      </c>
      <c r="S2" s="46" t="s">
        <v>413</v>
      </c>
    </row>
    <row r="3" spans="1:19" x14ac:dyDescent="0.2">
      <c r="A3" s="68"/>
      <c r="B3" s="261" t="s">
        <v>244</v>
      </c>
      <c r="C3" s="96">
        <v>36040262</v>
      </c>
      <c r="S3" s="46" t="s">
        <v>414</v>
      </c>
    </row>
    <row r="4" spans="1:19" x14ac:dyDescent="0.2">
      <c r="A4" s="68"/>
      <c r="B4" s="261" t="s">
        <v>243</v>
      </c>
      <c r="C4" s="96">
        <v>21982</v>
      </c>
      <c r="D4" s="68"/>
      <c r="E4" s="1"/>
      <c r="F4" s="68"/>
      <c r="G4" s="68"/>
      <c r="H4" s="68"/>
      <c r="I4" s="68"/>
      <c r="J4" s="68"/>
      <c r="K4" s="68"/>
      <c r="L4" s="68"/>
      <c r="M4" s="75" t="s">
        <v>111</v>
      </c>
      <c r="N4" s="76"/>
      <c r="O4" s="77"/>
      <c r="P4" s="80"/>
      <c r="S4" s="46" t="s">
        <v>415</v>
      </c>
    </row>
    <row r="5" spans="1:19" x14ac:dyDescent="0.2">
      <c r="A5" s="68">
        <v>5</v>
      </c>
      <c r="B5" s="96" t="s">
        <v>452</v>
      </c>
      <c r="C5" s="98" t="s">
        <v>121</v>
      </c>
      <c r="E5" s="97" t="s">
        <v>0</v>
      </c>
      <c r="F5" s="97"/>
      <c r="G5" s="97"/>
      <c r="H5" s="68"/>
      <c r="I5" s="68"/>
      <c r="J5" s="68"/>
      <c r="K5" s="68"/>
      <c r="L5" s="68"/>
      <c r="M5" s="6" t="s">
        <v>112</v>
      </c>
      <c r="N5" s="7"/>
      <c r="O5" s="36"/>
      <c r="P5" s="7"/>
    </row>
    <row r="6" spans="1:19" ht="38.25" x14ac:dyDescent="0.2">
      <c r="A6" s="68">
        <v>6</v>
      </c>
      <c r="B6" s="96" t="s">
        <v>491</v>
      </c>
      <c r="C6" s="101" t="s">
        <v>43</v>
      </c>
      <c r="D6" s="99" t="s">
        <v>1</v>
      </c>
      <c r="E6" s="99" t="s">
        <v>2</v>
      </c>
      <c r="F6" s="99" t="s">
        <v>3</v>
      </c>
      <c r="G6" s="99" t="s">
        <v>4</v>
      </c>
      <c r="H6" s="99"/>
      <c r="I6" s="100" t="s">
        <v>5</v>
      </c>
      <c r="J6" s="100" t="s">
        <v>6</v>
      </c>
      <c r="K6" s="100" t="s">
        <v>7</v>
      </c>
      <c r="L6" s="68"/>
      <c r="M6" s="78" t="s">
        <v>6</v>
      </c>
      <c r="N6" s="15" t="s">
        <v>7</v>
      </c>
      <c r="O6" s="36"/>
      <c r="P6" s="7"/>
      <c r="Q6" t="s">
        <v>164</v>
      </c>
      <c r="R6" t="s">
        <v>342</v>
      </c>
    </row>
    <row r="7" spans="1:19" ht="12.75" customHeight="1" x14ac:dyDescent="0.2">
      <c r="A7" s="68">
        <v>7</v>
      </c>
      <c r="B7" s="159" t="s">
        <v>172</v>
      </c>
      <c r="D7" s="68"/>
      <c r="E7" s="68"/>
      <c r="F7" s="68"/>
      <c r="G7" s="68"/>
      <c r="H7" s="68"/>
      <c r="I7" s="68"/>
      <c r="J7" s="21"/>
      <c r="K7" s="21"/>
      <c r="L7" s="68"/>
      <c r="M7" s="91"/>
      <c r="N7" s="80"/>
      <c r="O7" s="36"/>
      <c r="P7" s="7"/>
    </row>
    <row r="8" spans="1:19" x14ac:dyDescent="0.2">
      <c r="A8" s="385">
        <v>8</v>
      </c>
      <c r="B8" s="108">
        <v>42566</v>
      </c>
      <c r="C8" s="85">
        <f t="shared" ref="C8:C14" si="0">B5A5.0VA</f>
        <v>0.21600059637204713</v>
      </c>
      <c r="D8" s="68">
        <v>5</v>
      </c>
      <c r="E8" s="97">
        <v>-0.33800000000000002</v>
      </c>
      <c r="F8" s="97">
        <v>17.600000000000001</v>
      </c>
      <c r="G8" s="97">
        <v>2</v>
      </c>
      <c r="H8" s="21"/>
      <c r="I8" s="69">
        <f t="shared" ref="I8:I13" si="1">0.1*D8/(5*0.02)</f>
        <v>5</v>
      </c>
      <c r="J8" s="70">
        <f t="shared" ref="J8:J14" si="2">E8*G8</f>
        <v>-0.67600000000000005</v>
      </c>
      <c r="K8" s="70">
        <f t="shared" ref="K8:K13" si="3">100*RADIANS(G8*F8/60)</f>
        <v>1.0239264945033399</v>
      </c>
      <c r="L8" s="21"/>
      <c r="M8" s="81">
        <f t="shared" ref="M8:N14" si="4">J24-J8</f>
        <v>-6.0000000000000053E-3</v>
      </c>
      <c r="N8" s="71">
        <f t="shared" si="4"/>
        <v>1.7453292519943098E-2</v>
      </c>
      <c r="O8" s="79"/>
      <c r="P8" s="16"/>
      <c r="Q8" s="4">
        <f>M8*10</f>
        <v>-6.0000000000000053E-2</v>
      </c>
      <c r="R8" s="4">
        <f>N8*10</f>
        <v>0.17453292519943098</v>
      </c>
    </row>
    <row r="9" spans="1:19" x14ac:dyDescent="0.2">
      <c r="A9" s="68">
        <v>9</v>
      </c>
      <c r="B9" s="101" t="s">
        <v>83</v>
      </c>
      <c r="C9" s="85">
        <f t="shared" si="0"/>
        <v>0.21600059637204713</v>
      </c>
      <c r="D9" s="68">
        <v>10</v>
      </c>
      <c r="E9" s="97">
        <v>-0.3</v>
      </c>
      <c r="F9" s="97">
        <v>15.3</v>
      </c>
      <c r="G9" s="97">
        <v>2</v>
      </c>
      <c r="H9" s="21"/>
      <c r="I9" s="69">
        <f t="shared" si="1"/>
        <v>10</v>
      </c>
      <c r="J9" s="70">
        <f t="shared" si="2"/>
        <v>-0.6</v>
      </c>
      <c r="K9" s="70">
        <f t="shared" si="3"/>
        <v>0.89011791851710798</v>
      </c>
      <c r="L9" s="21"/>
      <c r="M9" s="81">
        <f t="shared" si="4"/>
        <v>-4.0000000000000036E-3</v>
      </c>
      <c r="N9" s="71">
        <f t="shared" si="4"/>
        <v>5.8177641733143659E-3</v>
      </c>
      <c r="O9" s="79"/>
      <c r="P9" s="16"/>
      <c r="Q9" s="4">
        <f t="shared" ref="Q9:Q15" si="5">M9*10</f>
        <v>-4.0000000000000036E-2</v>
      </c>
      <c r="R9" s="4">
        <f t="shared" ref="R9:R14" si="6">N9*10</f>
        <v>5.8177641733143659E-2</v>
      </c>
    </row>
    <row r="10" spans="1:19" x14ac:dyDescent="0.2">
      <c r="A10" s="68">
        <v>10</v>
      </c>
      <c r="B10" s="68"/>
      <c r="C10" s="85">
        <f t="shared" si="0"/>
        <v>0.21600059637204713</v>
      </c>
      <c r="D10" s="68">
        <v>20</v>
      </c>
      <c r="E10" s="97">
        <v>-0.27300000000000002</v>
      </c>
      <c r="F10" s="97">
        <v>13.4</v>
      </c>
      <c r="G10" s="97">
        <v>2</v>
      </c>
      <c r="H10" s="21"/>
      <c r="I10" s="69">
        <f t="shared" si="1"/>
        <v>20</v>
      </c>
      <c r="J10" s="70">
        <f t="shared" si="2"/>
        <v>-0.54600000000000004</v>
      </c>
      <c r="K10" s="70">
        <f t="shared" si="3"/>
        <v>0.7795803992241338</v>
      </c>
      <c r="L10" s="21"/>
      <c r="M10" s="81">
        <f t="shared" si="4"/>
        <v>-2.0000000000000018E-3</v>
      </c>
      <c r="N10" s="71">
        <f t="shared" si="4"/>
        <v>5.8177641733145879E-3</v>
      </c>
      <c r="O10" s="79"/>
      <c r="P10" s="16"/>
      <c r="Q10" s="4">
        <f t="shared" si="5"/>
        <v>-2.0000000000000018E-2</v>
      </c>
      <c r="R10" s="4">
        <f t="shared" si="6"/>
        <v>5.8177641733145879E-2</v>
      </c>
    </row>
    <row r="11" spans="1:19" x14ac:dyDescent="0.2">
      <c r="A11" s="68">
        <v>11</v>
      </c>
      <c r="B11" s="68"/>
      <c r="C11" s="85">
        <f t="shared" si="0"/>
        <v>0.21600059637204713</v>
      </c>
      <c r="D11" s="68">
        <v>40</v>
      </c>
      <c r="E11" s="97">
        <v>-0.251</v>
      </c>
      <c r="F11" s="97">
        <v>11.95</v>
      </c>
      <c r="G11" s="97">
        <v>2</v>
      </c>
      <c r="H11" s="21"/>
      <c r="I11" s="69">
        <f t="shared" si="1"/>
        <v>40</v>
      </c>
      <c r="J11" s="70">
        <f t="shared" si="2"/>
        <v>-0.502</v>
      </c>
      <c r="K11" s="70">
        <f t="shared" si="3"/>
        <v>0.69522281871107461</v>
      </c>
      <c r="L11" s="21"/>
      <c r="M11" s="81">
        <f t="shared" si="4"/>
        <v>0</v>
      </c>
      <c r="N11" s="71">
        <f t="shared" si="4"/>
        <v>8.7266462599715489E-3</v>
      </c>
      <c r="O11" s="79"/>
      <c r="P11" s="16"/>
      <c r="Q11" s="4">
        <f t="shared" si="5"/>
        <v>0</v>
      </c>
      <c r="R11" s="21">
        <f t="shared" si="6"/>
        <v>8.7266462599715489E-2</v>
      </c>
    </row>
    <row r="12" spans="1:19" x14ac:dyDescent="0.2">
      <c r="A12" s="68">
        <v>12</v>
      </c>
      <c r="B12" s="68"/>
      <c r="C12" s="85">
        <f t="shared" si="0"/>
        <v>0.21600059637204713</v>
      </c>
      <c r="D12" s="68">
        <v>60</v>
      </c>
      <c r="E12" s="97">
        <v>-0.24399999999999999</v>
      </c>
      <c r="F12" s="97">
        <v>10.8</v>
      </c>
      <c r="G12" s="97">
        <v>2</v>
      </c>
      <c r="H12" s="21"/>
      <c r="I12" s="69">
        <f t="shared" si="1"/>
        <v>60</v>
      </c>
      <c r="J12" s="70">
        <f t="shared" si="2"/>
        <v>-0.48799999999999999</v>
      </c>
      <c r="K12" s="70">
        <f t="shared" si="3"/>
        <v>0.62831853071795873</v>
      </c>
      <c r="L12" s="21"/>
      <c r="M12" s="81">
        <f t="shared" si="4"/>
        <v>-2.0000000000000018E-3</v>
      </c>
      <c r="N12" s="71">
        <f t="shared" si="4"/>
        <v>1.1635528346628732E-2</v>
      </c>
      <c r="O12" s="79"/>
      <c r="P12" s="16"/>
      <c r="Q12" s="4">
        <f t="shared" si="5"/>
        <v>-2.0000000000000018E-2</v>
      </c>
      <c r="R12" s="21">
        <f t="shared" si="6"/>
        <v>0.11635528346628732</v>
      </c>
    </row>
    <row r="13" spans="1:19" x14ac:dyDescent="0.2">
      <c r="A13" s="68">
        <v>13</v>
      </c>
      <c r="B13" s="68"/>
      <c r="C13" s="85">
        <f t="shared" si="0"/>
        <v>0.21600059637204713</v>
      </c>
      <c r="D13" s="68">
        <v>100</v>
      </c>
      <c r="E13" s="97">
        <v>-0.23400000000000001</v>
      </c>
      <c r="F13" s="97">
        <v>9</v>
      </c>
      <c r="G13" s="97">
        <v>2</v>
      </c>
      <c r="H13" s="21"/>
      <c r="I13" s="69">
        <f t="shared" si="1"/>
        <v>100</v>
      </c>
      <c r="J13" s="70">
        <f t="shared" si="2"/>
        <v>-0.46800000000000003</v>
      </c>
      <c r="K13" s="70">
        <f t="shared" si="3"/>
        <v>0.52359877559829882</v>
      </c>
      <c r="L13" s="21"/>
      <c r="M13" s="81">
        <f t="shared" si="4"/>
        <v>-3.999999999999948E-3</v>
      </c>
      <c r="N13" s="71">
        <f t="shared" si="4"/>
        <v>5.8177641733144769E-3</v>
      </c>
      <c r="O13" s="79"/>
      <c r="P13" s="16"/>
      <c r="Q13" s="4">
        <f t="shared" si="5"/>
        <v>-3.999999999999948E-2</v>
      </c>
      <c r="R13" s="4">
        <f t="shared" si="6"/>
        <v>5.8177641733144769E-2</v>
      </c>
    </row>
    <row r="14" spans="1:19" x14ac:dyDescent="0.2">
      <c r="A14" s="68">
        <v>14</v>
      </c>
      <c r="B14" s="68"/>
      <c r="C14" s="85">
        <f t="shared" si="0"/>
        <v>0.21600059637204713</v>
      </c>
      <c r="D14" s="68">
        <v>120</v>
      </c>
      <c r="E14" s="97">
        <v>-0.22900000000000001</v>
      </c>
      <c r="F14" s="97">
        <v>8.25</v>
      </c>
      <c r="G14" s="97">
        <v>2</v>
      </c>
      <c r="H14" s="21"/>
      <c r="I14" s="69">
        <f>0.1*D14/(5*0.02)</f>
        <v>120</v>
      </c>
      <c r="J14" s="70">
        <f t="shared" si="2"/>
        <v>-0.45800000000000002</v>
      </c>
      <c r="K14" s="70">
        <f>100*RADIANS(G14*F14/60)</f>
        <v>0.47996554429844068</v>
      </c>
      <c r="L14" s="21"/>
      <c r="M14" s="81">
        <f t="shared" si="4"/>
        <v>0</v>
      </c>
      <c r="N14" s="34">
        <f t="shared" si="4"/>
        <v>0</v>
      </c>
      <c r="O14" s="36"/>
      <c r="P14" s="7"/>
      <c r="Q14" s="21">
        <f t="shared" si="5"/>
        <v>0</v>
      </c>
      <c r="R14" s="4">
        <f t="shared" si="6"/>
        <v>0</v>
      </c>
    </row>
    <row r="15" spans="1:19" x14ac:dyDescent="0.2">
      <c r="A15" s="68">
        <v>15</v>
      </c>
      <c r="B15" s="68"/>
      <c r="C15" s="85"/>
      <c r="D15" s="68"/>
      <c r="E15" s="68"/>
      <c r="F15" s="68"/>
      <c r="G15" s="68"/>
      <c r="H15" s="21"/>
      <c r="I15" s="69"/>
      <c r="J15" s="70"/>
      <c r="K15" s="70"/>
      <c r="L15" s="518" t="s">
        <v>274</v>
      </c>
      <c r="M15" s="519">
        <f>AVERAGE(M8:M14)</f>
        <v>-2.5714285714285657E-3</v>
      </c>
      <c r="N15" s="539">
        <f>AVERAGE(N8:N14)</f>
        <v>7.8955370923552582E-3</v>
      </c>
      <c r="O15" s="36"/>
      <c r="Q15" s="21">
        <f t="shared" si="5"/>
        <v>-2.5714285714285655E-2</v>
      </c>
    </row>
    <row r="16" spans="1:19" x14ac:dyDescent="0.2">
      <c r="A16" s="68">
        <v>16</v>
      </c>
      <c r="B16" s="68"/>
      <c r="C16" s="21">
        <f t="shared" ref="C16:C22" si="7">B5A0VA</f>
        <v>2.1000057980615688E-2</v>
      </c>
      <c r="D16" s="68">
        <v>5</v>
      </c>
      <c r="E16" s="97">
        <v>-0.221</v>
      </c>
      <c r="F16" s="97">
        <v>13.55</v>
      </c>
      <c r="G16" s="97">
        <v>1</v>
      </c>
      <c r="H16" s="21"/>
      <c r="I16" s="69">
        <f t="shared" ref="I16:I21" si="8">0.1*D16/(5*0.02)</f>
        <v>5</v>
      </c>
      <c r="J16" s="70">
        <f t="shared" ref="J16:J21" si="9">E16*G16</f>
        <v>-0.221</v>
      </c>
      <c r="K16" s="70">
        <f t="shared" ref="K16:K21" si="10">100*RADIANS(G16*F16/60)</f>
        <v>0.39415352274205279</v>
      </c>
      <c r="L16" s="21"/>
      <c r="M16" s="81">
        <f t="shared" ref="M16:N22" si="11">J32-J16</f>
        <v>-6.0000000000000053E-3</v>
      </c>
      <c r="N16" s="71">
        <f t="shared" si="11"/>
        <v>1.4544410433285915E-3</v>
      </c>
      <c r="O16" s="79"/>
      <c r="Q16" s="4">
        <f>M16*10</f>
        <v>-6.0000000000000053E-2</v>
      </c>
      <c r="R16" s="4">
        <f>N16*10</f>
        <v>1.4544410433285915E-2</v>
      </c>
    </row>
    <row r="17" spans="1:18" x14ac:dyDescent="0.2">
      <c r="A17" s="68">
        <v>17</v>
      </c>
      <c r="B17" s="68"/>
      <c r="C17" s="21">
        <f t="shared" si="7"/>
        <v>2.1000057980615688E-2</v>
      </c>
      <c r="D17" s="68">
        <v>10</v>
      </c>
      <c r="E17" s="97">
        <v>-0.18099999999999999</v>
      </c>
      <c r="F17" s="97">
        <v>10.199999999999999</v>
      </c>
      <c r="G17" s="97">
        <v>1</v>
      </c>
      <c r="H17" s="21"/>
      <c r="I17" s="69">
        <f t="shared" si="8"/>
        <v>10</v>
      </c>
      <c r="J17" s="70">
        <f t="shared" si="9"/>
        <v>-0.18099999999999999</v>
      </c>
      <c r="K17" s="70">
        <f t="shared" si="10"/>
        <v>0.29670597283903599</v>
      </c>
      <c r="L17" s="21"/>
      <c r="M17" s="81">
        <f t="shared" si="11"/>
        <v>-2.0000000000000018E-3</v>
      </c>
      <c r="N17" s="71">
        <f t="shared" si="11"/>
        <v>0</v>
      </c>
      <c r="O17" s="79"/>
      <c r="Q17" s="4">
        <f t="shared" ref="Q17:Q22" si="12">M17*10</f>
        <v>-2.0000000000000018E-2</v>
      </c>
      <c r="R17" s="4">
        <f t="shared" ref="R17:R22" si="13">N17*10</f>
        <v>0</v>
      </c>
    </row>
    <row r="18" spans="1:18" x14ac:dyDescent="0.2">
      <c r="A18" s="68">
        <v>18</v>
      </c>
      <c r="B18" s="68"/>
      <c r="C18" s="21">
        <f t="shared" si="7"/>
        <v>2.1000057980615688E-2</v>
      </c>
      <c r="D18" s="68">
        <v>20</v>
      </c>
      <c r="E18" s="97">
        <v>-0.154</v>
      </c>
      <c r="F18" s="97">
        <v>8.1999999999999993</v>
      </c>
      <c r="G18" s="97">
        <v>1</v>
      </c>
      <c r="H18" s="21"/>
      <c r="I18" s="69">
        <f t="shared" si="8"/>
        <v>20</v>
      </c>
      <c r="J18" s="70">
        <f t="shared" si="9"/>
        <v>-0.154</v>
      </c>
      <c r="K18" s="70">
        <f t="shared" si="10"/>
        <v>0.23852833110589172</v>
      </c>
      <c r="L18" s="21"/>
      <c r="M18" s="81">
        <f t="shared" si="11"/>
        <v>0</v>
      </c>
      <c r="N18" s="71">
        <f t="shared" si="11"/>
        <v>-2.9088820866572662E-3</v>
      </c>
      <c r="O18" s="79"/>
      <c r="Q18" s="4">
        <f t="shared" si="12"/>
        <v>0</v>
      </c>
      <c r="R18" s="4">
        <f t="shared" si="13"/>
        <v>-2.9088820866572662E-2</v>
      </c>
    </row>
    <row r="19" spans="1:18" x14ac:dyDescent="0.2">
      <c r="A19" s="68">
        <v>19</v>
      </c>
      <c r="B19" s="68"/>
      <c r="C19" s="21">
        <f t="shared" si="7"/>
        <v>2.1000057980615688E-2</v>
      </c>
      <c r="D19" s="68">
        <v>40</v>
      </c>
      <c r="E19" s="97">
        <v>-0.13600000000000001</v>
      </c>
      <c r="F19" s="97">
        <v>7</v>
      </c>
      <c r="G19" s="97">
        <v>1</v>
      </c>
      <c r="H19" s="21"/>
      <c r="I19" s="69">
        <f t="shared" si="8"/>
        <v>40</v>
      </c>
      <c r="J19" s="70">
        <f t="shared" si="9"/>
        <v>-0.13600000000000001</v>
      </c>
      <c r="K19" s="70">
        <f t="shared" si="10"/>
        <v>0.20362174606600511</v>
      </c>
      <c r="L19" s="21"/>
      <c r="M19" s="81">
        <f t="shared" si="11"/>
        <v>-1.0000000000000009E-3</v>
      </c>
      <c r="N19" s="71">
        <f t="shared" si="11"/>
        <v>0</v>
      </c>
      <c r="O19" s="79"/>
      <c r="Q19" s="4">
        <f t="shared" si="12"/>
        <v>-1.0000000000000009E-2</v>
      </c>
      <c r="R19" s="21">
        <f t="shared" si="13"/>
        <v>0</v>
      </c>
    </row>
    <row r="20" spans="1:18" x14ac:dyDescent="0.2">
      <c r="A20" s="68">
        <v>20</v>
      </c>
      <c r="B20" s="68"/>
      <c r="C20" s="21">
        <f t="shared" si="7"/>
        <v>2.1000057980615688E-2</v>
      </c>
      <c r="D20" s="68">
        <v>60</v>
      </c>
      <c r="E20" s="97">
        <v>-0.128</v>
      </c>
      <c r="F20" s="97">
        <v>6.5</v>
      </c>
      <c r="G20" s="97">
        <v>1</v>
      </c>
      <c r="H20" s="21"/>
      <c r="I20" s="69">
        <f t="shared" si="8"/>
        <v>60</v>
      </c>
      <c r="J20" s="70">
        <f t="shared" si="9"/>
        <v>-0.128</v>
      </c>
      <c r="K20" s="70">
        <f t="shared" si="10"/>
        <v>0.18907733563271903</v>
      </c>
      <c r="L20" s="21"/>
      <c r="M20" s="81">
        <f t="shared" si="11"/>
        <v>-1.0000000000000009E-3</v>
      </c>
      <c r="N20" s="71">
        <f t="shared" si="11"/>
        <v>0</v>
      </c>
      <c r="O20" s="79"/>
      <c r="Q20" s="4">
        <f t="shared" si="12"/>
        <v>-1.0000000000000009E-2</v>
      </c>
      <c r="R20" s="21">
        <f t="shared" si="13"/>
        <v>0</v>
      </c>
    </row>
    <row r="21" spans="1:18" x14ac:dyDescent="0.2">
      <c r="A21" s="68">
        <v>21</v>
      </c>
      <c r="B21" s="68"/>
      <c r="C21" s="21">
        <f t="shared" si="7"/>
        <v>2.1000057980615688E-2</v>
      </c>
      <c r="D21" s="68">
        <v>100</v>
      </c>
      <c r="E21" s="97">
        <v>-0.12</v>
      </c>
      <c r="F21" s="97">
        <v>6</v>
      </c>
      <c r="G21" s="97">
        <v>1</v>
      </c>
      <c r="H21" s="21"/>
      <c r="I21" s="69">
        <f t="shared" si="8"/>
        <v>100</v>
      </c>
      <c r="J21" s="70">
        <f t="shared" si="9"/>
        <v>-0.12</v>
      </c>
      <c r="K21" s="70">
        <f t="shared" si="10"/>
        <v>0.17453292519943295</v>
      </c>
      <c r="L21" s="21"/>
      <c r="M21" s="81">
        <f t="shared" si="11"/>
        <v>-1.0000000000000009E-3</v>
      </c>
      <c r="N21" s="71">
        <f t="shared" si="11"/>
        <v>0</v>
      </c>
      <c r="O21" s="79"/>
      <c r="Q21" s="4">
        <f t="shared" si="12"/>
        <v>-1.0000000000000009E-2</v>
      </c>
      <c r="R21" s="4">
        <f t="shared" si="13"/>
        <v>0</v>
      </c>
    </row>
    <row r="22" spans="1:18" x14ac:dyDescent="0.2">
      <c r="A22" s="68">
        <v>22</v>
      </c>
      <c r="B22" s="68"/>
      <c r="C22" s="21">
        <f t="shared" si="7"/>
        <v>2.1000057980615688E-2</v>
      </c>
      <c r="D22" s="68">
        <v>120</v>
      </c>
      <c r="E22" s="97">
        <v>-0.11799999999999999</v>
      </c>
      <c r="F22" s="97">
        <v>5.8</v>
      </c>
      <c r="G22" s="97">
        <v>1</v>
      </c>
      <c r="H22" s="21"/>
      <c r="I22" s="69">
        <f>0.1*D22/(5*0.02)</f>
        <v>120</v>
      </c>
      <c r="J22" s="70">
        <f>E22*G22</f>
        <v>-0.11799999999999999</v>
      </c>
      <c r="K22" s="70">
        <f>100*RADIANS(G22*F22/60)</f>
        <v>0.16871516102611853</v>
      </c>
      <c r="L22" s="21"/>
      <c r="M22" s="81">
        <f t="shared" si="11"/>
        <v>-1.0000000000000009E-3</v>
      </c>
      <c r="N22" s="34">
        <f t="shared" si="11"/>
        <v>2.9088820866572385E-3</v>
      </c>
      <c r="O22" s="36"/>
      <c r="Q22" s="21">
        <f t="shared" si="12"/>
        <v>-1.0000000000000009E-2</v>
      </c>
      <c r="R22" s="4">
        <f t="shared" si="13"/>
        <v>2.9088820866572385E-2</v>
      </c>
    </row>
    <row r="23" spans="1:18" x14ac:dyDescent="0.2">
      <c r="A23" s="68">
        <v>23</v>
      </c>
      <c r="B23" s="68"/>
      <c r="C23" s="102"/>
      <c r="D23" s="68"/>
      <c r="E23" s="68"/>
      <c r="F23" s="68"/>
      <c r="G23" s="68"/>
      <c r="H23" s="68"/>
      <c r="I23" s="69"/>
      <c r="J23" s="70"/>
      <c r="K23" s="70"/>
      <c r="L23" s="21"/>
      <c r="M23" s="166"/>
      <c r="N23" s="66"/>
      <c r="O23" s="40"/>
      <c r="Q23" s="21">
        <f>M23*10</f>
        <v>0</v>
      </c>
      <c r="R23" s="4">
        <f>N23*10</f>
        <v>0</v>
      </c>
    </row>
    <row r="24" spans="1:18" x14ac:dyDescent="0.2">
      <c r="A24" s="68">
        <v>24</v>
      </c>
      <c r="B24" s="68" t="s">
        <v>84</v>
      </c>
      <c r="C24" s="85">
        <f t="shared" ref="C24:C30" si="14">B5A5.0VA</f>
        <v>0.21600059637204713</v>
      </c>
      <c r="D24" s="68">
        <v>5</v>
      </c>
      <c r="E24" s="97">
        <v>-0.34100000000000003</v>
      </c>
      <c r="F24" s="97">
        <v>17.899999999999999</v>
      </c>
      <c r="G24" s="97">
        <v>2</v>
      </c>
      <c r="H24" s="68"/>
      <c r="I24" s="69">
        <f t="shared" ref="I24:I29" si="15">0.1*D24/(5*0.02)</f>
        <v>5</v>
      </c>
      <c r="J24" s="70">
        <f t="shared" ref="J24:J29" si="16">E24*G24</f>
        <v>-0.68200000000000005</v>
      </c>
      <c r="K24" s="70">
        <f t="shared" ref="K24:K29" si="17">100*RADIANS(G24*F24/60)</f>
        <v>1.041379787023283</v>
      </c>
      <c r="L24" s="518" t="s">
        <v>274</v>
      </c>
      <c r="M24" s="519">
        <f>AVERAGE(M17:M23)</f>
        <v>-1.0000000000000009E-3</v>
      </c>
      <c r="N24" s="519">
        <f>AVERAGE(N17:N23)</f>
        <v>-4.6259292692714853E-18</v>
      </c>
    </row>
    <row r="25" spans="1:18" x14ac:dyDescent="0.2">
      <c r="A25" s="68">
        <v>25</v>
      </c>
      <c r="C25" s="85">
        <f t="shared" si="14"/>
        <v>0.21600059637204713</v>
      </c>
      <c r="D25" s="68">
        <v>10</v>
      </c>
      <c r="E25" s="97">
        <v>-0.30199999999999999</v>
      </c>
      <c r="F25" s="97">
        <v>15.4</v>
      </c>
      <c r="G25" s="97">
        <v>2</v>
      </c>
      <c r="H25" s="68"/>
      <c r="I25" s="69">
        <f t="shared" si="15"/>
        <v>10</v>
      </c>
      <c r="J25" s="70">
        <f t="shared" si="16"/>
        <v>-0.60399999999999998</v>
      </c>
      <c r="K25" s="70">
        <f t="shared" si="17"/>
        <v>0.89593568269042234</v>
      </c>
      <c r="L25" s="518" t="s">
        <v>296</v>
      </c>
      <c r="M25" s="520">
        <f>_xlfn.STDEV.P(M16:M22)</f>
        <v>1.8294640678379588E-3</v>
      </c>
      <c r="N25" s="520">
        <f>_xlfn.STDEV.P(N16:N22)</f>
        <v>1.6360400324936476E-3</v>
      </c>
    </row>
    <row r="26" spans="1:18" x14ac:dyDescent="0.2">
      <c r="A26" s="68">
        <v>26</v>
      </c>
      <c r="B26" s="68"/>
      <c r="C26" s="85">
        <f t="shared" si="14"/>
        <v>0.21600059637204713</v>
      </c>
      <c r="D26" s="68">
        <v>20</v>
      </c>
      <c r="E26" s="97">
        <v>-0.27400000000000002</v>
      </c>
      <c r="F26" s="97">
        <v>13.5</v>
      </c>
      <c r="G26" s="97">
        <v>2</v>
      </c>
      <c r="H26" s="68"/>
      <c r="I26" s="69">
        <f t="shared" si="15"/>
        <v>20</v>
      </c>
      <c r="J26" s="70">
        <f t="shared" si="16"/>
        <v>-0.54800000000000004</v>
      </c>
      <c r="K26" s="70">
        <f t="shared" si="17"/>
        <v>0.78539816339744839</v>
      </c>
      <c r="L26" s="21"/>
    </row>
    <row r="27" spans="1:18" x14ac:dyDescent="0.2">
      <c r="A27" s="68">
        <v>27</v>
      </c>
      <c r="B27" s="68"/>
      <c r="C27" s="85">
        <f t="shared" si="14"/>
        <v>0.21600059637204713</v>
      </c>
      <c r="D27" s="68">
        <v>40</v>
      </c>
      <c r="E27" s="97">
        <v>-0.251</v>
      </c>
      <c r="F27" s="97">
        <v>12.1</v>
      </c>
      <c r="G27" s="97">
        <v>2</v>
      </c>
      <c r="H27" s="68"/>
      <c r="I27" s="69">
        <f t="shared" si="15"/>
        <v>40</v>
      </c>
      <c r="J27" s="70">
        <f t="shared" si="16"/>
        <v>-0.502</v>
      </c>
      <c r="K27" s="70">
        <f t="shared" si="17"/>
        <v>0.70394946497104616</v>
      </c>
      <c r="L27" s="518" t="s">
        <v>296</v>
      </c>
      <c r="M27" s="520">
        <f>_xlfn.STDEV.P(M8:M14)</f>
        <v>2.0603150145508476E-3</v>
      </c>
      <c r="N27" s="520">
        <f>_xlfn.STDEV.P(N8:N14)</f>
        <v>5.0894834530231942E-3</v>
      </c>
    </row>
    <row r="28" spans="1:18" x14ac:dyDescent="0.2">
      <c r="A28" s="68">
        <v>28</v>
      </c>
      <c r="B28" s="68"/>
      <c r="C28" s="85">
        <f t="shared" si="14"/>
        <v>0.21600059637204713</v>
      </c>
      <c r="D28" s="68">
        <v>60</v>
      </c>
      <c r="E28" s="97">
        <v>-0.245</v>
      </c>
      <c r="F28" s="97">
        <v>11</v>
      </c>
      <c r="G28" s="97">
        <v>2</v>
      </c>
      <c r="H28" s="68"/>
      <c r="I28" s="69">
        <f t="shared" si="15"/>
        <v>60</v>
      </c>
      <c r="J28" s="70">
        <f t="shared" si="16"/>
        <v>-0.49</v>
      </c>
      <c r="K28" s="70">
        <f t="shared" si="17"/>
        <v>0.63995405906458747</v>
      </c>
      <c r="L28" s="21"/>
    </row>
    <row r="29" spans="1:18" x14ac:dyDescent="0.2">
      <c r="A29" s="68">
        <v>29</v>
      </c>
      <c r="B29" s="68"/>
      <c r="C29" s="85">
        <f t="shared" si="14"/>
        <v>0.21600059637204713</v>
      </c>
      <c r="D29" s="68">
        <v>100</v>
      </c>
      <c r="E29" s="97">
        <v>-0.23599999999999999</v>
      </c>
      <c r="F29" s="97">
        <v>9.1</v>
      </c>
      <c r="G29" s="97">
        <v>2</v>
      </c>
      <c r="H29" s="68"/>
      <c r="I29" s="69">
        <f t="shared" si="15"/>
        <v>100</v>
      </c>
      <c r="J29" s="70">
        <f t="shared" si="16"/>
        <v>-0.47199999999999998</v>
      </c>
      <c r="K29" s="70">
        <f t="shared" si="17"/>
        <v>0.52941653977161329</v>
      </c>
      <c r="L29" s="21"/>
    </row>
    <row r="30" spans="1:18" x14ac:dyDescent="0.2">
      <c r="A30" s="68">
        <v>30</v>
      </c>
      <c r="B30" s="68"/>
      <c r="C30" s="85">
        <f t="shared" si="14"/>
        <v>0.21600059637204713</v>
      </c>
      <c r="D30" s="68">
        <v>120</v>
      </c>
      <c r="E30" s="97">
        <v>-0.22900000000000001</v>
      </c>
      <c r="F30" s="97">
        <v>8.25</v>
      </c>
      <c r="G30" s="97">
        <v>2</v>
      </c>
      <c r="H30" s="68"/>
      <c r="I30" s="69">
        <f>0.1*D30/(5*0.02)</f>
        <v>120</v>
      </c>
      <c r="J30" s="70">
        <f>E30*G30</f>
        <v>-0.45800000000000002</v>
      </c>
      <c r="K30" s="70">
        <f>100*RADIANS(G30*F30/60)</f>
        <v>0.47996554429844068</v>
      </c>
      <c r="L30" s="21"/>
    </row>
    <row r="31" spans="1:18" x14ac:dyDescent="0.2">
      <c r="A31" s="68">
        <v>31</v>
      </c>
      <c r="B31" s="68"/>
      <c r="C31" s="85"/>
      <c r="D31" s="68"/>
      <c r="E31" s="68"/>
      <c r="F31" s="68"/>
      <c r="G31" s="68"/>
      <c r="H31" s="68"/>
      <c r="I31" s="69"/>
      <c r="J31" s="70"/>
      <c r="K31" s="70"/>
      <c r="L31" s="21"/>
    </row>
    <row r="32" spans="1:18" x14ac:dyDescent="0.2">
      <c r="A32" s="68">
        <v>32</v>
      </c>
      <c r="B32" s="68"/>
      <c r="C32" s="21">
        <f t="shared" ref="C32:C38" si="18">B5A0VA</f>
        <v>2.1000057980615688E-2</v>
      </c>
      <c r="D32" s="68">
        <v>5</v>
      </c>
      <c r="E32" s="97">
        <v>-0.22700000000000001</v>
      </c>
      <c r="F32" s="97">
        <v>13.6</v>
      </c>
      <c r="G32" s="97">
        <v>1</v>
      </c>
      <c r="H32" s="68"/>
      <c r="I32" s="69">
        <f t="shared" ref="I32:I37" si="19">0.1*D32/(5*0.02)</f>
        <v>5</v>
      </c>
      <c r="J32" s="70">
        <f t="shared" ref="J32:J37" si="20">E32*G32</f>
        <v>-0.22700000000000001</v>
      </c>
      <c r="K32" s="70">
        <f t="shared" ref="K32:K37" si="21">100*RADIANS(G32*F32/60)</f>
        <v>0.39560796378538138</v>
      </c>
      <c r="L32" s="68"/>
    </row>
    <row r="33" spans="1:24" x14ac:dyDescent="0.2">
      <c r="A33" s="68">
        <v>33</v>
      </c>
      <c r="B33" s="68"/>
      <c r="C33" s="21">
        <f t="shared" si="18"/>
        <v>2.1000057980615688E-2</v>
      </c>
      <c r="D33" s="68">
        <v>10</v>
      </c>
      <c r="E33" s="97">
        <v>-0.183</v>
      </c>
      <c r="F33" s="97">
        <v>10.199999999999999</v>
      </c>
      <c r="G33" s="97">
        <v>1</v>
      </c>
      <c r="H33" s="68"/>
      <c r="I33" s="69">
        <f t="shared" si="19"/>
        <v>10</v>
      </c>
      <c r="J33" s="70">
        <f t="shared" si="20"/>
        <v>-0.183</v>
      </c>
      <c r="K33" s="70">
        <f t="shared" si="21"/>
        <v>0.29670597283903599</v>
      </c>
      <c r="L33" s="68"/>
    </row>
    <row r="34" spans="1:24" x14ac:dyDescent="0.2">
      <c r="A34" s="68">
        <v>34</v>
      </c>
      <c r="B34" s="68"/>
      <c r="C34" s="21">
        <f t="shared" si="18"/>
        <v>2.1000057980615688E-2</v>
      </c>
      <c r="D34" s="68">
        <v>20</v>
      </c>
      <c r="E34" s="97">
        <v>-0.154</v>
      </c>
      <c r="F34" s="97">
        <v>8.1</v>
      </c>
      <c r="G34" s="97">
        <v>1</v>
      </c>
      <c r="H34" s="68"/>
      <c r="I34" s="69">
        <f t="shared" si="19"/>
        <v>20</v>
      </c>
      <c r="J34" s="70">
        <f t="shared" si="20"/>
        <v>-0.154</v>
      </c>
      <c r="K34" s="70">
        <f t="shared" si="21"/>
        <v>0.23561944901923446</v>
      </c>
      <c r="L34" s="68"/>
      <c r="X34" s="29"/>
    </row>
    <row r="35" spans="1:24" x14ac:dyDescent="0.2">
      <c r="A35" s="68">
        <v>35</v>
      </c>
      <c r="B35" s="68"/>
      <c r="C35" s="21">
        <f t="shared" si="18"/>
        <v>2.1000057980615688E-2</v>
      </c>
      <c r="D35" s="68">
        <v>40</v>
      </c>
      <c r="E35" s="97">
        <v>-0.13700000000000001</v>
      </c>
      <c r="F35" s="97">
        <v>7</v>
      </c>
      <c r="G35" s="97">
        <v>1</v>
      </c>
      <c r="H35" s="68"/>
      <c r="I35" s="69">
        <f t="shared" si="19"/>
        <v>40</v>
      </c>
      <c r="J35" s="70">
        <f t="shared" si="20"/>
        <v>-0.13700000000000001</v>
      </c>
      <c r="K35" s="70">
        <f t="shared" si="21"/>
        <v>0.20362174606600511</v>
      </c>
      <c r="L35" s="68"/>
    </row>
    <row r="36" spans="1:24" x14ac:dyDescent="0.2">
      <c r="A36" s="68">
        <v>36</v>
      </c>
      <c r="B36" s="68"/>
      <c r="C36" s="21">
        <f t="shared" si="18"/>
        <v>2.1000057980615688E-2</v>
      </c>
      <c r="D36" s="68">
        <v>60</v>
      </c>
      <c r="E36" s="97">
        <v>-0.129</v>
      </c>
      <c r="F36" s="97">
        <v>6.5</v>
      </c>
      <c r="G36" s="97">
        <v>1</v>
      </c>
      <c r="H36" s="68"/>
      <c r="I36" s="69">
        <f t="shared" si="19"/>
        <v>60</v>
      </c>
      <c r="J36" s="70">
        <f t="shared" si="20"/>
        <v>-0.129</v>
      </c>
      <c r="K36" s="70">
        <f t="shared" si="21"/>
        <v>0.18907733563271903</v>
      </c>
      <c r="L36" s="68"/>
    </row>
    <row r="37" spans="1:24" x14ac:dyDescent="0.2">
      <c r="A37" s="68">
        <v>37</v>
      </c>
      <c r="B37" s="68"/>
      <c r="C37" s="21">
        <f t="shared" si="18"/>
        <v>2.1000057980615688E-2</v>
      </c>
      <c r="D37" s="68">
        <v>100</v>
      </c>
      <c r="E37" s="97">
        <v>-0.121</v>
      </c>
      <c r="F37" s="97">
        <v>6</v>
      </c>
      <c r="G37" s="97">
        <v>1</v>
      </c>
      <c r="H37" s="68"/>
      <c r="I37" s="69">
        <f t="shared" si="19"/>
        <v>100</v>
      </c>
      <c r="J37" s="70">
        <f t="shared" si="20"/>
        <v>-0.121</v>
      </c>
      <c r="K37" s="70">
        <f t="shared" si="21"/>
        <v>0.17453292519943295</v>
      </c>
      <c r="L37" s="68"/>
    </row>
    <row r="38" spans="1:24" x14ac:dyDescent="0.2">
      <c r="A38" s="68">
        <v>38</v>
      </c>
      <c r="B38" s="68"/>
      <c r="C38" s="21">
        <f t="shared" si="18"/>
        <v>2.1000057980615688E-2</v>
      </c>
      <c r="D38" s="68">
        <v>120</v>
      </c>
      <c r="E38" s="97">
        <v>-0.11899999999999999</v>
      </c>
      <c r="F38" s="97">
        <v>5.9</v>
      </c>
      <c r="G38" s="97">
        <v>1</v>
      </c>
      <c r="H38" s="68"/>
      <c r="I38" s="69">
        <f>0.1*D38/(5*0.02)</f>
        <v>120</v>
      </c>
      <c r="J38" s="70">
        <f>E38*G38</f>
        <v>-0.11899999999999999</v>
      </c>
      <c r="K38" s="70">
        <f>100*RADIANS(G38*F38/60)</f>
        <v>0.17162404311277576</v>
      </c>
      <c r="L38" s="68"/>
    </row>
    <row r="39" spans="1:24" x14ac:dyDescent="0.2">
      <c r="A39" s="68">
        <v>39</v>
      </c>
      <c r="B39" s="96" t="str">
        <f>O39&amp;"/5 Range, "&amp;O40&amp;" turns, vs "&amp;O42&amp;" turns, "&amp;O41&amp;" A range, 2 Stage CT"</f>
        <v>200/5 Range, 2 turns, vs 100 turns, 100 A range, 2 Stage CT</v>
      </c>
      <c r="C39" s="68"/>
      <c r="D39" s="68"/>
      <c r="E39" s="68"/>
      <c r="F39" s="68"/>
      <c r="G39" s="68"/>
      <c r="H39" s="68"/>
      <c r="I39" s="98"/>
      <c r="L39" s="68"/>
      <c r="N39" s="261" t="s">
        <v>364</v>
      </c>
      <c r="O39" s="97">
        <v>200</v>
      </c>
    </row>
    <row r="40" spans="1:24" x14ac:dyDescent="0.2">
      <c r="A40" s="68">
        <v>40</v>
      </c>
      <c r="B40" s="96" t="s">
        <v>491</v>
      </c>
      <c r="C40" s="98" t="s">
        <v>121</v>
      </c>
      <c r="D40" s="68"/>
      <c r="E40" s="68"/>
      <c r="F40" s="68"/>
      <c r="G40" s="68"/>
      <c r="H40" s="68"/>
      <c r="I40" s="68"/>
      <c r="L40" s="68"/>
      <c r="N40" s="261" t="s">
        <v>365</v>
      </c>
      <c r="O40" s="97">
        <v>2</v>
      </c>
      <c r="P40" s="252"/>
    </row>
    <row r="41" spans="1:24" x14ac:dyDescent="0.2">
      <c r="A41" s="68">
        <v>41</v>
      </c>
      <c r="B41" s="108">
        <v>42566</v>
      </c>
      <c r="C41" s="85">
        <f t="shared" ref="C41:C47" si="22">B5A5.0VA</f>
        <v>0.21600059637204713</v>
      </c>
      <c r="D41" s="68">
        <v>5</v>
      </c>
      <c r="E41" s="499">
        <f>E24</f>
        <v>-0.34100000000000003</v>
      </c>
      <c r="F41" s="499">
        <f>F24</f>
        <v>17.899999999999999</v>
      </c>
      <c r="G41" s="499">
        <f>G24</f>
        <v>2</v>
      </c>
      <c r="H41" s="68"/>
      <c r="I41" s="69">
        <f t="shared" ref="I41:I47" si="23">0.1*D41/(5*0.02)</f>
        <v>5</v>
      </c>
      <c r="J41" s="155">
        <f t="shared" ref="J41:J47" si="24">E41*G41</f>
        <v>-0.68200000000000005</v>
      </c>
      <c r="K41" s="70">
        <f t="shared" ref="K41:K47" si="25">100*RADIANS(G41*F41/60)</f>
        <v>1.041379787023283</v>
      </c>
      <c r="L41" s="68"/>
      <c r="N41" s="261" t="s">
        <v>366</v>
      </c>
      <c r="O41" s="97">
        <v>100</v>
      </c>
      <c r="P41" s="252"/>
    </row>
    <row r="42" spans="1:24" x14ac:dyDescent="0.2">
      <c r="A42" s="68">
        <v>42</v>
      </c>
      <c r="B42" s="395" t="s">
        <v>359</v>
      </c>
      <c r="C42" s="85">
        <f t="shared" si="22"/>
        <v>0.21600059637204713</v>
      </c>
      <c r="D42" s="68">
        <v>10</v>
      </c>
      <c r="E42" s="499">
        <f t="shared" ref="E42:E55" si="26">E25</f>
        <v>-0.30199999999999999</v>
      </c>
      <c r="F42" s="499">
        <f t="shared" ref="F42:G47" si="27">F25</f>
        <v>15.4</v>
      </c>
      <c r="G42" s="499">
        <f t="shared" si="27"/>
        <v>2</v>
      </c>
      <c r="H42" s="68"/>
      <c r="I42" s="69">
        <f t="shared" si="23"/>
        <v>10</v>
      </c>
      <c r="J42" s="155">
        <f t="shared" si="24"/>
        <v>-0.60399999999999998</v>
      </c>
      <c r="K42" s="70">
        <f t="shared" si="25"/>
        <v>0.89593568269042234</v>
      </c>
      <c r="L42" s="68"/>
      <c r="N42" s="261" t="s">
        <v>367</v>
      </c>
      <c r="O42" s="97">
        <v>100</v>
      </c>
      <c r="P42" s="252"/>
    </row>
    <row r="43" spans="1:24" x14ac:dyDescent="0.2">
      <c r="A43" s="68">
        <v>43</v>
      </c>
      <c r="B43" s="395" t="s">
        <v>360</v>
      </c>
      <c r="C43" s="85">
        <f t="shared" si="22"/>
        <v>0.21600059637204713</v>
      </c>
      <c r="D43" s="68">
        <v>20</v>
      </c>
      <c r="E43" s="499">
        <f t="shared" si="26"/>
        <v>-0.27400000000000002</v>
      </c>
      <c r="F43" s="499">
        <f t="shared" si="27"/>
        <v>13.5</v>
      </c>
      <c r="G43" s="499">
        <f t="shared" si="27"/>
        <v>2</v>
      </c>
      <c r="H43" s="68"/>
      <c r="I43" s="69">
        <f t="shared" si="23"/>
        <v>20</v>
      </c>
      <c r="J43" s="70">
        <f t="shared" si="24"/>
        <v>-0.54800000000000004</v>
      </c>
      <c r="K43" s="70">
        <f t="shared" si="25"/>
        <v>0.78539816339744839</v>
      </c>
      <c r="L43" s="68"/>
    </row>
    <row r="44" spans="1:24" x14ac:dyDescent="0.2">
      <c r="A44" s="68">
        <v>44</v>
      </c>
      <c r="B44" s="395" t="s">
        <v>361</v>
      </c>
      <c r="C44" s="85">
        <f t="shared" si="22"/>
        <v>0.21600059637204713</v>
      </c>
      <c r="D44" s="68">
        <v>40</v>
      </c>
      <c r="E44" s="499">
        <f t="shared" si="26"/>
        <v>-0.251</v>
      </c>
      <c r="F44" s="499">
        <f t="shared" si="27"/>
        <v>12.1</v>
      </c>
      <c r="G44" s="499">
        <f t="shared" si="27"/>
        <v>2</v>
      </c>
      <c r="H44" s="68"/>
      <c r="I44" s="69">
        <f t="shared" si="23"/>
        <v>40</v>
      </c>
      <c r="J44" s="70">
        <f t="shared" si="24"/>
        <v>-0.502</v>
      </c>
      <c r="K44" s="70">
        <f t="shared" si="25"/>
        <v>0.70394946497104616</v>
      </c>
      <c r="L44" s="68"/>
    </row>
    <row r="45" spans="1:24" x14ac:dyDescent="0.2">
      <c r="A45" s="68">
        <v>45</v>
      </c>
      <c r="B45" s="395" t="s">
        <v>362</v>
      </c>
      <c r="C45" s="85">
        <f t="shared" si="22"/>
        <v>0.21600059637204713</v>
      </c>
      <c r="D45" s="68">
        <v>60</v>
      </c>
      <c r="E45" s="499">
        <f t="shared" si="26"/>
        <v>-0.245</v>
      </c>
      <c r="F45" s="499">
        <f t="shared" si="27"/>
        <v>11</v>
      </c>
      <c r="G45" s="499">
        <f t="shared" si="27"/>
        <v>2</v>
      </c>
      <c r="H45" s="68"/>
      <c r="I45" s="69">
        <f t="shared" si="23"/>
        <v>60</v>
      </c>
      <c r="J45" s="70">
        <f t="shared" si="24"/>
        <v>-0.49</v>
      </c>
      <c r="K45" s="70">
        <f t="shared" si="25"/>
        <v>0.63995405906458747</v>
      </c>
      <c r="L45" s="68"/>
    </row>
    <row r="46" spans="1:24" x14ac:dyDescent="0.2">
      <c r="A46" s="68">
        <v>46</v>
      </c>
      <c r="B46" s="395" t="s">
        <v>363</v>
      </c>
      <c r="C46" s="85">
        <f t="shared" si="22"/>
        <v>0.21600059637204713</v>
      </c>
      <c r="D46" s="68">
        <v>100</v>
      </c>
      <c r="E46" s="499">
        <f t="shared" si="26"/>
        <v>-0.23599999999999999</v>
      </c>
      <c r="F46" s="499">
        <f t="shared" si="27"/>
        <v>9.1</v>
      </c>
      <c r="G46" s="499">
        <f t="shared" si="27"/>
        <v>2</v>
      </c>
      <c r="H46" s="68"/>
      <c r="I46" s="69">
        <f t="shared" si="23"/>
        <v>100</v>
      </c>
      <c r="J46" s="70">
        <f t="shared" si="24"/>
        <v>-0.47199999999999998</v>
      </c>
      <c r="K46" s="70">
        <f t="shared" si="25"/>
        <v>0.52941653977161329</v>
      </c>
      <c r="L46" s="68"/>
    </row>
    <row r="47" spans="1:24" x14ac:dyDescent="0.2">
      <c r="A47" s="68">
        <v>47</v>
      </c>
      <c r="C47" s="85">
        <f t="shared" si="22"/>
        <v>0.21600059637204713</v>
      </c>
      <c r="D47" s="68">
        <v>120</v>
      </c>
      <c r="E47" s="499">
        <f t="shared" si="26"/>
        <v>-0.22900000000000001</v>
      </c>
      <c r="F47" s="499">
        <f t="shared" si="27"/>
        <v>8.25</v>
      </c>
      <c r="G47" s="499">
        <f t="shared" si="27"/>
        <v>2</v>
      </c>
      <c r="H47" s="68"/>
      <c r="I47" s="69">
        <f t="shared" si="23"/>
        <v>120</v>
      </c>
      <c r="J47" s="70">
        <f t="shared" si="24"/>
        <v>-0.45800000000000002</v>
      </c>
      <c r="K47" s="70">
        <f t="shared" si="25"/>
        <v>0.47996554429844068</v>
      </c>
      <c r="L47" s="68"/>
    </row>
    <row r="48" spans="1:24" x14ac:dyDescent="0.2">
      <c r="A48" s="68">
        <v>48</v>
      </c>
      <c r="B48" s="484" t="s">
        <v>449</v>
      </c>
      <c r="C48" s="85"/>
      <c r="D48" s="68"/>
      <c r="E48" s="68"/>
      <c r="F48" s="68"/>
      <c r="G48" s="68"/>
      <c r="H48" s="68"/>
      <c r="I48" s="69"/>
      <c r="J48" s="70"/>
      <c r="K48" s="70"/>
      <c r="L48" s="68"/>
    </row>
    <row r="49" spans="1:27" x14ac:dyDescent="0.2">
      <c r="A49" s="68">
        <v>49</v>
      </c>
      <c r="B49" s="68"/>
      <c r="C49" s="21">
        <f t="shared" ref="C49:C55" si="28">B5A0VA</f>
        <v>2.1000057980615688E-2</v>
      </c>
      <c r="D49" s="68">
        <v>5</v>
      </c>
      <c r="E49" s="499">
        <f t="shared" si="26"/>
        <v>-0.22700000000000001</v>
      </c>
      <c r="F49" s="499">
        <f t="shared" ref="F49:G55" si="29">F32</f>
        <v>13.6</v>
      </c>
      <c r="G49" s="499">
        <f>G32</f>
        <v>1</v>
      </c>
      <c r="H49" s="68"/>
      <c r="I49" s="69">
        <f t="shared" ref="I49:I54" si="30">0.1*D49/(5*0.02)</f>
        <v>5</v>
      </c>
      <c r="J49" s="70">
        <f t="shared" ref="J49:J55" si="31">E49*G49</f>
        <v>-0.22700000000000001</v>
      </c>
      <c r="K49" s="70">
        <f t="shared" ref="K49:K54" si="32">100*RADIANS(G49*F49/60)</f>
        <v>0.39560796378538138</v>
      </c>
      <c r="L49" s="68"/>
    </row>
    <row r="50" spans="1:27" x14ac:dyDescent="0.2">
      <c r="A50" s="68">
        <v>50</v>
      </c>
      <c r="B50" s="68"/>
      <c r="C50" s="21">
        <f t="shared" si="28"/>
        <v>2.1000057980615688E-2</v>
      </c>
      <c r="D50" s="68">
        <v>10</v>
      </c>
      <c r="E50" s="499">
        <f t="shared" si="26"/>
        <v>-0.183</v>
      </c>
      <c r="F50" s="499">
        <f t="shared" si="29"/>
        <v>10.199999999999999</v>
      </c>
      <c r="G50" s="499">
        <f t="shared" si="29"/>
        <v>1</v>
      </c>
      <c r="H50" s="68"/>
      <c r="I50" s="69">
        <f t="shared" si="30"/>
        <v>10</v>
      </c>
      <c r="J50" s="70">
        <f t="shared" si="31"/>
        <v>-0.183</v>
      </c>
      <c r="K50" s="70">
        <f t="shared" si="32"/>
        <v>0.29670597283903599</v>
      </c>
      <c r="L50" s="68"/>
    </row>
    <row r="51" spans="1:27" x14ac:dyDescent="0.2">
      <c r="A51" s="68">
        <v>51</v>
      </c>
      <c r="B51" s="68"/>
      <c r="C51" s="21">
        <f t="shared" si="28"/>
        <v>2.1000057980615688E-2</v>
      </c>
      <c r="D51" s="68">
        <v>20</v>
      </c>
      <c r="E51" s="499">
        <f t="shared" si="26"/>
        <v>-0.154</v>
      </c>
      <c r="F51" s="499">
        <f t="shared" si="29"/>
        <v>8.1</v>
      </c>
      <c r="G51" s="499">
        <f t="shared" si="29"/>
        <v>1</v>
      </c>
      <c r="H51" s="68"/>
      <c r="I51" s="69">
        <f t="shared" si="30"/>
        <v>20</v>
      </c>
      <c r="J51" s="70">
        <f t="shared" si="31"/>
        <v>-0.154</v>
      </c>
      <c r="K51" s="70">
        <f t="shared" si="32"/>
        <v>0.23561944901923446</v>
      </c>
      <c r="L51" s="68"/>
    </row>
    <row r="52" spans="1:27" x14ac:dyDescent="0.2">
      <c r="A52" s="68">
        <v>52</v>
      </c>
      <c r="B52" s="68"/>
      <c r="C52" s="21">
        <f t="shared" si="28"/>
        <v>2.1000057980615688E-2</v>
      </c>
      <c r="D52" s="68">
        <v>40</v>
      </c>
      <c r="E52" s="499">
        <f t="shared" si="26"/>
        <v>-0.13700000000000001</v>
      </c>
      <c r="F52" s="499">
        <f t="shared" si="29"/>
        <v>7</v>
      </c>
      <c r="G52" s="499">
        <f t="shared" si="29"/>
        <v>1</v>
      </c>
      <c r="H52" s="68"/>
      <c r="I52" s="69">
        <f t="shared" si="30"/>
        <v>40</v>
      </c>
      <c r="J52" s="70">
        <f t="shared" si="31"/>
        <v>-0.13700000000000001</v>
      </c>
      <c r="K52" s="70">
        <f t="shared" si="32"/>
        <v>0.20362174606600511</v>
      </c>
      <c r="L52" s="68"/>
    </row>
    <row r="53" spans="1:27" x14ac:dyDescent="0.2">
      <c r="A53" s="68">
        <v>53</v>
      </c>
      <c r="B53" s="68"/>
      <c r="C53" s="21">
        <f t="shared" si="28"/>
        <v>2.1000057980615688E-2</v>
      </c>
      <c r="D53" s="68">
        <v>60</v>
      </c>
      <c r="E53" s="499">
        <f t="shared" si="26"/>
        <v>-0.129</v>
      </c>
      <c r="F53" s="499">
        <f t="shared" si="29"/>
        <v>6.5</v>
      </c>
      <c r="G53" s="499">
        <f t="shared" si="29"/>
        <v>1</v>
      </c>
      <c r="H53" s="68"/>
      <c r="I53" s="69">
        <f t="shared" si="30"/>
        <v>60</v>
      </c>
      <c r="J53" s="70">
        <f t="shared" si="31"/>
        <v>-0.129</v>
      </c>
      <c r="K53" s="70">
        <f t="shared" si="32"/>
        <v>0.18907733563271903</v>
      </c>
      <c r="L53" s="68"/>
    </row>
    <row r="54" spans="1:27" x14ac:dyDescent="0.2">
      <c r="A54" s="68">
        <v>54</v>
      </c>
      <c r="B54" s="68"/>
      <c r="C54" s="21">
        <f t="shared" si="28"/>
        <v>2.1000057980615688E-2</v>
      </c>
      <c r="D54" s="68">
        <v>100</v>
      </c>
      <c r="E54" s="499">
        <f t="shared" si="26"/>
        <v>-0.121</v>
      </c>
      <c r="F54" s="499">
        <f t="shared" si="29"/>
        <v>6</v>
      </c>
      <c r="G54" s="499">
        <f t="shared" si="29"/>
        <v>1</v>
      </c>
      <c r="H54" s="68"/>
      <c r="I54" s="69">
        <f t="shared" si="30"/>
        <v>100</v>
      </c>
      <c r="J54" s="70">
        <f t="shared" si="31"/>
        <v>-0.121</v>
      </c>
      <c r="K54" s="70">
        <f t="shared" si="32"/>
        <v>0.17453292519943295</v>
      </c>
      <c r="L54" s="68"/>
      <c r="W54" s="1" t="s">
        <v>116</v>
      </c>
    </row>
    <row r="55" spans="1:27" x14ac:dyDescent="0.2">
      <c r="A55" s="68">
        <v>55</v>
      </c>
      <c r="B55" s="68"/>
      <c r="C55" s="21">
        <f t="shared" si="28"/>
        <v>2.1000057980615688E-2</v>
      </c>
      <c r="D55" s="68">
        <v>120</v>
      </c>
      <c r="E55" s="499">
        <f t="shared" si="26"/>
        <v>-0.11899999999999999</v>
      </c>
      <c r="F55" s="499">
        <f t="shared" si="29"/>
        <v>5.9</v>
      </c>
      <c r="G55" s="499">
        <f t="shared" si="29"/>
        <v>1</v>
      </c>
      <c r="H55" s="68"/>
      <c r="I55" s="69">
        <f>0.1*D55/(5*0.02)</f>
        <v>120</v>
      </c>
      <c r="J55" s="70">
        <f t="shared" si="31"/>
        <v>-0.11899999999999999</v>
      </c>
      <c r="K55" s="70">
        <f>100*RADIANS(G55*F55/60)</f>
        <v>0.17162404311277576</v>
      </c>
      <c r="L55" s="68"/>
      <c r="M55" s="43" t="s">
        <v>90</v>
      </c>
      <c r="N55" s="10"/>
      <c r="O55" s="10"/>
      <c r="P55" s="10"/>
      <c r="Q55" s="10"/>
      <c r="R55" s="10"/>
      <c r="S55" s="10"/>
      <c r="T55" s="10"/>
      <c r="U55" s="11"/>
      <c r="W55" s="1" t="s">
        <v>117</v>
      </c>
    </row>
    <row r="56" spans="1:27" x14ac:dyDescent="0.2">
      <c r="A56" s="68">
        <v>56</v>
      </c>
      <c r="B56" s="68"/>
      <c r="C56" s="104"/>
      <c r="D56" s="68"/>
      <c r="E56" s="68"/>
      <c r="F56" s="68"/>
      <c r="G56" s="68"/>
      <c r="H56" s="68"/>
      <c r="I56" s="68"/>
      <c r="J56" s="68"/>
      <c r="K56" s="68"/>
      <c r="L56" s="68"/>
      <c r="M56" s="73" t="s">
        <v>86</v>
      </c>
      <c r="N56" s="7"/>
      <c r="O56" s="7"/>
      <c r="P56" s="7"/>
      <c r="Q56" s="7"/>
      <c r="R56" s="74" t="s">
        <v>89</v>
      </c>
      <c r="S56" s="7"/>
      <c r="T56" s="7"/>
      <c r="U56" s="36"/>
      <c r="W56" s="1" t="s">
        <v>118</v>
      </c>
    </row>
    <row r="57" spans="1:27" x14ac:dyDescent="0.2">
      <c r="A57" s="68">
        <v>57</v>
      </c>
      <c r="B57" s="159" t="s">
        <v>10</v>
      </c>
      <c r="C57" s="103"/>
      <c r="D57" s="68"/>
      <c r="E57" s="68"/>
      <c r="F57" s="68"/>
      <c r="G57" s="68"/>
      <c r="H57" s="68"/>
      <c r="I57" s="68"/>
      <c r="J57" s="68"/>
      <c r="K57" s="68"/>
      <c r="L57" s="68"/>
      <c r="M57" s="396" t="s">
        <v>17</v>
      </c>
      <c r="N57" s="288" t="s">
        <v>87</v>
      </c>
      <c r="O57" s="288" t="s">
        <v>18</v>
      </c>
      <c r="P57" s="288" t="s">
        <v>88</v>
      </c>
      <c r="Q57" s="288"/>
      <c r="R57" s="288" t="s">
        <v>17</v>
      </c>
      <c r="S57" s="288" t="s">
        <v>87</v>
      </c>
      <c r="T57" s="288" t="s">
        <v>18</v>
      </c>
      <c r="U57" s="397" t="s">
        <v>88</v>
      </c>
      <c r="V57" s="5"/>
      <c r="W57" s="398" t="s">
        <v>221</v>
      </c>
      <c r="X57" s="5" t="s">
        <v>222</v>
      </c>
      <c r="Y57" s="5"/>
      <c r="Z57" s="394" t="s">
        <v>164</v>
      </c>
      <c r="AA57" s="394" t="s">
        <v>165</v>
      </c>
    </row>
    <row r="58" spans="1:27" x14ac:dyDescent="0.2">
      <c r="A58" s="68">
        <v>58</v>
      </c>
      <c r="B58" s="108">
        <v>42566</v>
      </c>
      <c r="C58" s="85">
        <f t="shared" ref="C58:C64" si="33">B5A5.0VA</f>
        <v>0.21600059637204713</v>
      </c>
      <c r="D58" s="68">
        <v>5</v>
      </c>
      <c r="E58" s="97">
        <v>-0.34</v>
      </c>
      <c r="F58" s="97">
        <v>17.899999999999999</v>
      </c>
      <c r="G58" s="97">
        <v>2</v>
      </c>
      <c r="H58" s="68"/>
      <c r="I58" s="69">
        <f t="shared" ref="I58:I63" si="34">0.1*D58/(5*0.02)</f>
        <v>5</v>
      </c>
      <c r="J58" s="70">
        <f t="shared" ref="J58:J63" si="35">E58*G58</f>
        <v>-0.68</v>
      </c>
      <c r="K58" s="70">
        <f t="shared" ref="K58:K63" si="36">100*RADIANS(G58*F58/60)</f>
        <v>1.041379787023283</v>
      </c>
      <c r="L58" s="68"/>
      <c r="M58" s="467">
        <f t="shared" ref="M58:M64" si="37">$J58-$J41</f>
        <v>2.0000000000000018E-3</v>
      </c>
      <c r="N58" s="468">
        <f t="shared" ref="N58:N64" si="38">$J66-$J41</f>
        <v>8.0000000000000071E-3</v>
      </c>
      <c r="O58" s="468">
        <f t="shared" ref="O58:O64" si="39">$J74-$J41</f>
        <v>1.0000000000000009E-2</v>
      </c>
      <c r="P58" s="468">
        <f t="shared" ref="P58:P64" si="40">$J82-$J41</f>
        <v>2.0000000000000018E-3</v>
      </c>
      <c r="Q58" s="468"/>
      <c r="R58" s="468">
        <f t="shared" ref="R58:R63" si="41">$K58-$K41</f>
        <v>0</v>
      </c>
      <c r="S58" s="468">
        <f t="shared" ref="S58:S64" si="42">$K66-$K41</f>
        <v>1.1635528346629176E-2</v>
      </c>
      <c r="T58" s="468">
        <f t="shared" ref="T58:T64" si="43">$K74-$K41</f>
        <v>-2.3271056693257464E-2</v>
      </c>
      <c r="U58" s="469">
        <f t="shared" ref="U58:U64" si="44">$K82-$K41</f>
        <v>-5.8177641733141439E-3</v>
      </c>
      <c r="V58" s="4"/>
      <c r="W58" s="21">
        <f>IF(MAX(M58:P58)&gt;ABS(MIN(M58:P58)),MAX(M58:P58),MIN(M58:P58))</f>
        <v>1.0000000000000009E-2</v>
      </c>
      <c r="X58" s="21">
        <f t="shared" ref="X58:X64" si="45">IF(MAX(R58:U58)&gt;ABS(MIN(R58:U58)),MAX(R58:U58),MIN(R58:U58))</f>
        <v>-2.3271056693257464E-2</v>
      </c>
      <c r="Y58" s="4"/>
      <c r="Z58" s="4">
        <f>W58*10</f>
        <v>0.10000000000000009</v>
      </c>
      <c r="AA58" s="4">
        <f>X58*10</f>
        <v>-0.23271056693257464</v>
      </c>
    </row>
    <row r="59" spans="1:27" x14ac:dyDescent="0.2">
      <c r="A59" s="68">
        <v>59</v>
      </c>
      <c r="B59" s="158" t="s">
        <v>11</v>
      </c>
      <c r="C59" s="85">
        <f t="shared" si="33"/>
        <v>0.21600059637204713</v>
      </c>
      <c r="D59" s="68">
        <v>10</v>
      </c>
      <c r="E59" s="97">
        <v>-0.30099999999999999</v>
      </c>
      <c r="F59" s="97">
        <v>15.4</v>
      </c>
      <c r="G59" s="97">
        <v>2</v>
      </c>
      <c r="H59" s="68"/>
      <c r="I59" s="69">
        <f t="shared" si="34"/>
        <v>10</v>
      </c>
      <c r="J59" s="70">
        <f t="shared" si="35"/>
        <v>-0.60199999999999998</v>
      </c>
      <c r="K59" s="70">
        <f t="shared" si="36"/>
        <v>0.89593568269042234</v>
      </c>
      <c r="L59" s="68"/>
      <c r="M59" s="467">
        <f t="shared" si="37"/>
        <v>2.0000000000000018E-3</v>
      </c>
      <c r="N59" s="468">
        <f t="shared" si="38"/>
        <v>5.0000000000000044E-3</v>
      </c>
      <c r="O59" s="468">
        <f t="shared" si="39"/>
        <v>2.0000000000000018E-3</v>
      </c>
      <c r="P59" s="468">
        <f t="shared" si="40"/>
        <v>-2.0000000000000018E-3</v>
      </c>
      <c r="Q59" s="468"/>
      <c r="R59" s="468">
        <f t="shared" si="41"/>
        <v>0</v>
      </c>
      <c r="S59" s="468">
        <f t="shared" si="42"/>
        <v>8.7266462599718819E-3</v>
      </c>
      <c r="T59" s="468">
        <f t="shared" si="43"/>
        <v>0</v>
      </c>
      <c r="U59" s="469">
        <f t="shared" si="44"/>
        <v>0</v>
      </c>
      <c r="V59" s="4"/>
      <c r="W59" s="4">
        <f t="shared" ref="W59:W64" si="46">IF(MAX(M59:P59)&gt;ABS(MIN(M59:P59)),MAX(M59:P59),MIN(M59:P59))</f>
        <v>5.0000000000000044E-3</v>
      </c>
      <c r="X59" s="21">
        <f t="shared" si="45"/>
        <v>8.7266462599718819E-3</v>
      </c>
      <c r="Y59" s="4"/>
      <c r="Z59" s="4">
        <f t="shared" ref="Z59:Z64" si="47">W59*10</f>
        <v>5.0000000000000044E-2</v>
      </c>
      <c r="AA59" s="4">
        <f t="shared" ref="AA59:AA64" si="48">X59*10</f>
        <v>8.7266462599718819E-2</v>
      </c>
    </row>
    <row r="60" spans="1:27" x14ac:dyDescent="0.2">
      <c r="A60" s="68">
        <v>60</v>
      </c>
      <c r="B60" s="68"/>
      <c r="C60" s="85">
        <f t="shared" si="33"/>
        <v>0.21600059637204713</v>
      </c>
      <c r="D60" s="68">
        <v>20</v>
      </c>
      <c r="E60" s="97">
        <v>-0.27300000000000002</v>
      </c>
      <c r="F60" s="97">
        <v>13.45</v>
      </c>
      <c r="G60" s="97">
        <v>2</v>
      </c>
      <c r="H60" s="68"/>
      <c r="I60" s="69">
        <f t="shared" si="34"/>
        <v>20</v>
      </c>
      <c r="J60" s="70">
        <f t="shared" si="35"/>
        <v>-0.54600000000000004</v>
      </c>
      <c r="K60" s="70">
        <f t="shared" si="36"/>
        <v>0.7824892813107911</v>
      </c>
      <c r="L60" s="68"/>
      <c r="M60" s="467">
        <f t="shared" si="37"/>
        <v>2.0000000000000018E-3</v>
      </c>
      <c r="N60" s="468">
        <f t="shared" si="38"/>
        <v>2.0000000000000018E-3</v>
      </c>
      <c r="O60" s="468">
        <f>$J76-$J43</f>
        <v>0</v>
      </c>
      <c r="P60" s="468">
        <f t="shared" si="40"/>
        <v>-2.0000000000000018E-3</v>
      </c>
      <c r="Q60" s="468"/>
      <c r="R60" s="468">
        <f t="shared" si="41"/>
        <v>-2.908882086657294E-3</v>
      </c>
      <c r="S60" s="468">
        <f t="shared" si="42"/>
        <v>0</v>
      </c>
      <c r="T60" s="468">
        <f t="shared" si="43"/>
        <v>0</v>
      </c>
      <c r="U60" s="469">
        <f t="shared" si="44"/>
        <v>-2.908882086657294E-3</v>
      </c>
      <c r="V60" s="4"/>
      <c r="W60" s="4">
        <f t="shared" si="46"/>
        <v>-2.0000000000000018E-3</v>
      </c>
      <c r="X60" s="4">
        <f t="shared" si="45"/>
        <v>-2.908882086657294E-3</v>
      </c>
      <c r="Y60" s="4"/>
      <c r="Z60" s="4">
        <f t="shared" si="47"/>
        <v>-2.0000000000000018E-2</v>
      </c>
      <c r="AA60" s="4">
        <f t="shared" si="48"/>
        <v>-2.908882086657294E-2</v>
      </c>
    </row>
    <row r="61" spans="1:27" x14ac:dyDescent="0.2">
      <c r="A61" s="68">
        <v>61</v>
      </c>
      <c r="B61" s="68"/>
      <c r="C61" s="85">
        <f t="shared" si="33"/>
        <v>0.21600059637204713</v>
      </c>
      <c r="D61" s="68">
        <v>40</v>
      </c>
      <c r="E61" s="97">
        <v>-0.251</v>
      </c>
      <c r="F61" s="97">
        <v>12</v>
      </c>
      <c r="G61" s="97">
        <v>2</v>
      </c>
      <c r="H61" s="68"/>
      <c r="I61" s="69">
        <f t="shared" si="34"/>
        <v>40</v>
      </c>
      <c r="J61" s="70">
        <f t="shared" si="35"/>
        <v>-0.502</v>
      </c>
      <c r="K61" s="70">
        <f t="shared" si="36"/>
        <v>0.69813170079773179</v>
      </c>
      <c r="L61" s="68"/>
      <c r="M61" s="467">
        <f t="shared" si="37"/>
        <v>0</v>
      </c>
      <c r="N61" s="468">
        <f t="shared" si="38"/>
        <v>0</v>
      </c>
      <c r="O61" s="468">
        <f t="shared" si="39"/>
        <v>0</v>
      </c>
      <c r="P61" s="468">
        <f t="shared" si="40"/>
        <v>-2.0000000000000018E-3</v>
      </c>
      <c r="Q61" s="468"/>
      <c r="R61" s="468">
        <f t="shared" si="41"/>
        <v>-5.8177641733143659E-3</v>
      </c>
      <c r="S61" s="468">
        <f t="shared" si="42"/>
        <v>-2.908882086657183E-3</v>
      </c>
      <c r="T61" s="468">
        <f t="shared" si="43"/>
        <v>-2.908882086657183E-3</v>
      </c>
      <c r="U61" s="469">
        <f t="shared" si="44"/>
        <v>-2.908882086657183E-3</v>
      </c>
      <c r="V61" s="4"/>
      <c r="W61" s="4">
        <f t="shared" si="46"/>
        <v>-2.0000000000000018E-3</v>
      </c>
      <c r="X61" s="4">
        <f t="shared" si="45"/>
        <v>-5.8177641733143659E-3</v>
      </c>
      <c r="Y61" s="4"/>
      <c r="Z61" s="4">
        <f t="shared" si="47"/>
        <v>-2.0000000000000018E-2</v>
      </c>
      <c r="AA61" s="4">
        <f t="shared" si="48"/>
        <v>-5.8177641733143659E-2</v>
      </c>
    </row>
    <row r="62" spans="1:27" x14ac:dyDescent="0.2">
      <c r="A62" s="68">
        <v>62</v>
      </c>
      <c r="B62" s="68"/>
      <c r="C62" s="85">
        <f t="shared" si="33"/>
        <v>0.21600059637204713</v>
      </c>
      <c r="D62" s="68">
        <v>60</v>
      </c>
      <c r="E62" s="97">
        <v>-0.245</v>
      </c>
      <c r="F62" s="97">
        <v>10.95</v>
      </c>
      <c r="G62" s="97">
        <v>2</v>
      </c>
      <c r="H62" s="68"/>
      <c r="I62" s="69">
        <f t="shared" si="34"/>
        <v>60</v>
      </c>
      <c r="J62" s="70">
        <f t="shared" si="35"/>
        <v>-0.49</v>
      </c>
      <c r="K62" s="70">
        <f t="shared" si="36"/>
        <v>0.63704517697793028</v>
      </c>
      <c r="L62" s="68"/>
      <c r="M62" s="467">
        <f t="shared" si="37"/>
        <v>0</v>
      </c>
      <c r="N62" s="468">
        <f t="shared" si="38"/>
        <v>2.0000000000000018E-3</v>
      </c>
      <c r="O62" s="468">
        <f t="shared" si="39"/>
        <v>0</v>
      </c>
      <c r="P62" s="468">
        <f t="shared" si="40"/>
        <v>-2.0000000000000018E-3</v>
      </c>
      <c r="Q62" s="468"/>
      <c r="R62" s="468">
        <f t="shared" si="41"/>
        <v>-2.908882086657183E-3</v>
      </c>
      <c r="S62" s="468">
        <f t="shared" si="42"/>
        <v>-2.908882086657183E-3</v>
      </c>
      <c r="T62" s="468">
        <f t="shared" si="43"/>
        <v>-2.908882086657183E-3</v>
      </c>
      <c r="U62" s="469">
        <f t="shared" si="44"/>
        <v>-5.8177641733143659E-3</v>
      </c>
      <c r="V62" s="4"/>
      <c r="W62" s="4">
        <f t="shared" si="46"/>
        <v>-2.0000000000000018E-3</v>
      </c>
      <c r="X62" s="4">
        <f t="shared" si="45"/>
        <v>-5.8177641733143659E-3</v>
      </c>
      <c r="Y62" s="4"/>
      <c r="Z62" s="4">
        <f t="shared" si="47"/>
        <v>-2.0000000000000018E-2</v>
      </c>
      <c r="AA62" s="4">
        <f t="shared" si="48"/>
        <v>-5.8177641733143659E-2</v>
      </c>
    </row>
    <row r="63" spans="1:27" x14ac:dyDescent="0.2">
      <c r="A63" s="68">
        <v>63</v>
      </c>
      <c r="B63" s="68"/>
      <c r="C63" s="85">
        <f t="shared" si="33"/>
        <v>0.21600059637204713</v>
      </c>
      <c r="D63" s="68">
        <v>100</v>
      </c>
      <c r="E63" s="97">
        <v>-0.23499999999999999</v>
      </c>
      <c r="F63" s="97">
        <v>9</v>
      </c>
      <c r="G63" s="97">
        <v>2</v>
      </c>
      <c r="H63" s="68"/>
      <c r="I63" s="69">
        <f t="shared" si="34"/>
        <v>100</v>
      </c>
      <c r="J63" s="70">
        <f t="shared" si="35"/>
        <v>-0.47</v>
      </c>
      <c r="K63" s="70">
        <f t="shared" si="36"/>
        <v>0.52359877559829882</v>
      </c>
      <c r="L63" s="68"/>
      <c r="M63" s="467">
        <f t="shared" si="37"/>
        <v>2.0000000000000018E-3</v>
      </c>
      <c r="N63" s="468">
        <f>$J71-$J46</f>
        <v>3.999999999999948E-3</v>
      </c>
      <c r="O63" s="468">
        <f t="shared" si="39"/>
        <v>3.999999999999948E-3</v>
      </c>
      <c r="P63" s="468">
        <f t="shared" si="40"/>
        <v>0</v>
      </c>
      <c r="Q63" s="468"/>
      <c r="R63" s="468">
        <f t="shared" si="41"/>
        <v>-5.8177641733144769E-3</v>
      </c>
      <c r="S63" s="468">
        <f t="shared" si="42"/>
        <v>-2.908882086657183E-3</v>
      </c>
      <c r="T63" s="468">
        <f t="shared" si="43"/>
        <v>-5.8177641733144769E-3</v>
      </c>
      <c r="U63" s="469">
        <f t="shared" si="44"/>
        <v>-5.8177641733144769E-3</v>
      </c>
      <c r="V63" s="4"/>
      <c r="W63" s="4">
        <f t="shared" si="46"/>
        <v>3.999999999999948E-3</v>
      </c>
      <c r="X63" s="4">
        <f t="shared" si="45"/>
        <v>-5.8177641733144769E-3</v>
      </c>
      <c r="Y63" s="4"/>
      <c r="Z63" s="4">
        <f t="shared" si="47"/>
        <v>3.999999999999948E-2</v>
      </c>
      <c r="AA63" s="4">
        <f t="shared" si="48"/>
        <v>-5.8177641733144769E-2</v>
      </c>
    </row>
    <row r="64" spans="1:27" x14ac:dyDescent="0.2">
      <c r="A64" s="68">
        <v>64</v>
      </c>
      <c r="B64" s="68"/>
      <c r="C64" s="85">
        <f t="shared" si="33"/>
        <v>0.21600059637204713</v>
      </c>
      <c r="D64" s="68">
        <v>120</v>
      </c>
      <c r="E64" s="97">
        <v>-0.22900000000000001</v>
      </c>
      <c r="F64" s="97">
        <v>8.25</v>
      </c>
      <c r="G64" s="97">
        <v>2</v>
      </c>
      <c r="H64" s="68"/>
      <c r="I64" s="69">
        <f>0.1*D64/(5*0.02)</f>
        <v>120</v>
      </c>
      <c r="J64" s="70">
        <f>E64*G64</f>
        <v>-0.45800000000000002</v>
      </c>
      <c r="K64" s="70">
        <f>100*RADIANS(G64*F64/60)</f>
        <v>0.47996554429844068</v>
      </c>
      <c r="L64" s="68"/>
      <c r="M64" s="470">
        <f t="shared" si="37"/>
        <v>0</v>
      </c>
      <c r="N64" s="471">
        <f t="shared" si="38"/>
        <v>0</v>
      </c>
      <c r="O64" s="471">
        <f t="shared" si="39"/>
        <v>0</v>
      </c>
      <c r="P64" s="471">
        <f t="shared" si="40"/>
        <v>-2.0000000000000018E-3</v>
      </c>
      <c r="Q64" s="471"/>
      <c r="R64" s="471">
        <f>$K64-$K47</f>
        <v>0</v>
      </c>
      <c r="S64" s="471">
        <f t="shared" si="42"/>
        <v>2.908882086657183E-3</v>
      </c>
      <c r="T64" s="471">
        <f t="shared" si="43"/>
        <v>2.908882086657183E-3</v>
      </c>
      <c r="U64" s="472">
        <f t="shared" si="44"/>
        <v>2.908882086657183E-3</v>
      </c>
      <c r="V64" s="4"/>
      <c r="W64" s="21">
        <f t="shared" si="46"/>
        <v>-2.0000000000000018E-3</v>
      </c>
      <c r="X64" s="4">
        <f t="shared" si="45"/>
        <v>2.908882086657183E-3</v>
      </c>
      <c r="Y64" s="4"/>
      <c r="Z64" s="4">
        <f t="shared" si="47"/>
        <v>-2.0000000000000018E-2</v>
      </c>
      <c r="AA64" s="4">
        <f t="shared" si="48"/>
        <v>2.908882086657183E-2</v>
      </c>
    </row>
    <row r="65" spans="1:25" x14ac:dyDescent="0.2">
      <c r="A65" s="68">
        <v>65</v>
      </c>
      <c r="B65" s="68"/>
      <c r="C65" s="103"/>
      <c r="D65" s="68"/>
      <c r="E65" s="68"/>
      <c r="F65" s="68"/>
      <c r="G65" s="68"/>
      <c r="H65" s="68"/>
      <c r="I65" s="69"/>
      <c r="J65" s="70"/>
      <c r="K65" s="70"/>
      <c r="L65" s="68"/>
    </row>
    <row r="66" spans="1:25" x14ac:dyDescent="0.2">
      <c r="A66" s="68">
        <v>66</v>
      </c>
      <c r="B66" s="68"/>
      <c r="C66" s="85">
        <f t="shared" ref="C66:C72" si="49">B5A5.0VA</f>
        <v>0.21600059637204713</v>
      </c>
      <c r="D66" s="68">
        <v>5</v>
      </c>
      <c r="E66" s="97">
        <v>-0.33700000000000002</v>
      </c>
      <c r="F66" s="97">
        <v>18.100000000000001</v>
      </c>
      <c r="G66" s="97">
        <v>2</v>
      </c>
      <c r="H66" s="68"/>
      <c r="I66" s="69">
        <f t="shared" ref="I66:I71" si="50">0.1*D66/(5*0.02)</f>
        <v>5</v>
      </c>
      <c r="J66" s="70">
        <f t="shared" ref="J66:J71" si="51">E66*G66</f>
        <v>-0.67400000000000004</v>
      </c>
      <c r="K66" s="70">
        <f t="shared" ref="K66:K71" si="52">100*RADIANS(G66*F66/60)</f>
        <v>1.0530153153699122</v>
      </c>
      <c r="L66" s="68"/>
    </row>
    <row r="67" spans="1:25" x14ac:dyDescent="0.2">
      <c r="A67" s="68">
        <v>67</v>
      </c>
      <c r="B67" s="158" t="s">
        <v>12</v>
      </c>
      <c r="C67" s="85">
        <f t="shared" si="49"/>
        <v>0.21600059637204713</v>
      </c>
      <c r="D67" s="68">
        <v>10</v>
      </c>
      <c r="E67" s="97">
        <v>-0.29949999999999999</v>
      </c>
      <c r="F67" s="97">
        <v>15.55</v>
      </c>
      <c r="G67" s="97">
        <v>2</v>
      </c>
      <c r="H67" s="68"/>
      <c r="I67" s="69">
        <f t="shared" si="50"/>
        <v>10</v>
      </c>
      <c r="J67" s="70">
        <f t="shared" si="51"/>
        <v>-0.59899999999999998</v>
      </c>
      <c r="K67" s="70">
        <f t="shared" si="52"/>
        <v>0.90466232895039422</v>
      </c>
      <c r="L67" s="68"/>
    </row>
    <row r="68" spans="1:25" x14ac:dyDescent="0.2">
      <c r="A68" s="68">
        <v>68</v>
      </c>
      <c r="B68" s="68"/>
      <c r="C68" s="85">
        <f t="shared" si="49"/>
        <v>0.21600059637204713</v>
      </c>
      <c r="D68" s="68">
        <v>20</v>
      </c>
      <c r="E68" s="97">
        <v>-0.27300000000000002</v>
      </c>
      <c r="F68" s="97">
        <v>13.5</v>
      </c>
      <c r="G68" s="97">
        <v>2</v>
      </c>
      <c r="H68" s="68"/>
      <c r="I68" s="69">
        <f t="shared" si="50"/>
        <v>20</v>
      </c>
      <c r="J68" s="70">
        <f t="shared" si="51"/>
        <v>-0.54600000000000004</v>
      </c>
      <c r="K68" s="70">
        <f t="shared" si="52"/>
        <v>0.78539816339744839</v>
      </c>
      <c r="L68" s="68"/>
    </row>
    <row r="69" spans="1:25" x14ac:dyDescent="0.2">
      <c r="A69" s="68">
        <v>69</v>
      </c>
      <c r="B69" s="68"/>
      <c r="C69" s="85">
        <f t="shared" si="49"/>
        <v>0.21600059637204713</v>
      </c>
      <c r="D69" s="68">
        <v>40</v>
      </c>
      <c r="E69" s="97">
        <v>-0.251</v>
      </c>
      <c r="F69" s="97">
        <v>12.05</v>
      </c>
      <c r="G69" s="97">
        <v>2</v>
      </c>
      <c r="H69" s="68"/>
      <c r="I69" s="69">
        <f t="shared" si="50"/>
        <v>40</v>
      </c>
      <c r="J69" s="70">
        <f t="shared" si="51"/>
        <v>-0.502</v>
      </c>
      <c r="K69" s="70">
        <f t="shared" si="52"/>
        <v>0.70104058288438897</v>
      </c>
      <c r="L69" s="68"/>
    </row>
    <row r="70" spans="1:25" x14ac:dyDescent="0.2">
      <c r="A70" s="68">
        <v>70</v>
      </c>
      <c r="B70" s="68"/>
      <c r="C70" s="85">
        <f t="shared" si="49"/>
        <v>0.21600059637204713</v>
      </c>
      <c r="D70" s="68">
        <v>60</v>
      </c>
      <c r="E70" s="97">
        <v>-0.24399999999999999</v>
      </c>
      <c r="F70" s="97">
        <v>10.95</v>
      </c>
      <c r="G70" s="97">
        <v>2</v>
      </c>
      <c r="H70" s="68"/>
      <c r="I70" s="69">
        <f t="shared" si="50"/>
        <v>60</v>
      </c>
      <c r="J70" s="70">
        <f t="shared" si="51"/>
        <v>-0.48799999999999999</v>
      </c>
      <c r="K70" s="70">
        <f t="shared" si="52"/>
        <v>0.63704517697793028</v>
      </c>
      <c r="L70" s="68"/>
    </row>
    <row r="71" spans="1:25" x14ac:dyDescent="0.2">
      <c r="A71" s="68">
        <v>71</v>
      </c>
      <c r="B71" s="68"/>
      <c r="C71" s="85">
        <f t="shared" si="49"/>
        <v>0.21600059637204713</v>
      </c>
      <c r="D71" s="68">
        <v>100</v>
      </c>
      <c r="E71" s="97">
        <v>-0.23400000000000001</v>
      </c>
      <c r="F71" s="97">
        <v>9.0500000000000007</v>
      </c>
      <c r="G71" s="97">
        <v>2</v>
      </c>
      <c r="H71" s="68"/>
      <c r="I71" s="69">
        <f t="shared" si="50"/>
        <v>100</v>
      </c>
      <c r="J71" s="70">
        <f t="shared" si="51"/>
        <v>-0.46800000000000003</v>
      </c>
      <c r="K71" s="70">
        <f t="shared" si="52"/>
        <v>0.52650765768495611</v>
      </c>
      <c r="L71" s="68"/>
    </row>
    <row r="72" spans="1:25" x14ac:dyDescent="0.2">
      <c r="A72" s="68">
        <v>72</v>
      </c>
      <c r="B72" s="68"/>
      <c r="C72" s="85">
        <f t="shared" si="49"/>
        <v>0.21600059637204713</v>
      </c>
      <c r="D72" s="68">
        <v>120</v>
      </c>
      <c r="E72" s="97">
        <v>-0.22900000000000001</v>
      </c>
      <c r="F72" s="97">
        <v>8.3000000000000007</v>
      </c>
      <c r="G72" s="97">
        <v>2</v>
      </c>
      <c r="H72" s="68"/>
      <c r="I72" s="69">
        <f>0.1*D72/(5*0.02)</f>
        <v>120</v>
      </c>
      <c r="J72" s="70">
        <f>E72*G72</f>
        <v>-0.45800000000000002</v>
      </c>
      <c r="K72" s="70">
        <f>100*RADIANS(G72*F72/60)</f>
        <v>0.48287442638509787</v>
      </c>
      <c r="L72" s="68"/>
    </row>
    <row r="73" spans="1:25" x14ac:dyDescent="0.2">
      <c r="A73" s="68">
        <v>73</v>
      </c>
      <c r="B73" s="68"/>
      <c r="C73" s="102"/>
      <c r="D73" s="68"/>
      <c r="E73" s="68"/>
      <c r="F73" s="68"/>
      <c r="G73" s="68"/>
      <c r="H73" s="68"/>
      <c r="I73" s="68"/>
      <c r="J73" s="68"/>
      <c r="K73" s="68"/>
      <c r="L73" s="68"/>
    </row>
    <row r="74" spans="1:25" x14ac:dyDescent="0.2">
      <c r="A74" s="68">
        <v>74</v>
      </c>
      <c r="B74" s="68"/>
      <c r="C74" s="85">
        <f t="shared" ref="C74:C80" si="53">B5A5.0VA</f>
        <v>0.21600059637204713</v>
      </c>
      <c r="D74" s="68">
        <v>5</v>
      </c>
      <c r="E74" s="97">
        <v>-0.33600000000000002</v>
      </c>
      <c r="F74" s="97">
        <v>17.5</v>
      </c>
      <c r="G74" s="97">
        <v>2</v>
      </c>
      <c r="H74" s="68"/>
      <c r="I74" s="69">
        <f t="shared" ref="I74:I80" si="54">0.1*D74/(5*0.02)</f>
        <v>5</v>
      </c>
      <c r="J74" s="70">
        <f t="shared" ref="J74:J80" si="55">E74*G74</f>
        <v>-0.67200000000000004</v>
      </c>
      <c r="K74" s="70">
        <f t="shared" ref="K74:K80" si="56">100*RADIANS(G74*F74/60)</f>
        <v>1.0181087303300256</v>
      </c>
      <c r="L74" s="68"/>
    </row>
    <row r="75" spans="1:25" x14ac:dyDescent="0.2">
      <c r="A75" s="68">
        <v>75</v>
      </c>
      <c r="B75" s="158" t="s">
        <v>13</v>
      </c>
      <c r="C75" s="85">
        <f t="shared" si="53"/>
        <v>0.21600059637204713</v>
      </c>
      <c r="D75" s="68">
        <v>10</v>
      </c>
      <c r="E75" s="97">
        <v>-0.30099999999999999</v>
      </c>
      <c r="F75" s="97">
        <v>15.4</v>
      </c>
      <c r="G75" s="97">
        <v>2</v>
      </c>
      <c r="H75" s="68"/>
      <c r="I75" s="69">
        <f t="shared" si="54"/>
        <v>10</v>
      </c>
      <c r="J75" s="70">
        <f t="shared" si="55"/>
        <v>-0.60199999999999998</v>
      </c>
      <c r="K75" s="70">
        <f t="shared" si="56"/>
        <v>0.89593568269042234</v>
      </c>
      <c r="L75" s="68"/>
    </row>
    <row r="76" spans="1:25" x14ac:dyDescent="0.2">
      <c r="A76" s="68">
        <v>76</v>
      </c>
      <c r="B76" s="68"/>
      <c r="C76" s="85">
        <f t="shared" si="53"/>
        <v>0.21600059637204713</v>
      </c>
      <c r="D76" s="68">
        <v>20</v>
      </c>
      <c r="E76" s="97">
        <v>-0.27400000000000002</v>
      </c>
      <c r="F76" s="97">
        <v>13.5</v>
      </c>
      <c r="G76" s="97">
        <v>2</v>
      </c>
      <c r="H76" s="68"/>
      <c r="I76" s="69">
        <f t="shared" si="54"/>
        <v>20</v>
      </c>
      <c r="J76" s="70">
        <f t="shared" si="55"/>
        <v>-0.54800000000000004</v>
      </c>
      <c r="K76" s="70">
        <f t="shared" si="56"/>
        <v>0.78539816339744839</v>
      </c>
      <c r="L76" s="68"/>
    </row>
    <row r="77" spans="1:25" x14ac:dyDescent="0.2">
      <c r="A77" s="68">
        <v>77</v>
      </c>
      <c r="B77" s="68"/>
      <c r="C77" s="85">
        <f t="shared" si="53"/>
        <v>0.21600059637204713</v>
      </c>
      <c r="D77" s="68">
        <v>40</v>
      </c>
      <c r="E77" s="97">
        <v>-0.251</v>
      </c>
      <c r="F77" s="97">
        <v>12.05</v>
      </c>
      <c r="G77" s="97">
        <v>2</v>
      </c>
      <c r="H77" s="68"/>
      <c r="I77" s="69">
        <f t="shared" si="54"/>
        <v>40</v>
      </c>
      <c r="J77" s="70">
        <f t="shared" si="55"/>
        <v>-0.502</v>
      </c>
      <c r="K77" s="70">
        <f t="shared" si="56"/>
        <v>0.70104058288438897</v>
      </c>
      <c r="L77" s="68"/>
      <c r="V77" s="29"/>
      <c r="Y77" s="29"/>
    </row>
    <row r="78" spans="1:25" x14ac:dyDescent="0.2">
      <c r="A78" s="68">
        <v>78</v>
      </c>
      <c r="B78" s="68"/>
      <c r="C78" s="85">
        <f t="shared" si="53"/>
        <v>0.21600059637204713</v>
      </c>
      <c r="D78" s="68">
        <v>60</v>
      </c>
      <c r="E78" s="97">
        <v>-0.245</v>
      </c>
      <c r="F78" s="97">
        <v>10.95</v>
      </c>
      <c r="G78" s="97">
        <v>2</v>
      </c>
      <c r="H78" s="68"/>
      <c r="I78" s="69">
        <f t="shared" si="54"/>
        <v>60</v>
      </c>
      <c r="J78" s="70">
        <f t="shared" si="55"/>
        <v>-0.49</v>
      </c>
      <c r="K78" s="70">
        <f t="shared" si="56"/>
        <v>0.63704517697793028</v>
      </c>
      <c r="L78" s="68"/>
      <c r="V78" s="29"/>
      <c r="X78" s="29"/>
      <c r="Y78" s="29"/>
    </row>
    <row r="79" spans="1:25" x14ac:dyDescent="0.2">
      <c r="A79" s="68">
        <v>79</v>
      </c>
      <c r="B79" s="68"/>
      <c r="C79" s="85">
        <f t="shared" si="53"/>
        <v>0.21600059637204713</v>
      </c>
      <c r="D79" s="68">
        <v>100</v>
      </c>
      <c r="E79" s="97">
        <v>-0.23400000000000001</v>
      </c>
      <c r="F79" s="97">
        <v>9</v>
      </c>
      <c r="G79" s="97">
        <v>2</v>
      </c>
      <c r="H79" s="68"/>
      <c r="I79" s="69">
        <f t="shared" si="54"/>
        <v>100</v>
      </c>
      <c r="J79" s="70">
        <f t="shared" si="55"/>
        <v>-0.46800000000000003</v>
      </c>
      <c r="K79" s="70">
        <f t="shared" si="56"/>
        <v>0.52359877559829882</v>
      </c>
      <c r="L79" s="68"/>
    </row>
    <row r="80" spans="1:25" x14ac:dyDescent="0.2">
      <c r="A80" s="68">
        <v>80</v>
      </c>
      <c r="B80" s="68"/>
      <c r="C80" s="85">
        <f t="shared" si="53"/>
        <v>0.21600059637204713</v>
      </c>
      <c r="D80" s="68">
        <v>120</v>
      </c>
      <c r="E80" s="97">
        <v>-0.22900000000000001</v>
      </c>
      <c r="F80" s="97">
        <v>8.3000000000000007</v>
      </c>
      <c r="G80" s="97">
        <v>2</v>
      </c>
      <c r="H80" s="68"/>
      <c r="I80" s="69">
        <f t="shared" si="54"/>
        <v>120</v>
      </c>
      <c r="J80" s="70">
        <f t="shared" si="55"/>
        <v>-0.45800000000000002</v>
      </c>
      <c r="K80" s="70">
        <f t="shared" si="56"/>
        <v>0.48287442638509787</v>
      </c>
      <c r="L80" s="68"/>
    </row>
    <row r="81" spans="1:31" x14ac:dyDescent="0.2">
      <c r="A81" s="68">
        <v>81</v>
      </c>
      <c r="B81" s="68"/>
      <c r="C81" s="103"/>
      <c r="D81" s="68"/>
      <c r="E81" s="68"/>
      <c r="F81" s="68"/>
      <c r="G81" s="68"/>
      <c r="H81" s="68"/>
      <c r="I81" s="68"/>
      <c r="J81" s="68"/>
      <c r="K81" s="68"/>
      <c r="L81" s="68"/>
    </row>
    <row r="82" spans="1:31" x14ac:dyDescent="0.2">
      <c r="A82" s="68">
        <v>82</v>
      </c>
      <c r="B82" s="68"/>
      <c r="C82" s="85">
        <f t="shared" ref="C82:C88" si="57">B5A5.0VA</f>
        <v>0.21600059637204713</v>
      </c>
      <c r="D82" s="68">
        <v>5</v>
      </c>
      <c r="E82" s="97">
        <v>-0.34</v>
      </c>
      <c r="F82" s="97">
        <v>17.8</v>
      </c>
      <c r="G82" s="97">
        <v>2</v>
      </c>
      <c r="H82" s="68"/>
      <c r="I82" s="69">
        <f t="shared" ref="I82:I88" si="58">0.1*D82/(5*0.02)</f>
        <v>5</v>
      </c>
      <c r="J82" s="70">
        <f t="shared" ref="J82:J88" si="59">E82*G82</f>
        <v>-0.68</v>
      </c>
      <c r="K82" s="70">
        <f t="shared" ref="K82:K88" si="60">100*RADIANS(G82*F82/60)</f>
        <v>1.0355620228499689</v>
      </c>
      <c r="L82" s="68"/>
    </row>
    <row r="83" spans="1:31" x14ac:dyDescent="0.2">
      <c r="A83" s="68">
        <v>83</v>
      </c>
      <c r="B83" s="158" t="s">
        <v>85</v>
      </c>
      <c r="C83" s="85">
        <f t="shared" si="57"/>
        <v>0.21600059637204713</v>
      </c>
      <c r="D83" s="68">
        <v>10</v>
      </c>
      <c r="E83" s="97">
        <v>-0.30299999999999999</v>
      </c>
      <c r="F83" s="97">
        <v>15.4</v>
      </c>
      <c r="G83" s="97">
        <v>2</v>
      </c>
      <c r="H83" s="68"/>
      <c r="I83" s="69">
        <f t="shared" si="58"/>
        <v>10</v>
      </c>
      <c r="J83" s="70">
        <f t="shared" si="59"/>
        <v>-0.60599999999999998</v>
      </c>
      <c r="K83" s="70">
        <f t="shared" si="60"/>
        <v>0.89593568269042234</v>
      </c>
      <c r="Q83" s="42"/>
    </row>
    <row r="84" spans="1:31" x14ac:dyDescent="0.2">
      <c r="A84" s="68">
        <v>84</v>
      </c>
      <c r="B84" s="68"/>
      <c r="C84" s="85">
        <f t="shared" si="57"/>
        <v>0.21600059637204713</v>
      </c>
      <c r="D84" s="68">
        <v>20</v>
      </c>
      <c r="E84" s="97">
        <v>-0.27500000000000002</v>
      </c>
      <c r="F84" s="97">
        <v>13.45</v>
      </c>
      <c r="G84" s="97">
        <v>2</v>
      </c>
      <c r="H84" s="68"/>
      <c r="I84" s="69">
        <f t="shared" si="58"/>
        <v>20</v>
      </c>
      <c r="J84" s="70">
        <f t="shared" si="59"/>
        <v>-0.55000000000000004</v>
      </c>
      <c r="K84" s="70">
        <f t="shared" si="60"/>
        <v>0.7824892813107911</v>
      </c>
      <c r="Q84" s="42"/>
    </row>
    <row r="85" spans="1:31" x14ac:dyDescent="0.2">
      <c r="A85" s="68">
        <v>85</v>
      </c>
      <c r="B85" s="68"/>
      <c r="C85" s="85">
        <f t="shared" si="57"/>
        <v>0.21600059637204713</v>
      </c>
      <c r="D85" s="68">
        <v>40</v>
      </c>
      <c r="E85" s="97">
        <v>-0.252</v>
      </c>
      <c r="F85" s="97">
        <v>12.05</v>
      </c>
      <c r="G85" s="97">
        <v>2</v>
      </c>
      <c r="H85" s="68"/>
      <c r="I85" s="69">
        <f t="shared" si="58"/>
        <v>40</v>
      </c>
      <c r="J85" s="70">
        <f t="shared" si="59"/>
        <v>-0.504</v>
      </c>
      <c r="K85" s="70">
        <f t="shared" si="60"/>
        <v>0.70104058288438897</v>
      </c>
      <c r="Q85" s="42"/>
    </row>
    <row r="86" spans="1:31" x14ac:dyDescent="0.2">
      <c r="A86" s="68">
        <v>86</v>
      </c>
      <c r="B86" s="68"/>
      <c r="C86" s="85">
        <f t="shared" si="57"/>
        <v>0.21600059637204713</v>
      </c>
      <c r="D86" s="68">
        <v>60</v>
      </c>
      <c r="E86" s="97">
        <v>-0.246</v>
      </c>
      <c r="F86" s="97">
        <v>10.9</v>
      </c>
      <c r="G86" s="97">
        <v>2</v>
      </c>
      <c r="H86" s="68"/>
      <c r="I86" s="69">
        <f t="shared" si="58"/>
        <v>60</v>
      </c>
      <c r="J86" s="70">
        <f t="shared" si="59"/>
        <v>-0.49199999999999999</v>
      </c>
      <c r="K86" s="70">
        <f t="shared" si="60"/>
        <v>0.6341362948912731</v>
      </c>
      <c r="Q86" s="42"/>
    </row>
    <row r="87" spans="1:31" x14ac:dyDescent="0.2">
      <c r="A87" s="68">
        <v>87</v>
      </c>
      <c r="B87" s="68"/>
      <c r="C87" s="85">
        <f t="shared" si="57"/>
        <v>0.21600059637204713</v>
      </c>
      <c r="D87" s="68">
        <v>100</v>
      </c>
      <c r="E87" s="97">
        <v>-0.23599999999999999</v>
      </c>
      <c r="F87" s="97">
        <v>9</v>
      </c>
      <c r="G87" s="97">
        <v>2</v>
      </c>
      <c r="H87" s="68"/>
      <c r="I87" s="69">
        <f t="shared" si="58"/>
        <v>100</v>
      </c>
      <c r="J87" s="155">
        <f t="shared" si="59"/>
        <v>-0.47199999999999998</v>
      </c>
      <c r="K87" s="70">
        <f t="shared" si="60"/>
        <v>0.52359877559829882</v>
      </c>
      <c r="Q87" s="42"/>
    </row>
    <row r="88" spans="1:31" x14ac:dyDescent="0.2">
      <c r="A88" s="68">
        <v>88</v>
      </c>
      <c r="B88" s="68"/>
      <c r="C88" s="85">
        <f t="shared" si="57"/>
        <v>0.21600059637204713</v>
      </c>
      <c r="D88" s="68">
        <v>120</v>
      </c>
      <c r="E88" s="97">
        <v>-0.23</v>
      </c>
      <c r="F88" s="97">
        <v>8.3000000000000007</v>
      </c>
      <c r="G88" s="97">
        <v>2</v>
      </c>
      <c r="H88" s="68"/>
      <c r="I88" s="69">
        <f t="shared" si="58"/>
        <v>120</v>
      </c>
      <c r="J88" s="70">
        <f t="shared" si="59"/>
        <v>-0.46</v>
      </c>
      <c r="K88" s="70">
        <f t="shared" si="60"/>
        <v>0.48287442638509787</v>
      </c>
      <c r="Q88" s="42"/>
    </row>
    <row r="89" spans="1:31" x14ac:dyDescent="0.2">
      <c r="A89" s="68">
        <v>89</v>
      </c>
      <c r="B89" s="68"/>
      <c r="C89" s="85"/>
      <c r="D89" s="68"/>
      <c r="E89" s="97"/>
      <c r="F89" s="97"/>
      <c r="G89" s="97"/>
      <c r="H89" s="68"/>
      <c r="I89" s="69"/>
      <c r="J89" s="70"/>
      <c r="K89" s="70"/>
      <c r="Q89" s="42"/>
    </row>
    <row r="90" spans="1:31" x14ac:dyDescent="0.2">
      <c r="A90" s="68">
        <v>90</v>
      </c>
      <c r="B90" s="108">
        <v>42566</v>
      </c>
      <c r="C90" s="68"/>
      <c r="D90" s="158" t="s">
        <v>321</v>
      </c>
      <c r="E90" s="68"/>
      <c r="F90" s="68"/>
      <c r="G90" s="158" t="s">
        <v>341</v>
      </c>
      <c r="H90" s="68"/>
      <c r="I90" s="68"/>
      <c r="J90" s="68"/>
      <c r="K90" s="68"/>
      <c r="M90" s="371" t="s">
        <v>374</v>
      </c>
      <c r="N90" s="372"/>
      <c r="O90" s="373">
        <f>W91</f>
        <v>100.00027609816998</v>
      </c>
      <c r="Q90" s="42"/>
    </row>
    <row r="91" spans="1:31" x14ac:dyDescent="0.2">
      <c r="A91" s="68">
        <v>91</v>
      </c>
      <c r="B91" s="86" t="s">
        <v>437</v>
      </c>
      <c r="C91" s="76"/>
      <c r="D91" s="76"/>
      <c r="E91" s="86">
        <v>-0.23599999999999999</v>
      </c>
      <c r="F91" s="86">
        <v>9.0500000000000007</v>
      </c>
      <c r="G91" s="86">
        <v>2</v>
      </c>
      <c r="H91" s="76"/>
      <c r="I91" s="105">
        <f>0.1*D91/(5*0.02)</f>
        <v>0</v>
      </c>
      <c r="J91" s="106">
        <f>E91*G91</f>
        <v>-0.47199999999999998</v>
      </c>
      <c r="K91" s="106">
        <f>100*RADIANS(G91*F91/60)</f>
        <v>0.52650765768495611</v>
      </c>
      <c r="L91" s="76"/>
      <c r="M91" s="7" t="s">
        <v>157</v>
      </c>
      <c r="N91" s="157">
        <f>-O90*(J92-J91)/100</f>
        <v>0.21600059637204713</v>
      </c>
      <c r="O91" s="157">
        <f>-O90*(K92-K91)/100</f>
        <v>2.9088901180275017E-3</v>
      </c>
      <c r="P91" s="11"/>
      <c r="Q91" s="42"/>
      <c r="R91" s="250" t="s">
        <v>238</v>
      </c>
      <c r="S91" s="250"/>
      <c r="U91">
        <v>20.84</v>
      </c>
      <c r="W91">
        <f>$W$479*(1+$X$479*0.000001*(U91-20))</f>
        <v>100.00027609816998</v>
      </c>
    </row>
    <row r="92" spans="1:31" x14ac:dyDescent="0.2">
      <c r="A92" s="68">
        <v>92</v>
      </c>
      <c r="B92" s="87" t="s">
        <v>438</v>
      </c>
      <c r="C92" s="80"/>
      <c r="D92" s="80"/>
      <c r="E92" s="87">
        <v>-0.34399999999999997</v>
      </c>
      <c r="F92" s="87">
        <v>9</v>
      </c>
      <c r="G92" s="87">
        <v>2</v>
      </c>
      <c r="H92" s="80"/>
      <c r="I92" s="107">
        <f>0.1*D92/(5*0.02)</f>
        <v>0</v>
      </c>
      <c r="J92" s="84">
        <f>E92*G92</f>
        <v>-0.68799999999999994</v>
      </c>
      <c r="K92" s="84">
        <f>100*RADIANS(G92*F92/60)</f>
        <v>0.52359877559829882</v>
      </c>
      <c r="L92" s="80"/>
      <c r="M92" s="7" t="s">
        <v>44</v>
      </c>
      <c r="N92" s="157">
        <f>-O90*(J94-J93)/100</f>
        <v>2.1000057980615688E-2</v>
      </c>
      <c r="O92" s="157">
        <f>-O90*(K94-K93)/100</f>
        <v>0</v>
      </c>
      <c r="P92" s="36"/>
      <c r="Q92" s="42"/>
      <c r="R92" s="97" t="s">
        <v>439</v>
      </c>
      <c r="S92" s="97"/>
      <c r="T92" s="97"/>
      <c r="Y92" s="252"/>
      <c r="Z92" s="252"/>
      <c r="AA92" s="252"/>
      <c r="AB92" s="252"/>
    </row>
    <row r="93" spans="1:31" x14ac:dyDescent="0.2">
      <c r="A93" s="68">
        <v>93</v>
      </c>
      <c r="B93" s="87" t="s">
        <v>427</v>
      </c>
      <c r="C93" s="80"/>
      <c r="D93" s="80"/>
      <c r="E93" s="87">
        <v>-0.121</v>
      </c>
      <c r="F93" s="87">
        <v>6</v>
      </c>
      <c r="G93" s="87">
        <v>1</v>
      </c>
      <c r="H93" s="80"/>
      <c r="I93" s="107">
        <f>0.1*D93/(5*0.02)</f>
        <v>0</v>
      </c>
      <c r="J93" s="84">
        <f>E93*G93</f>
        <v>-0.121</v>
      </c>
      <c r="K93" s="84">
        <f>100*RADIANS(G93*F93/60)</f>
        <v>0.17453292519943295</v>
      </c>
      <c r="L93" s="80"/>
      <c r="P93" s="36"/>
      <c r="Q93" s="252"/>
      <c r="R93" s="251"/>
      <c r="S93" s="251"/>
      <c r="U93" s="29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</row>
    <row r="94" spans="1:31" x14ac:dyDescent="0.2">
      <c r="A94" s="68">
        <v>94</v>
      </c>
      <c r="B94" s="87" t="s">
        <v>428</v>
      </c>
      <c r="C94" s="80"/>
      <c r="D94" s="80"/>
      <c r="E94" s="87">
        <v>-0.14199999999999999</v>
      </c>
      <c r="F94" s="87">
        <v>6</v>
      </c>
      <c r="G94" s="87">
        <v>1</v>
      </c>
      <c r="H94" s="80"/>
      <c r="I94" s="107">
        <f>0.1*D94/(5*0.02)</f>
        <v>0</v>
      </c>
      <c r="J94" s="84">
        <f>E94*G94</f>
        <v>-0.14199999999999999</v>
      </c>
      <c r="K94" s="84">
        <f>100*RADIANS(G94*F94/60)</f>
        <v>0.17453292519943295</v>
      </c>
      <c r="L94" s="80"/>
      <c r="P94" s="36"/>
      <c r="Q94" s="29"/>
      <c r="R94" s="251"/>
      <c r="S94" s="251"/>
      <c r="U94" s="29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</row>
    <row r="95" spans="1:31" x14ac:dyDescent="0.2">
      <c r="A95" s="68">
        <v>95</v>
      </c>
      <c r="B95" s="82"/>
      <c r="C95" s="82"/>
      <c r="D95" s="82"/>
      <c r="E95" s="68"/>
      <c r="F95" s="68"/>
      <c r="G95" s="82"/>
      <c r="H95" s="82"/>
      <c r="I95" s="82"/>
      <c r="J95" s="82"/>
      <c r="K95" s="82"/>
      <c r="L95" s="82"/>
      <c r="M95" s="38"/>
      <c r="N95" s="38"/>
      <c r="O95" s="38"/>
      <c r="P95" s="40"/>
      <c r="Q95" s="29"/>
      <c r="R95" s="29"/>
      <c r="S95" s="29"/>
      <c r="T95" s="29"/>
      <c r="U95" s="29"/>
      <c r="V95" s="252"/>
      <c r="W95" s="252"/>
      <c r="X95" s="252"/>
      <c r="Y95" s="252"/>
      <c r="Z95" s="252"/>
      <c r="AA95" s="252"/>
      <c r="AB95" s="252"/>
      <c r="AC95" s="252"/>
      <c r="AD95" s="252"/>
      <c r="AE95" s="252"/>
    </row>
    <row r="96" spans="1:31" x14ac:dyDescent="0.2">
      <c r="A96" s="68">
        <v>96</v>
      </c>
      <c r="B96" s="68"/>
      <c r="C96" s="68"/>
      <c r="D96" s="68"/>
      <c r="E96" s="76"/>
      <c r="F96" s="76"/>
      <c r="G96" s="76"/>
      <c r="H96" s="68"/>
      <c r="I96" s="68"/>
      <c r="J96" s="68"/>
      <c r="K96" s="68"/>
      <c r="L96" s="68"/>
      <c r="N96" s="27">
        <f>91:91*5*5</f>
        <v>5.4000149093011789</v>
      </c>
      <c r="P96" s="4">
        <f>7.5/5/5</f>
        <v>0.3</v>
      </c>
      <c r="Q96" s="29"/>
      <c r="R96" s="29"/>
      <c r="S96" s="29"/>
      <c r="T96" s="29"/>
      <c r="U96" s="29"/>
      <c r="V96" s="29"/>
      <c r="W96" s="252"/>
      <c r="X96" s="252"/>
      <c r="Y96" s="252"/>
      <c r="Z96" s="252"/>
      <c r="AA96" s="252"/>
      <c r="AB96" s="252"/>
      <c r="AC96" s="252"/>
      <c r="AD96" s="252"/>
      <c r="AE96" s="252"/>
    </row>
    <row r="97" spans="1:31" x14ac:dyDescent="0.2">
      <c r="A97" s="68">
        <v>97</v>
      </c>
      <c r="B97" s="96" t="str">
        <f>O97&amp;"/5 Range, "&amp;O98&amp;" turns @ "&amp;O101&amp;"VA burden, vs "&amp;O100&amp;" AT, "&amp;O99&amp;" range, 2 Stage CT"</f>
        <v>200/5 Range, 1 turns @ 5VA burden, vs 120 AT, 200 range, 2 Stage CT</v>
      </c>
      <c r="C97" s="68"/>
      <c r="D97" s="68"/>
      <c r="E97" s="68"/>
      <c r="F97" s="68"/>
      <c r="G97" s="68"/>
      <c r="H97" s="68"/>
      <c r="I97" s="98"/>
      <c r="N97" s="261" t="s">
        <v>364</v>
      </c>
      <c r="O97" s="97">
        <v>200</v>
      </c>
      <c r="Q97" s="29"/>
      <c r="R97" s="29"/>
      <c r="S97" s="29"/>
      <c r="T97" s="29"/>
      <c r="U97" s="29"/>
      <c r="V97" s="29"/>
      <c r="W97" s="252"/>
      <c r="X97" s="252"/>
      <c r="Y97" s="252"/>
      <c r="Z97" s="252"/>
      <c r="AA97" s="252"/>
      <c r="AB97" s="252"/>
      <c r="AC97" s="252"/>
      <c r="AD97" s="252"/>
      <c r="AE97" s="252"/>
    </row>
    <row r="98" spans="1:31" x14ac:dyDescent="0.2">
      <c r="A98" s="68">
        <v>98</v>
      </c>
      <c r="B98" s="96" t="s">
        <v>491</v>
      </c>
      <c r="C98" s="98" t="s">
        <v>121</v>
      </c>
      <c r="D98" s="68"/>
      <c r="E98" s="68"/>
      <c r="F98" s="68"/>
      <c r="G98" s="68"/>
      <c r="H98" s="68"/>
      <c r="I98" s="68"/>
      <c r="N98" s="261" t="s">
        <v>365</v>
      </c>
      <c r="O98" s="97">
        <v>1</v>
      </c>
      <c r="P98" s="252"/>
      <c r="Q98" s="29"/>
      <c r="R98" s="29"/>
      <c r="S98" s="29"/>
      <c r="T98" s="29"/>
      <c r="U98" s="29"/>
      <c r="V98" s="29"/>
      <c r="W98" s="252"/>
      <c r="X98" s="252"/>
      <c r="Y98" s="252"/>
      <c r="Z98" s="252"/>
      <c r="AA98" s="252"/>
      <c r="AB98" s="252"/>
      <c r="AC98" s="252"/>
      <c r="AD98" s="252"/>
      <c r="AE98" s="252"/>
    </row>
    <row r="99" spans="1:31" x14ac:dyDescent="0.2">
      <c r="A99" s="68">
        <v>99</v>
      </c>
      <c r="B99" s="108">
        <v>42566</v>
      </c>
      <c r="C99" s="85">
        <f t="shared" ref="C99:C105" si="61">B5A5.0VA</f>
        <v>0.21600059637204713</v>
      </c>
      <c r="D99" s="68">
        <v>5</v>
      </c>
      <c r="E99" s="97">
        <v>-0.34100000000000003</v>
      </c>
      <c r="F99" s="97">
        <v>17.899999999999999</v>
      </c>
      <c r="G99" s="97">
        <v>2</v>
      </c>
      <c r="H99" s="68"/>
      <c r="I99" s="69">
        <f t="shared" ref="I99:I105" si="62">0.1*D99/(5*0.02)</f>
        <v>5</v>
      </c>
      <c r="J99" s="70">
        <f t="shared" ref="J99:J105" si="63">E99*G99</f>
        <v>-0.68200000000000005</v>
      </c>
      <c r="K99" s="70">
        <f t="shared" ref="K99:K105" si="64">100*RADIANS(G99*F99/60)</f>
        <v>1.041379787023283</v>
      </c>
      <c r="N99" s="261" t="s">
        <v>366</v>
      </c>
      <c r="O99" s="97">
        <v>200</v>
      </c>
      <c r="P99" s="252"/>
      <c r="Q99" s="29"/>
      <c r="R99" s="29"/>
      <c r="S99" s="29"/>
      <c r="T99" s="29"/>
      <c r="U99" s="29"/>
      <c r="V99" s="29"/>
      <c r="W99" s="252"/>
      <c r="X99" s="252"/>
      <c r="Y99" s="252"/>
      <c r="Z99" s="252"/>
      <c r="AA99" s="252"/>
      <c r="AB99" s="252"/>
      <c r="AC99" s="252"/>
      <c r="AD99" s="252"/>
      <c r="AE99" s="252"/>
    </row>
    <row r="100" spans="1:31" x14ac:dyDescent="0.2">
      <c r="A100" s="68">
        <v>100</v>
      </c>
      <c r="B100" s="68"/>
      <c r="C100" s="85">
        <f t="shared" si="61"/>
        <v>0.21600059637204713</v>
      </c>
      <c r="D100" s="68">
        <v>10</v>
      </c>
      <c r="E100" s="97">
        <v>-0.30199999999999999</v>
      </c>
      <c r="F100" s="97">
        <v>15.4</v>
      </c>
      <c r="G100" s="97">
        <v>2</v>
      </c>
      <c r="H100" s="68"/>
      <c r="I100" s="69">
        <f t="shared" si="62"/>
        <v>10</v>
      </c>
      <c r="J100" s="70">
        <f t="shared" si="63"/>
        <v>-0.60399999999999998</v>
      </c>
      <c r="K100" s="70">
        <f t="shared" si="64"/>
        <v>0.89593568269042234</v>
      </c>
      <c r="N100" s="261" t="s">
        <v>367</v>
      </c>
      <c r="O100" s="97">
        <v>120</v>
      </c>
      <c r="P100" s="252"/>
      <c r="Q100" s="29"/>
      <c r="R100" s="29"/>
      <c r="S100" s="29"/>
      <c r="T100" s="29"/>
      <c r="U100" s="29"/>
      <c r="V100" s="29"/>
      <c r="W100" s="252"/>
      <c r="X100" s="252"/>
      <c r="Y100" s="252"/>
      <c r="Z100" s="252"/>
      <c r="AA100" s="252"/>
      <c r="AB100" s="252"/>
      <c r="AC100" s="252"/>
      <c r="AD100" s="252"/>
      <c r="AE100" s="252"/>
    </row>
    <row r="101" spans="1:31" x14ac:dyDescent="0.2">
      <c r="A101" s="68">
        <v>101</v>
      </c>
      <c r="B101" s="98"/>
      <c r="C101" s="85">
        <f t="shared" si="61"/>
        <v>0.21600059637204713</v>
      </c>
      <c r="D101" s="68">
        <v>20</v>
      </c>
      <c r="E101" s="97">
        <v>-0.27400000000000002</v>
      </c>
      <c r="F101" s="97">
        <v>13.5</v>
      </c>
      <c r="G101" s="97">
        <v>2</v>
      </c>
      <c r="H101" s="68"/>
      <c r="I101" s="69">
        <f t="shared" si="62"/>
        <v>20</v>
      </c>
      <c r="J101" s="70">
        <f t="shared" si="63"/>
        <v>-0.54800000000000004</v>
      </c>
      <c r="K101" s="70">
        <f t="shared" si="64"/>
        <v>0.78539816339744839</v>
      </c>
      <c r="L101" s="68"/>
      <c r="N101" s="261" t="s">
        <v>429</v>
      </c>
      <c r="O101" s="370">
        <v>5</v>
      </c>
      <c r="Q101" s="29"/>
      <c r="R101" s="29"/>
      <c r="S101" s="29"/>
      <c r="T101" s="29"/>
      <c r="U101" s="29"/>
      <c r="V101" s="29"/>
      <c r="W101" s="252"/>
      <c r="X101" s="252"/>
      <c r="Y101" s="252"/>
      <c r="Z101" s="252"/>
      <c r="AA101" s="252"/>
      <c r="AB101" s="252"/>
      <c r="AC101" s="252"/>
      <c r="AD101" s="252"/>
      <c r="AE101" s="252"/>
    </row>
    <row r="102" spans="1:31" x14ac:dyDescent="0.2">
      <c r="A102" s="68">
        <v>102</v>
      </c>
      <c r="B102" s="68"/>
      <c r="C102" s="85">
        <f t="shared" si="61"/>
        <v>0.21600059637204713</v>
      </c>
      <c r="D102" s="68">
        <v>40</v>
      </c>
      <c r="E102" s="97">
        <v>-0.251</v>
      </c>
      <c r="F102" s="97">
        <v>12.05</v>
      </c>
      <c r="G102" s="97">
        <v>2</v>
      </c>
      <c r="H102" s="125"/>
      <c r="I102" s="126">
        <f t="shared" si="62"/>
        <v>40</v>
      </c>
      <c r="J102" s="127">
        <f t="shared" si="63"/>
        <v>-0.502</v>
      </c>
      <c r="K102" s="127">
        <f t="shared" si="64"/>
        <v>0.70104058288438897</v>
      </c>
      <c r="L102" s="68"/>
      <c r="Q102" s="29"/>
      <c r="R102" s="29"/>
      <c r="S102" s="29"/>
      <c r="T102" s="29"/>
      <c r="U102" s="29"/>
      <c r="V102" s="29"/>
      <c r="W102" s="252"/>
      <c r="X102" s="252"/>
      <c r="Y102" s="252"/>
      <c r="Z102" s="252"/>
      <c r="AA102" s="252"/>
      <c r="AB102" s="252"/>
      <c r="AC102" s="252"/>
      <c r="AD102" s="252"/>
      <c r="AE102" s="252"/>
    </row>
    <row r="103" spans="1:31" x14ac:dyDescent="0.2">
      <c r="A103" s="68">
        <v>103</v>
      </c>
      <c r="B103" s="68"/>
      <c r="C103" s="85">
        <f t="shared" si="61"/>
        <v>0.21600059637204713</v>
      </c>
      <c r="D103" s="68">
        <v>60</v>
      </c>
      <c r="E103" s="97">
        <v>-0.246</v>
      </c>
      <c r="F103" s="97">
        <v>10.9</v>
      </c>
      <c r="G103" s="97">
        <v>2</v>
      </c>
      <c r="H103" s="125"/>
      <c r="I103" s="126">
        <f t="shared" si="62"/>
        <v>60</v>
      </c>
      <c r="J103" s="127">
        <f t="shared" si="63"/>
        <v>-0.49199999999999999</v>
      </c>
      <c r="K103" s="127">
        <f t="shared" si="64"/>
        <v>0.6341362948912731</v>
      </c>
      <c r="L103" s="103"/>
      <c r="Q103" s="29"/>
      <c r="R103" s="29"/>
      <c r="S103" s="29"/>
      <c r="T103" s="29"/>
      <c r="U103" s="29"/>
      <c r="V103" s="29"/>
      <c r="W103" s="252"/>
      <c r="X103" s="252"/>
      <c r="Y103" s="252"/>
      <c r="Z103" s="252"/>
      <c r="AA103" s="252"/>
      <c r="AB103" s="252"/>
      <c r="AC103" s="252"/>
      <c r="AD103" s="252"/>
      <c r="AE103" s="252"/>
    </row>
    <row r="104" spans="1:31" x14ac:dyDescent="0.2">
      <c r="A104" s="68">
        <v>104</v>
      </c>
      <c r="B104" s="68"/>
      <c r="C104" s="85">
        <f t="shared" si="61"/>
        <v>0.21600059637204713</v>
      </c>
      <c r="D104" s="68">
        <v>100</v>
      </c>
      <c r="E104" s="97">
        <v>-0.23499999999999999</v>
      </c>
      <c r="F104" s="97">
        <v>9</v>
      </c>
      <c r="G104" s="97">
        <v>2</v>
      </c>
      <c r="H104" s="125"/>
      <c r="I104" s="126">
        <f t="shared" si="62"/>
        <v>100</v>
      </c>
      <c r="J104" s="127">
        <f t="shared" si="63"/>
        <v>-0.47</v>
      </c>
      <c r="K104" s="127">
        <f t="shared" si="64"/>
        <v>0.52359877559829882</v>
      </c>
      <c r="L104" s="68"/>
      <c r="Q104" s="29"/>
      <c r="R104" s="29"/>
      <c r="S104" s="29"/>
      <c r="T104" s="29"/>
      <c r="U104" s="29"/>
      <c r="V104" s="29"/>
      <c r="W104" s="252"/>
      <c r="X104" s="252"/>
      <c r="Y104" s="252"/>
      <c r="Z104" s="252"/>
      <c r="AA104" s="252"/>
      <c r="AB104" s="252"/>
      <c r="AC104" s="252"/>
      <c r="AD104" s="252"/>
      <c r="AE104" s="252"/>
    </row>
    <row r="105" spans="1:31" x14ac:dyDescent="0.2">
      <c r="A105" s="68">
        <v>105</v>
      </c>
      <c r="B105" s="68"/>
      <c r="C105" s="85">
        <f t="shared" si="61"/>
        <v>0.21600059637204713</v>
      </c>
      <c r="D105" s="68">
        <v>120</v>
      </c>
      <c r="E105" s="97">
        <v>-0.22900000000000001</v>
      </c>
      <c r="F105" s="97">
        <v>8.3000000000000007</v>
      </c>
      <c r="G105" s="97">
        <v>2</v>
      </c>
      <c r="H105" s="125"/>
      <c r="I105" s="126">
        <f t="shared" si="62"/>
        <v>120</v>
      </c>
      <c r="J105" s="127">
        <f t="shared" si="63"/>
        <v>-0.45800000000000002</v>
      </c>
      <c r="K105" s="127">
        <f t="shared" si="64"/>
        <v>0.48287442638509787</v>
      </c>
      <c r="L105" s="68"/>
      <c r="Q105" s="29"/>
      <c r="R105" s="29"/>
      <c r="S105" s="29"/>
      <c r="T105" s="29"/>
      <c r="U105" s="29"/>
      <c r="V105" s="29"/>
      <c r="W105" s="252"/>
      <c r="X105" s="252"/>
      <c r="Y105" s="252"/>
      <c r="Z105" s="252"/>
      <c r="AA105" s="252"/>
      <c r="AB105" s="252"/>
      <c r="AC105" s="252"/>
      <c r="AD105" s="252"/>
      <c r="AE105" s="252"/>
    </row>
    <row r="106" spans="1:31" x14ac:dyDescent="0.2">
      <c r="A106" s="68">
        <v>106</v>
      </c>
      <c r="B106" s="68"/>
      <c r="C106" s="68"/>
      <c r="D106" s="125"/>
      <c r="E106" s="68"/>
      <c r="F106" s="68"/>
      <c r="G106" s="68"/>
      <c r="H106" s="125"/>
      <c r="I106" s="125"/>
      <c r="J106" s="127"/>
      <c r="K106" s="473"/>
      <c r="L106" s="68"/>
      <c r="Q106" s="29"/>
      <c r="R106" s="29"/>
      <c r="S106" s="29"/>
      <c r="T106" s="29"/>
      <c r="U106" s="29"/>
      <c r="V106" s="29"/>
      <c r="W106" s="252"/>
      <c r="X106" s="252"/>
      <c r="Y106" s="252"/>
      <c r="Z106" s="252"/>
      <c r="AA106" s="252"/>
      <c r="AB106" s="252"/>
      <c r="AC106" s="252"/>
      <c r="AD106" s="252"/>
      <c r="AE106" s="252"/>
    </row>
    <row r="107" spans="1:31" x14ac:dyDescent="0.2">
      <c r="A107" s="68">
        <v>107</v>
      </c>
      <c r="B107" s="68"/>
      <c r="C107" s="85">
        <f>B5A0VA</f>
        <v>2.1000057980615688E-2</v>
      </c>
      <c r="D107" s="68">
        <v>5</v>
      </c>
      <c r="E107" s="97">
        <v>-0.222</v>
      </c>
      <c r="F107" s="97">
        <v>13.2</v>
      </c>
      <c r="G107" s="97">
        <v>1</v>
      </c>
      <c r="H107" s="125"/>
      <c r="I107" s="126">
        <f t="shared" ref="I107:I113" si="65">0.1*D107/(5*0.02)</f>
        <v>5</v>
      </c>
      <c r="J107" s="127">
        <f t="shared" ref="J107:J113" si="66">E107*G107</f>
        <v>-0.222</v>
      </c>
      <c r="K107" s="127">
        <f t="shared" ref="K107:K113" si="67">100*RADIANS(G107*F107/60)</f>
        <v>0.38397243543875248</v>
      </c>
      <c r="L107" s="68"/>
      <c r="Q107" s="29"/>
      <c r="R107" s="29"/>
      <c r="S107" s="29"/>
      <c r="T107" s="29"/>
      <c r="U107" s="29"/>
      <c r="V107" s="29"/>
      <c r="W107" s="252"/>
      <c r="X107" s="252"/>
      <c r="Y107" s="252"/>
      <c r="Z107" s="252"/>
      <c r="AA107" s="252"/>
      <c r="AB107" s="252"/>
      <c r="AC107" s="252"/>
      <c r="AD107" s="252"/>
      <c r="AE107" s="252"/>
    </row>
    <row r="108" spans="1:31" x14ac:dyDescent="0.2">
      <c r="A108" s="68">
        <v>108</v>
      </c>
      <c r="B108" s="68"/>
      <c r="C108" s="85">
        <f t="shared" ref="C108:C113" si="68">B5A0VA</f>
        <v>2.1000057980615688E-2</v>
      </c>
      <c r="D108" s="68">
        <v>10</v>
      </c>
      <c r="E108" s="97">
        <v>-0.182</v>
      </c>
      <c r="F108" s="97">
        <v>10.1</v>
      </c>
      <c r="G108" s="97">
        <v>1</v>
      </c>
      <c r="H108" s="125"/>
      <c r="I108" s="126">
        <f t="shared" si="65"/>
        <v>10</v>
      </c>
      <c r="J108" s="127">
        <f t="shared" si="66"/>
        <v>-0.182</v>
      </c>
      <c r="K108" s="127">
        <f t="shared" si="67"/>
        <v>0.29379709075237881</v>
      </c>
      <c r="L108" s="68"/>
      <c r="Q108" s="29"/>
      <c r="R108" s="29"/>
      <c r="S108" s="29"/>
      <c r="T108" s="29"/>
      <c r="U108" s="29"/>
      <c r="V108" s="29"/>
      <c r="W108" s="252"/>
      <c r="X108" s="252"/>
      <c r="Y108" s="252"/>
      <c r="Z108" s="252"/>
      <c r="AA108" s="252"/>
      <c r="AB108" s="252"/>
      <c r="AC108" s="252"/>
      <c r="AD108" s="252"/>
      <c r="AE108" s="252"/>
    </row>
    <row r="109" spans="1:31" x14ac:dyDescent="0.2">
      <c r="A109" s="68">
        <v>109</v>
      </c>
      <c r="B109" s="68"/>
      <c r="C109" s="85">
        <f t="shared" si="68"/>
        <v>2.1000057980615688E-2</v>
      </c>
      <c r="D109" s="68">
        <v>20</v>
      </c>
      <c r="E109" s="97">
        <v>-0.153</v>
      </c>
      <c r="F109" s="97">
        <v>8.0500000000000007</v>
      </c>
      <c r="G109" s="97">
        <v>1</v>
      </c>
      <c r="H109" s="125"/>
      <c r="I109" s="126">
        <f t="shared" si="65"/>
        <v>20</v>
      </c>
      <c r="J109" s="127">
        <f t="shared" si="66"/>
        <v>-0.153</v>
      </c>
      <c r="K109" s="127">
        <f t="shared" si="67"/>
        <v>0.23416500797590589</v>
      </c>
      <c r="L109" s="68"/>
      <c r="Q109" s="29"/>
      <c r="R109" s="29"/>
      <c r="S109" s="29"/>
      <c r="T109" s="29"/>
      <c r="U109" s="29"/>
      <c r="V109" s="29"/>
      <c r="W109" s="252"/>
      <c r="X109" s="252"/>
      <c r="Y109" s="252"/>
      <c r="Z109" s="252"/>
      <c r="AA109" s="252"/>
      <c r="AB109" s="252"/>
      <c r="AC109" s="252"/>
      <c r="AD109" s="252"/>
      <c r="AE109" s="252"/>
    </row>
    <row r="110" spans="1:31" x14ac:dyDescent="0.2">
      <c r="A110" s="68">
        <v>110</v>
      </c>
      <c r="B110" s="68"/>
      <c r="C110" s="85">
        <f t="shared" si="68"/>
        <v>2.1000057980615688E-2</v>
      </c>
      <c r="D110" s="68">
        <v>40</v>
      </c>
      <c r="E110" s="97">
        <v>-0.13700000000000001</v>
      </c>
      <c r="F110" s="97">
        <v>7</v>
      </c>
      <c r="G110" s="97">
        <v>1</v>
      </c>
      <c r="H110" s="125"/>
      <c r="I110" s="126">
        <f t="shared" si="65"/>
        <v>40</v>
      </c>
      <c r="J110" s="127">
        <f t="shared" si="66"/>
        <v>-0.13700000000000001</v>
      </c>
      <c r="K110" s="127">
        <f t="shared" si="67"/>
        <v>0.20362174606600511</v>
      </c>
      <c r="L110" s="68"/>
      <c r="Q110" s="29"/>
      <c r="R110" s="29"/>
      <c r="S110" s="29"/>
      <c r="T110" s="29"/>
      <c r="U110" s="29"/>
      <c r="V110" s="29"/>
      <c r="W110" s="252"/>
      <c r="X110" s="252"/>
      <c r="Y110" s="252"/>
      <c r="Z110" s="252"/>
      <c r="AA110" s="252"/>
      <c r="AB110" s="252"/>
      <c r="AC110" s="252"/>
      <c r="AD110" s="252"/>
      <c r="AE110" s="252"/>
    </row>
    <row r="111" spans="1:31" x14ac:dyDescent="0.2">
      <c r="A111" s="68">
        <v>111</v>
      </c>
      <c r="B111" s="68"/>
      <c r="C111" s="85">
        <f t="shared" si="68"/>
        <v>2.1000057980615688E-2</v>
      </c>
      <c r="D111" s="68">
        <v>60</v>
      </c>
      <c r="E111" s="97">
        <v>-0.129</v>
      </c>
      <c r="F111" s="97">
        <v>6.5</v>
      </c>
      <c r="G111" s="97">
        <v>1</v>
      </c>
      <c r="H111" s="68"/>
      <c r="I111" s="69">
        <f t="shared" si="65"/>
        <v>60</v>
      </c>
      <c r="J111" s="70">
        <f t="shared" si="66"/>
        <v>-0.129</v>
      </c>
      <c r="K111" s="70">
        <f t="shared" si="67"/>
        <v>0.18907733563271903</v>
      </c>
      <c r="L111" s="68"/>
      <c r="Q111" s="29"/>
      <c r="R111" s="29"/>
      <c r="S111" s="29"/>
      <c r="T111" s="29"/>
      <c r="U111" s="29"/>
      <c r="V111" s="29"/>
      <c r="W111" s="252"/>
      <c r="X111" s="252"/>
      <c r="Y111" s="252"/>
      <c r="Z111" s="252"/>
      <c r="AA111" s="252"/>
      <c r="AB111" s="252"/>
      <c r="AC111" s="252"/>
      <c r="AD111" s="252"/>
      <c r="AE111" s="252"/>
    </row>
    <row r="112" spans="1:31" x14ac:dyDescent="0.2">
      <c r="A112" s="68">
        <v>112</v>
      </c>
      <c r="B112" s="68"/>
      <c r="C112" s="85">
        <f t="shared" si="68"/>
        <v>2.1000057980615688E-2</v>
      </c>
      <c r="D112" s="68">
        <v>100</v>
      </c>
      <c r="E112" s="97">
        <v>-0.121</v>
      </c>
      <c r="F112" s="97">
        <v>6</v>
      </c>
      <c r="G112" s="97">
        <v>1</v>
      </c>
      <c r="H112" s="68"/>
      <c r="I112" s="69">
        <f t="shared" si="65"/>
        <v>100</v>
      </c>
      <c r="J112" s="70">
        <f t="shared" si="66"/>
        <v>-0.121</v>
      </c>
      <c r="K112" s="70">
        <f t="shared" si="67"/>
        <v>0.17453292519943295</v>
      </c>
      <c r="L112" s="68"/>
      <c r="Q112" s="29"/>
      <c r="R112" s="29"/>
      <c r="S112" s="29"/>
      <c r="T112" s="29"/>
      <c r="U112" s="29"/>
      <c r="V112" s="29"/>
      <c r="W112" s="252"/>
      <c r="X112" s="252"/>
      <c r="Y112" s="252"/>
      <c r="Z112" s="252"/>
      <c r="AA112" s="252"/>
      <c r="AB112" s="252"/>
      <c r="AC112" s="252"/>
      <c r="AD112" s="252"/>
      <c r="AE112" s="252"/>
    </row>
    <row r="113" spans="1:31" x14ac:dyDescent="0.2">
      <c r="A113" s="68">
        <v>113</v>
      </c>
      <c r="B113" s="68"/>
      <c r="C113" s="85">
        <f t="shared" si="68"/>
        <v>2.1000057980615688E-2</v>
      </c>
      <c r="D113" s="68">
        <v>120</v>
      </c>
      <c r="E113" s="97">
        <v>-0.11899999999999999</v>
      </c>
      <c r="F113" s="97">
        <v>5.8</v>
      </c>
      <c r="G113" s="97">
        <v>1</v>
      </c>
      <c r="H113" s="68"/>
      <c r="I113" s="69">
        <f t="shared" si="65"/>
        <v>120</v>
      </c>
      <c r="J113" s="70">
        <f t="shared" si="66"/>
        <v>-0.11899999999999999</v>
      </c>
      <c r="K113" s="70">
        <f t="shared" si="67"/>
        <v>0.16871516102611853</v>
      </c>
      <c r="L113" s="68"/>
      <c r="Q113" s="29"/>
      <c r="R113" s="29"/>
      <c r="S113" s="29"/>
      <c r="T113" s="29"/>
      <c r="U113" s="29"/>
      <c r="V113" s="29"/>
      <c r="W113" s="252"/>
      <c r="X113" s="252"/>
      <c r="Y113" s="252"/>
      <c r="Z113" s="252"/>
      <c r="AA113" s="252"/>
      <c r="AB113" s="252"/>
      <c r="AC113" s="252"/>
      <c r="AD113" s="252"/>
      <c r="AE113" s="252"/>
    </row>
    <row r="114" spans="1:31" x14ac:dyDescent="0.2">
      <c r="A114" s="68">
        <v>114</v>
      </c>
      <c r="B114" s="68"/>
      <c r="C114" s="68"/>
      <c r="D114" s="68"/>
      <c r="E114" s="68"/>
      <c r="F114" s="68"/>
      <c r="G114" s="68"/>
      <c r="H114" s="68"/>
      <c r="I114" s="68"/>
      <c r="J114" s="23"/>
      <c r="K114" s="68"/>
      <c r="L114" s="68"/>
      <c r="Q114" s="29"/>
      <c r="R114" s="29"/>
      <c r="S114" s="29"/>
      <c r="T114" s="29"/>
      <c r="U114" s="29"/>
      <c r="V114" s="29"/>
      <c r="W114" s="252"/>
      <c r="X114" s="252"/>
      <c r="Y114" s="252"/>
      <c r="Z114" s="252"/>
      <c r="AA114" s="252"/>
      <c r="AB114" s="252"/>
      <c r="AC114" s="252"/>
      <c r="AD114" s="252"/>
      <c r="AE114" s="252"/>
    </row>
    <row r="115" spans="1:31" x14ac:dyDescent="0.2">
      <c r="A115" s="68">
        <v>115</v>
      </c>
      <c r="B115" s="96" t="str">
        <f>O115&amp;"/5 Range, "&amp;O116&amp;" turns @ "&amp;O119&amp;"VA burden, vs "&amp;O118&amp;" AT, "&amp;O117&amp;" range, 2 Stage CT"</f>
        <v>200/5 Range, 1 turns @ 5VA burden, vs 120 AT, 200 range, 2 Stage CT</v>
      </c>
      <c r="C115" s="68"/>
      <c r="D115" s="68"/>
      <c r="E115" s="68"/>
      <c r="F115" s="68"/>
      <c r="G115" s="68"/>
      <c r="H115" s="68"/>
      <c r="I115" s="98"/>
      <c r="N115" s="261" t="s">
        <v>364</v>
      </c>
      <c r="O115" s="97">
        <v>200</v>
      </c>
      <c r="Q115" s="29"/>
    </row>
    <row r="116" spans="1:31" x14ac:dyDescent="0.2">
      <c r="A116" s="68">
        <v>116</v>
      </c>
      <c r="B116" s="96" t="s">
        <v>491</v>
      </c>
      <c r="C116" s="98" t="s">
        <v>121</v>
      </c>
      <c r="D116" s="68"/>
      <c r="E116" s="68"/>
      <c r="F116" s="68"/>
      <c r="G116" s="68"/>
      <c r="H116" s="68"/>
      <c r="I116" s="68"/>
      <c r="N116" s="261" t="s">
        <v>365</v>
      </c>
      <c r="O116" s="97">
        <v>1</v>
      </c>
      <c r="Q116" s="29"/>
    </row>
    <row r="117" spans="1:31" x14ac:dyDescent="0.2">
      <c r="A117" s="68">
        <v>117</v>
      </c>
      <c r="B117" s="108">
        <v>42569</v>
      </c>
      <c r="C117" s="85">
        <f t="shared" ref="C117:C123" si="69">B5A5.0VA</f>
        <v>0.21600059637204713</v>
      </c>
      <c r="D117" s="68">
        <v>5</v>
      </c>
      <c r="E117" s="97">
        <v>-0.34</v>
      </c>
      <c r="F117" s="97">
        <v>17.899999999999999</v>
      </c>
      <c r="G117" s="97">
        <v>2</v>
      </c>
      <c r="H117" s="68"/>
      <c r="I117" s="69">
        <f t="shared" ref="I117:I123" si="70">0.1*D117/(5*0.02)</f>
        <v>5</v>
      </c>
      <c r="J117" s="155">
        <f t="shared" ref="J117:J123" si="71">E117*G117</f>
        <v>-0.68</v>
      </c>
      <c r="K117" s="70">
        <f t="shared" ref="K117:K123" si="72">100*RADIANS(G117*F117/60)</f>
        <v>1.041379787023283</v>
      </c>
      <c r="N117" s="261" t="s">
        <v>366</v>
      </c>
      <c r="O117" s="97">
        <v>200</v>
      </c>
      <c r="Q117" s="29"/>
    </row>
    <row r="118" spans="1:31" x14ac:dyDescent="0.2">
      <c r="A118" s="68">
        <v>118</v>
      </c>
      <c r="B118" s="68"/>
      <c r="C118" s="85">
        <f t="shared" si="69"/>
        <v>0.21600059637204713</v>
      </c>
      <c r="D118" s="68">
        <v>10</v>
      </c>
      <c r="E118" s="97">
        <v>-0.30199999999999999</v>
      </c>
      <c r="F118" s="97">
        <v>15.4</v>
      </c>
      <c r="G118" s="97">
        <v>2</v>
      </c>
      <c r="H118" s="68"/>
      <c r="I118" s="69">
        <f t="shared" si="70"/>
        <v>10</v>
      </c>
      <c r="J118" s="155">
        <f t="shared" si="71"/>
        <v>-0.60399999999999998</v>
      </c>
      <c r="K118" s="70">
        <f t="shared" si="72"/>
        <v>0.89593568269042234</v>
      </c>
      <c r="N118" s="261" t="s">
        <v>367</v>
      </c>
      <c r="O118" s="97">
        <v>120</v>
      </c>
    </row>
    <row r="119" spans="1:31" x14ac:dyDescent="0.2">
      <c r="A119" s="68">
        <v>119</v>
      </c>
      <c r="B119" s="68"/>
      <c r="C119" s="85">
        <f t="shared" si="69"/>
        <v>0.21600059637204713</v>
      </c>
      <c r="D119" s="68">
        <v>20</v>
      </c>
      <c r="E119" s="97">
        <v>-0.27400000000000002</v>
      </c>
      <c r="F119" s="97">
        <v>13.5</v>
      </c>
      <c r="G119" s="97">
        <v>2</v>
      </c>
      <c r="H119" s="68"/>
      <c r="I119" s="69">
        <f t="shared" si="70"/>
        <v>20</v>
      </c>
      <c r="J119" s="155">
        <f t="shared" si="71"/>
        <v>-0.54800000000000004</v>
      </c>
      <c r="K119" s="70">
        <f t="shared" si="72"/>
        <v>0.78539816339744839</v>
      </c>
      <c r="L119" s="68"/>
      <c r="N119" s="261" t="s">
        <v>429</v>
      </c>
      <c r="O119" s="370">
        <v>5</v>
      </c>
    </row>
    <row r="120" spans="1:31" x14ac:dyDescent="0.2">
      <c r="A120" s="68">
        <v>120</v>
      </c>
      <c r="B120" s="68"/>
      <c r="C120" s="85">
        <f t="shared" si="69"/>
        <v>0.21600059637204713</v>
      </c>
      <c r="D120" s="68">
        <v>40</v>
      </c>
      <c r="E120" s="97">
        <v>-0.251</v>
      </c>
      <c r="F120" s="97">
        <v>12.05</v>
      </c>
      <c r="G120" s="97">
        <v>2</v>
      </c>
      <c r="H120" s="68"/>
      <c r="I120" s="69">
        <f t="shared" si="70"/>
        <v>40</v>
      </c>
      <c r="J120" s="155">
        <f t="shared" si="71"/>
        <v>-0.502</v>
      </c>
      <c r="K120" s="70">
        <f t="shared" si="72"/>
        <v>0.70104058288438897</v>
      </c>
      <c r="L120" s="68"/>
    </row>
    <row r="121" spans="1:31" x14ac:dyDescent="0.2">
      <c r="A121" s="68">
        <v>121</v>
      </c>
      <c r="B121" s="68"/>
      <c r="C121" s="85">
        <f t="shared" si="69"/>
        <v>0.21600059637204713</v>
      </c>
      <c r="D121" s="68">
        <v>60</v>
      </c>
      <c r="E121" s="97">
        <v>-0.246</v>
      </c>
      <c r="F121" s="97">
        <v>10.9</v>
      </c>
      <c r="G121" s="97">
        <v>2</v>
      </c>
      <c r="H121" s="68"/>
      <c r="I121" s="69">
        <f t="shared" si="70"/>
        <v>60</v>
      </c>
      <c r="J121" s="155">
        <f t="shared" si="71"/>
        <v>-0.49199999999999999</v>
      </c>
      <c r="K121" s="70">
        <f t="shared" si="72"/>
        <v>0.6341362948912731</v>
      </c>
      <c r="L121" s="68"/>
    </row>
    <row r="122" spans="1:31" x14ac:dyDescent="0.2">
      <c r="A122" s="68">
        <v>122</v>
      </c>
      <c r="B122" s="68"/>
      <c r="C122" s="85">
        <f t="shared" si="69"/>
        <v>0.21600059637204713</v>
      </c>
      <c r="D122" s="68">
        <v>100</v>
      </c>
      <c r="E122" s="97">
        <v>-0.23499999999999999</v>
      </c>
      <c r="F122" s="97">
        <v>9.0500000000000007</v>
      </c>
      <c r="G122" s="97">
        <v>2</v>
      </c>
      <c r="H122" s="68"/>
      <c r="I122" s="69">
        <f t="shared" si="70"/>
        <v>100</v>
      </c>
      <c r="J122" s="155">
        <f t="shared" si="71"/>
        <v>-0.47</v>
      </c>
      <c r="K122" s="70">
        <f t="shared" si="72"/>
        <v>0.52650765768495611</v>
      </c>
      <c r="L122" s="68"/>
    </row>
    <row r="123" spans="1:31" x14ac:dyDescent="0.2">
      <c r="A123" s="68">
        <v>123</v>
      </c>
      <c r="B123" s="68"/>
      <c r="C123" s="85">
        <f t="shared" si="69"/>
        <v>0.21600059637204713</v>
      </c>
      <c r="D123" s="68">
        <v>120</v>
      </c>
      <c r="E123" s="97">
        <v>-0.22950000000000001</v>
      </c>
      <c r="F123" s="97">
        <v>8.3000000000000007</v>
      </c>
      <c r="G123" s="97">
        <v>2</v>
      </c>
      <c r="H123" s="68"/>
      <c r="I123" s="69">
        <f t="shared" si="70"/>
        <v>120</v>
      </c>
      <c r="J123" s="155">
        <f t="shared" si="71"/>
        <v>-0.45900000000000002</v>
      </c>
      <c r="K123" s="70">
        <f t="shared" si="72"/>
        <v>0.48287442638509787</v>
      </c>
      <c r="L123" s="68"/>
    </row>
    <row r="124" spans="1:31" x14ac:dyDescent="0.2">
      <c r="A124" s="68">
        <v>124</v>
      </c>
      <c r="B124" s="68"/>
      <c r="C124" s="68"/>
      <c r="D124" s="68"/>
      <c r="E124" s="68"/>
      <c r="F124" s="68"/>
      <c r="G124" s="68"/>
      <c r="H124" s="68"/>
      <c r="I124" s="68"/>
      <c r="J124" s="23"/>
      <c r="K124" s="68"/>
      <c r="L124" s="68"/>
    </row>
    <row r="125" spans="1:31" x14ac:dyDescent="0.2">
      <c r="A125" s="68">
        <v>125</v>
      </c>
      <c r="B125" s="68"/>
      <c r="C125" s="85">
        <f>B5A0VA</f>
        <v>2.1000057980615688E-2</v>
      </c>
      <c r="D125" s="68">
        <v>5</v>
      </c>
      <c r="E125" s="97">
        <v>-0.23200000000000001</v>
      </c>
      <c r="F125" s="97">
        <v>13.6</v>
      </c>
      <c r="G125" s="97">
        <v>1</v>
      </c>
      <c r="H125" s="68"/>
      <c r="I125" s="69">
        <f t="shared" ref="I125:I131" si="73">0.1*D125/(5*0.02)</f>
        <v>5</v>
      </c>
      <c r="J125" s="155">
        <f t="shared" ref="J125:J131" si="74">E125*G125</f>
        <v>-0.23200000000000001</v>
      </c>
      <c r="K125" s="70">
        <f t="shared" ref="K125:K131" si="75">100*RADIANS(G125*F125/60)</f>
        <v>0.39560796378538138</v>
      </c>
      <c r="L125" s="68"/>
    </row>
    <row r="126" spans="1:31" x14ac:dyDescent="0.2">
      <c r="A126" s="68">
        <v>126</v>
      </c>
      <c r="B126" s="68"/>
      <c r="C126" s="85">
        <f t="shared" ref="C126:C131" si="76">B5A0VA</f>
        <v>2.1000057980615688E-2</v>
      </c>
      <c r="D126" s="68">
        <v>10</v>
      </c>
      <c r="E126" s="97">
        <v>-0.185</v>
      </c>
      <c r="F126" s="97">
        <v>10.199999999999999</v>
      </c>
      <c r="G126" s="97">
        <v>1</v>
      </c>
      <c r="H126" s="68"/>
      <c r="I126" s="69">
        <f t="shared" si="73"/>
        <v>10</v>
      </c>
      <c r="J126" s="155">
        <f t="shared" si="74"/>
        <v>-0.185</v>
      </c>
      <c r="K126" s="70">
        <f t="shared" si="75"/>
        <v>0.29670597283903599</v>
      </c>
      <c r="L126" s="68"/>
    </row>
    <row r="127" spans="1:31" x14ac:dyDescent="0.2">
      <c r="A127" s="68">
        <v>127</v>
      </c>
      <c r="B127" s="68"/>
      <c r="C127" s="85">
        <f t="shared" si="76"/>
        <v>2.1000057980615688E-2</v>
      </c>
      <c r="D127" s="68">
        <v>20</v>
      </c>
      <c r="E127" s="97">
        <v>-0.157</v>
      </c>
      <c r="F127" s="97">
        <v>8.3000000000000007</v>
      </c>
      <c r="G127" s="97">
        <v>1</v>
      </c>
      <c r="H127" s="68"/>
      <c r="I127" s="69">
        <f t="shared" si="73"/>
        <v>20</v>
      </c>
      <c r="J127" s="155">
        <f t="shared" si="74"/>
        <v>-0.157</v>
      </c>
      <c r="K127" s="70">
        <f t="shared" si="75"/>
        <v>0.24143721319254893</v>
      </c>
      <c r="L127" s="68"/>
    </row>
    <row r="128" spans="1:31" x14ac:dyDescent="0.2">
      <c r="A128" s="68">
        <v>128</v>
      </c>
      <c r="B128" s="68"/>
      <c r="C128" s="85">
        <f t="shared" si="76"/>
        <v>2.1000057980615688E-2</v>
      </c>
      <c r="D128" s="68">
        <v>40</v>
      </c>
      <c r="E128" s="97">
        <v>-0.13800000000000001</v>
      </c>
      <c r="F128" s="97">
        <v>7.05</v>
      </c>
      <c r="G128" s="97">
        <v>1</v>
      </c>
      <c r="H128" s="68"/>
      <c r="I128" s="69">
        <f t="shared" si="73"/>
        <v>40</v>
      </c>
      <c r="J128" s="155">
        <f t="shared" si="74"/>
        <v>-0.13800000000000001</v>
      </c>
      <c r="K128" s="70">
        <f t="shared" si="75"/>
        <v>0.2050761871093337</v>
      </c>
      <c r="L128" s="68"/>
    </row>
    <row r="129" spans="1:15" x14ac:dyDescent="0.2">
      <c r="A129" s="68">
        <v>129</v>
      </c>
      <c r="B129" s="68"/>
      <c r="C129" s="85">
        <f t="shared" si="76"/>
        <v>2.1000057980615688E-2</v>
      </c>
      <c r="D129" s="68">
        <v>60</v>
      </c>
      <c r="E129" s="97">
        <v>-0.13</v>
      </c>
      <c r="F129" s="97">
        <v>6.55</v>
      </c>
      <c r="G129" s="97">
        <v>1</v>
      </c>
      <c r="H129" s="68"/>
      <c r="I129" s="69">
        <f t="shared" si="73"/>
        <v>60</v>
      </c>
      <c r="J129" s="155">
        <f t="shared" si="74"/>
        <v>-0.13</v>
      </c>
      <c r="K129" s="70">
        <f t="shared" si="75"/>
        <v>0.19053177667604765</v>
      </c>
      <c r="L129" s="68"/>
    </row>
    <row r="130" spans="1:15" x14ac:dyDescent="0.2">
      <c r="A130" s="68">
        <v>130</v>
      </c>
      <c r="B130" s="68"/>
      <c r="C130" s="85">
        <f t="shared" si="76"/>
        <v>2.1000057980615688E-2</v>
      </c>
      <c r="D130" s="68">
        <v>100</v>
      </c>
      <c r="E130" s="97">
        <v>-0.121</v>
      </c>
      <c r="F130" s="97">
        <v>6</v>
      </c>
      <c r="G130" s="97">
        <v>1</v>
      </c>
      <c r="H130" s="68"/>
      <c r="I130" s="69">
        <f t="shared" si="73"/>
        <v>100</v>
      </c>
      <c r="J130" s="155">
        <f t="shared" si="74"/>
        <v>-0.121</v>
      </c>
      <c r="K130" s="70">
        <f t="shared" si="75"/>
        <v>0.17453292519943295</v>
      </c>
      <c r="L130" s="68"/>
    </row>
    <row r="131" spans="1:15" x14ac:dyDescent="0.2">
      <c r="A131" s="68">
        <v>131</v>
      </c>
      <c r="B131" s="68"/>
      <c r="C131" s="85">
        <f t="shared" si="76"/>
        <v>2.1000057980615688E-2</v>
      </c>
      <c r="D131" s="68">
        <v>120</v>
      </c>
      <c r="E131" s="97">
        <v>-0.1195</v>
      </c>
      <c r="F131" s="97">
        <v>5.9</v>
      </c>
      <c r="G131" s="97">
        <v>1</v>
      </c>
      <c r="H131" s="68"/>
      <c r="I131" s="69">
        <f t="shared" si="73"/>
        <v>120</v>
      </c>
      <c r="J131" s="155">
        <f t="shared" si="74"/>
        <v>-0.1195</v>
      </c>
      <c r="K131" s="70">
        <f t="shared" si="75"/>
        <v>0.17162404311277576</v>
      </c>
      <c r="L131" s="68"/>
    </row>
    <row r="132" spans="1:15" x14ac:dyDescent="0.2">
      <c r="A132" s="68">
        <v>132</v>
      </c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</row>
    <row r="133" spans="1:15" x14ac:dyDescent="0.2">
      <c r="A133" s="68">
        <v>133</v>
      </c>
      <c r="B133" s="96" t="str">
        <f>O133&amp;"/5 Range, "&amp;O134&amp;" turns @ "&amp;O137&amp;"VA burden, vs "&amp;O136&amp;" AT, "&amp;O135&amp;" range, 2 Stage CT"</f>
        <v>200/5 Range, 1 turns @ 6VA burden, vs 120 AT, 200 range, 2 Stage CT</v>
      </c>
      <c r="C133" s="68"/>
      <c r="D133" s="68"/>
      <c r="E133" s="68"/>
      <c r="F133" s="68"/>
      <c r="G133" s="68"/>
      <c r="H133" s="68"/>
      <c r="I133" s="98"/>
      <c r="N133" s="261" t="s">
        <v>364</v>
      </c>
      <c r="O133" s="97">
        <v>200</v>
      </c>
    </row>
    <row r="134" spans="1:15" x14ac:dyDescent="0.2">
      <c r="A134" s="68">
        <v>134</v>
      </c>
      <c r="B134" s="96" t="s">
        <v>491</v>
      </c>
      <c r="C134" s="98" t="s">
        <v>121</v>
      </c>
      <c r="D134" s="68"/>
      <c r="E134" s="68"/>
      <c r="F134" s="68"/>
      <c r="G134" s="68"/>
      <c r="H134" s="68"/>
      <c r="I134" s="68"/>
      <c r="N134" s="261" t="s">
        <v>365</v>
      </c>
      <c r="O134" s="97">
        <v>1</v>
      </c>
    </row>
    <row r="135" spans="1:15" x14ac:dyDescent="0.2">
      <c r="A135" s="68">
        <v>135</v>
      </c>
      <c r="B135" s="108">
        <v>42569</v>
      </c>
      <c r="C135" s="85">
        <f t="shared" ref="C135:C141" si="77">B5A5.0VA</f>
        <v>0.21600059637204713</v>
      </c>
      <c r="D135" s="68">
        <v>5</v>
      </c>
      <c r="E135" s="97">
        <v>-0.38800000000000001</v>
      </c>
      <c r="F135" s="97">
        <v>20.100000000000001</v>
      </c>
      <c r="G135" s="97">
        <v>2</v>
      </c>
      <c r="H135" s="68"/>
      <c r="I135" s="69">
        <f t="shared" ref="I135:I141" si="78">0.1*D135/(5*0.02)</f>
        <v>5</v>
      </c>
      <c r="J135" s="155">
        <f t="shared" ref="J135:J141" si="79">E135*G135</f>
        <v>-0.77600000000000002</v>
      </c>
      <c r="K135" s="70">
        <f t="shared" ref="K135:K141" si="80">100*RADIANS(G135*F135/60)</f>
        <v>1.1693705988362009</v>
      </c>
      <c r="N135" s="261" t="s">
        <v>366</v>
      </c>
      <c r="O135" s="97">
        <v>200</v>
      </c>
    </row>
    <row r="136" spans="1:15" x14ac:dyDescent="0.2">
      <c r="A136" s="68">
        <v>136</v>
      </c>
      <c r="B136" s="68"/>
      <c r="C136" s="85">
        <f t="shared" si="77"/>
        <v>0.21600059637204713</v>
      </c>
      <c r="D136" s="68">
        <v>10</v>
      </c>
      <c r="E136" s="97">
        <v>-0.34499999999999997</v>
      </c>
      <c r="F136" s="97">
        <v>17.25</v>
      </c>
      <c r="G136" s="97">
        <v>2</v>
      </c>
      <c r="H136" s="68"/>
      <c r="I136" s="69">
        <f t="shared" si="78"/>
        <v>10</v>
      </c>
      <c r="J136" s="155">
        <f t="shared" si="79"/>
        <v>-0.69</v>
      </c>
      <c r="K136" s="70">
        <f t="shared" si="80"/>
        <v>1.0035643198967394</v>
      </c>
      <c r="N136" s="261" t="s">
        <v>367</v>
      </c>
      <c r="O136" s="97">
        <v>120</v>
      </c>
    </row>
    <row r="137" spans="1:15" x14ac:dyDescent="0.2">
      <c r="A137" s="68">
        <v>137</v>
      </c>
      <c r="B137" s="68"/>
      <c r="C137" s="85">
        <f t="shared" si="77"/>
        <v>0.21600059637204713</v>
      </c>
      <c r="D137" s="68">
        <v>20</v>
      </c>
      <c r="E137" s="97">
        <v>-0.312</v>
      </c>
      <c r="F137" s="97">
        <v>15.3</v>
      </c>
      <c r="G137" s="97">
        <v>2</v>
      </c>
      <c r="H137" s="68"/>
      <c r="I137" s="69">
        <f t="shared" si="78"/>
        <v>20</v>
      </c>
      <c r="J137" s="155">
        <f t="shared" si="79"/>
        <v>-0.624</v>
      </c>
      <c r="K137" s="70">
        <f t="shared" si="80"/>
        <v>0.89011791851710798</v>
      </c>
      <c r="L137" s="68"/>
      <c r="N137" s="261" t="s">
        <v>429</v>
      </c>
      <c r="O137" s="370">
        <v>6</v>
      </c>
    </row>
    <row r="138" spans="1:15" x14ac:dyDescent="0.2">
      <c r="A138" s="68">
        <v>138</v>
      </c>
      <c r="B138" s="68"/>
      <c r="C138" s="85">
        <f t="shared" si="77"/>
        <v>0.21600059637204713</v>
      </c>
      <c r="D138" s="68">
        <v>40</v>
      </c>
      <c r="E138" s="97">
        <v>-0.28899999999999998</v>
      </c>
      <c r="F138" s="97">
        <v>13.5</v>
      </c>
      <c r="G138" s="97">
        <v>2</v>
      </c>
      <c r="H138" s="68"/>
      <c r="I138" s="69">
        <f t="shared" si="78"/>
        <v>40</v>
      </c>
      <c r="J138" s="155">
        <f t="shared" si="79"/>
        <v>-0.57799999999999996</v>
      </c>
      <c r="K138" s="70">
        <f t="shared" si="80"/>
        <v>0.78539816339744839</v>
      </c>
      <c r="L138" s="68"/>
    </row>
    <row r="139" spans="1:15" x14ac:dyDescent="0.2">
      <c r="A139" s="68">
        <v>139</v>
      </c>
      <c r="B139" s="68"/>
      <c r="C139" s="85">
        <f t="shared" si="77"/>
        <v>0.21600059637204713</v>
      </c>
      <c r="D139" s="68">
        <v>60</v>
      </c>
      <c r="E139" s="97">
        <v>-0.28100000000000003</v>
      </c>
      <c r="F139" s="97">
        <v>12.1</v>
      </c>
      <c r="G139" s="97">
        <v>2</v>
      </c>
      <c r="H139" s="68"/>
      <c r="I139" s="69">
        <f t="shared" si="78"/>
        <v>60</v>
      </c>
      <c r="J139" s="155">
        <f t="shared" si="79"/>
        <v>-0.56200000000000006</v>
      </c>
      <c r="K139" s="70">
        <f t="shared" si="80"/>
        <v>0.70394946497104616</v>
      </c>
      <c r="L139" s="68"/>
    </row>
    <row r="140" spans="1:15" x14ac:dyDescent="0.2">
      <c r="A140" s="68">
        <v>140</v>
      </c>
      <c r="B140" s="68"/>
      <c r="C140" s="85">
        <f t="shared" si="77"/>
        <v>0.21600059637204713</v>
      </c>
      <c r="D140" s="68">
        <v>100</v>
      </c>
      <c r="E140" s="97">
        <v>-0.26800000000000002</v>
      </c>
      <c r="F140" s="97">
        <v>9.6999999999999993</v>
      </c>
      <c r="G140" s="97">
        <v>2</v>
      </c>
      <c r="H140" s="68"/>
      <c r="I140" s="69">
        <f t="shared" si="78"/>
        <v>100</v>
      </c>
      <c r="J140" s="155">
        <f t="shared" si="79"/>
        <v>-0.53600000000000003</v>
      </c>
      <c r="K140" s="70">
        <f t="shared" si="80"/>
        <v>0.56432312481149982</v>
      </c>
      <c r="L140" s="68"/>
    </row>
    <row r="141" spans="1:15" x14ac:dyDescent="0.2">
      <c r="A141" s="68">
        <v>141</v>
      </c>
      <c r="B141" s="68"/>
      <c r="C141" s="85">
        <f t="shared" si="77"/>
        <v>0.21600059637204713</v>
      </c>
      <c r="D141" s="68">
        <v>120</v>
      </c>
      <c r="E141" s="97">
        <v>-0.26</v>
      </c>
      <c r="F141" s="97">
        <v>8.9</v>
      </c>
      <c r="G141" s="97">
        <v>2</v>
      </c>
      <c r="H141" s="68"/>
      <c r="I141" s="69">
        <f t="shared" si="78"/>
        <v>120</v>
      </c>
      <c r="J141" s="155">
        <f t="shared" si="79"/>
        <v>-0.52</v>
      </c>
      <c r="K141" s="70">
        <f t="shared" si="80"/>
        <v>0.51778101142498445</v>
      </c>
      <c r="L141" s="68"/>
    </row>
    <row r="142" spans="1:15" x14ac:dyDescent="0.2">
      <c r="A142" s="68">
        <v>142</v>
      </c>
      <c r="B142" s="68"/>
      <c r="C142" s="68"/>
      <c r="D142" s="68"/>
      <c r="E142" s="68"/>
      <c r="F142" s="68"/>
      <c r="G142" s="68"/>
      <c r="H142" s="68"/>
      <c r="I142" s="68"/>
      <c r="J142" s="23"/>
      <c r="K142" s="68"/>
      <c r="L142" s="68"/>
    </row>
    <row r="143" spans="1:15" x14ac:dyDescent="0.2">
      <c r="A143" s="68">
        <v>143</v>
      </c>
      <c r="B143" s="68"/>
      <c r="C143" s="85">
        <f>B5A0VA</f>
        <v>2.1000057980615688E-2</v>
      </c>
      <c r="D143" s="68">
        <v>5</v>
      </c>
      <c r="E143" s="499">
        <f>E$125</f>
        <v>-0.23200000000000001</v>
      </c>
      <c r="F143" s="499">
        <f>F$125</f>
        <v>13.6</v>
      </c>
      <c r="G143" s="499">
        <f>G$125</f>
        <v>1</v>
      </c>
      <c r="H143" s="68"/>
      <c r="I143" s="69">
        <f t="shared" ref="I143:I149" si="81">0.1*D143/(5*0.02)</f>
        <v>5</v>
      </c>
      <c r="J143" s="155">
        <f t="shared" ref="J143:J149" si="82">E143*G143</f>
        <v>-0.23200000000000001</v>
      </c>
      <c r="K143" s="70">
        <f t="shared" ref="K143:K149" si="83">100*RADIANS(G143*F143/60)</f>
        <v>0.39560796378538138</v>
      </c>
      <c r="L143" s="68"/>
    </row>
    <row r="144" spans="1:15" x14ac:dyDescent="0.2">
      <c r="A144" s="68">
        <v>144</v>
      </c>
      <c r="B144" s="68"/>
      <c r="C144" s="85">
        <f t="shared" ref="C144:C149" si="84">B5A0VA</f>
        <v>2.1000057980615688E-2</v>
      </c>
      <c r="D144" s="68">
        <v>10</v>
      </c>
      <c r="E144" s="499">
        <f>E$126</f>
        <v>-0.185</v>
      </c>
      <c r="F144" s="499">
        <f>F$126</f>
        <v>10.199999999999999</v>
      </c>
      <c r="G144" s="499">
        <f>G$126</f>
        <v>1</v>
      </c>
      <c r="H144" s="68"/>
      <c r="I144" s="69">
        <f t="shared" si="81"/>
        <v>10</v>
      </c>
      <c r="J144" s="155">
        <f t="shared" si="82"/>
        <v>-0.185</v>
      </c>
      <c r="K144" s="70">
        <f t="shared" si="83"/>
        <v>0.29670597283903599</v>
      </c>
      <c r="L144" s="68"/>
    </row>
    <row r="145" spans="1:15" x14ac:dyDescent="0.2">
      <c r="A145" s="68">
        <v>145</v>
      </c>
      <c r="B145" s="68"/>
      <c r="C145" s="85">
        <f t="shared" si="84"/>
        <v>2.1000057980615688E-2</v>
      </c>
      <c r="D145" s="68">
        <v>20</v>
      </c>
      <c r="E145" s="499">
        <f>E$127</f>
        <v>-0.157</v>
      </c>
      <c r="F145" s="499">
        <f>F$127</f>
        <v>8.3000000000000007</v>
      </c>
      <c r="G145" s="499">
        <f>G$127</f>
        <v>1</v>
      </c>
      <c r="H145" s="68"/>
      <c r="I145" s="69">
        <f t="shared" si="81"/>
        <v>20</v>
      </c>
      <c r="J145" s="155">
        <f t="shared" si="82"/>
        <v>-0.157</v>
      </c>
      <c r="K145" s="70">
        <f t="shared" si="83"/>
        <v>0.24143721319254893</v>
      </c>
      <c r="L145" s="68"/>
    </row>
    <row r="146" spans="1:15" x14ac:dyDescent="0.2">
      <c r="A146" s="68">
        <v>146</v>
      </c>
      <c r="B146" s="68"/>
      <c r="C146" s="85">
        <f t="shared" si="84"/>
        <v>2.1000057980615688E-2</v>
      </c>
      <c r="D146" s="68">
        <v>40</v>
      </c>
      <c r="E146" s="499">
        <f>E$128</f>
        <v>-0.13800000000000001</v>
      </c>
      <c r="F146" s="499">
        <f>F$128</f>
        <v>7.05</v>
      </c>
      <c r="G146" s="499">
        <f>G$128</f>
        <v>1</v>
      </c>
      <c r="H146" s="68"/>
      <c r="I146" s="69">
        <f t="shared" si="81"/>
        <v>40</v>
      </c>
      <c r="J146" s="155">
        <f t="shared" si="82"/>
        <v>-0.13800000000000001</v>
      </c>
      <c r="K146" s="70">
        <f t="shared" si="83"/>
        <v>0.2050761871093337</v>
      </c>
      <c r="L146" s="68"/>
    </row>
    <row r="147" spans="1:15" x14ac:dyDescent="0.2">
      <c r="A147" s="68">
        <v>147</v>
      </c>
      <c r="B147" s="68"/>
      <c r="C147" s="85">
        <f t="shared" si="84"/>
        <v>2.1000057980615688E-2</v>
      </c>
      <c r="D147" s="68">
        <v>60</v>
      </c>
      <c r="E147" s="499">
        <f>E$129</f>
        <v>-0.13</v>
      </c>
      <c r="F147" s="499">
        <f>F$129</f>
        <v>6.55</v>
      </c>
      <c r="G147" s="499">
        <f>G$129</f>
        <v>1</v>
      </c>
      <c r="H147" s="68"/>
      <c r="I147" s="69">
        <f t="shared" si="81"/>
        <v>60</v>
      </c>
      <c r="J147" s="155">
        <f t="shared" si="82"/>
        <v>-0.13</v>
      </c>
      <c r="K147" s="70">
        <f t="shared" si="83"/>
        <v>0.19053177667604765</v>
      </c>
      <c r="L147" s="68"/>
    </row>
    <row r="148" spans="1:15" x14ac:dyDescent="0.2">
      <c r="A148" s="68">
        <v>148</v>
      </c>
      <c r="B148" s="68"/>
      <c r="C148" s="85">
        <f t="shared" si="84"/>
        <v>2.1000057980615688E-2</v>
      </c>
      <c r="D148" s="68">
        <v>100</v>
      </c>
      <c r="E148" s="499">
        <f>E$130</f>
        <v>-0.121</v>
      </c>
      <c r="F148" s="499">
        <f>F$130</f>
        <v>6</v>
      </c>
      <c r="G148" s="499">
        <f>G$130</f>
        <v>1</v>
      </c>
      <c r="H148" s="68"/>
      <c r="I148" s="69">
        <f t="shared" si="81"/>
        <v>100</v>
      </c>
      <c r="J148" s="155">
        <f t="shared" si="82"/>
        <v>-0.121</v>
      </c>
      <c r="K148" s="70">
        <f t="shared" si="83"/>
        <v>0.17453292519943295</v>
      </c>
      <c r="L148" s="68"/>
    </row>
    <row r="149" spans="1:15" x14ac:dyDescent="0.2">
      <c r="A149" s="68">
        <v>149</v>
      </c>
      <c r="B149" s="68"/>
      <c r="C149" s="85">
        <f t="shared" si="84"/>
        <v>2.1000057980615688E-2</v>
      </c>
      <c r="D149" s="68">
        <v>120</v>
      </c>
      <c r="E149" s="499">
        <f>E$131</f>
        <v>-0.1195</v>
      </c>
      <c r="F149" s="499">
        <f>F$131</f>
        <v>5.9</v>
      </c>
      <c r="G149" s="499">
        <f>G$131</f>
        <v>1</v>
      </c>
      <c r="H149" s="68"/>
      <c r="I149" s="69">
        <f t="shared" si="81"/>
        <v>120</v>
      </c>
      <c r="J149" s="155">
        <f t="shared" si="82"/>
        <v>-0.1195</v>
      </c>
      <c r="K149" s="70">
        <f t="shared" si="83"/>
        <v>0.17162404311277576</v>
      </c>
      <c r="L149" s="68"/>
    </row>
    <row r="150" spans="1:15" x14ac:dyDescent="0.2">
      <c r="A150" s="68">
        <v>150</v>
      </c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</row>
    <row r="151" spans="1:15" x14ac:dyDescent="0.2">
      <c r="A151" s="68">
        <v>151</v>
      </c>
      <c r="B151" s="96" t="str">
        <f>O151&amp;"/5 Range, "&amp;O152&amp;" turns @ "&amp;O155&amp;"VA burden, vs "&amp;O154&amp;" AT, "&amp;O153&amp;" range, 2 Stage CT"</f>
        <v>200/5 Range, 1 turns @ 4VA burden, vs 120 AT, 200 range, 2 Stage CT</v>
      </c>
      <c r="C151" s="68"/>
      <c r="D151" s="68"/>
      <c r="E151" s="68"/>
      <c r="F151" s="68"/>
      <c r="G151" s="68"/>
      <c r="H151" s="68"/>
      <c r="I151" s="98"/>
      <c r="N151" s="261" t="s">
        <v>364</v>
      </c>
      <c r="O151" s="97">
        <v>200</v>
      </c>
    </row>
    <row r="152" spans="1:15" x14ac:dyDescent="0.2">
      <c r="A152" s="68">
        <v>152</v>
      </c>
      <c r="B152" s="96" t="s">
        <v>491</v>
      </c>
      <c r="C152" s="98" t="s">
        <v>121</v>
      </c>
      <c r="D152" s="68"/>
      <c r="E152" s="68"/>
      <c r="F152" s="68"/>
      <c r="G152" s="68"/>
      <c r="H152" s="68"/>
      <c r="I152" s="68"/>
      <c r="N152" s="261" t="s">
        <v>365</v>
      </c>
      <c r="O152" s="97">
        <v>1</v>
      </c>
    </row>
    <row r="153" spans="1:15" x14ac:dyDescent="0.2">
      <c r="A153" s="68">
        <v>153</v>
      </c>
      <c r="B153" s="108">
        <v>42569</v>
      </c>
      <c r="C153" s="85">
        <f t="shared" ref="C153:C159" si="85">B5A5.0VA</f>
        <v>0.21600059637204713</v>
      </c>
      <c r="D153" s="68">
        <v>5</v>
      </c>
      <c r="E153" s="97">
        <v>-0.3</v>
      </c>
      <c r="F153" s="97">
        <v>15.9</v>
      </c>
      <c r="G153" s="97">
        <v>2</v>
      </c>
      <c r="H153" s="68"/>
      <c r="I153" s="69">
        <f t="shared" ref="I153:I159" si="86">0.1*D153/(5*0.02)</f>
        <v>5</v>
      </c>
      <c r="J153" s="155">
        <f t="shared" ref="J153:J159" si="87">E153*G153</f>
        <v>-0.6</v>
      </c>
      <c r="K153" s="70">
        <f t="shared" ref="K153:K159" si="88">100*RADIANS(G153*F153/60)</f>
        <v>0.92502450355699473</v>
      </c>
      <c r="N153" s="261" t="s">
        <v>366</v>
      </c>
      <c r="O153" s="97">
        <v>200</v>
      </c>
    </row>
    <row r="154" spans="1:15" x14ac:dyDescent="0.2">
      <c r="A154" s="68">
        <v>154</v>
      </c>
      <c r="B154" s="68"/>
      <c r="C154" s="85">
        <f t="shared" si="85"/>
        <v>0.21600059637204713</v>
      </c>
      <c r="D154" s="68">
        <v>10</v>
      </c>
      <c r="E154" s="97">
        <v>-0.26100000000000001</v>
      </c>
      <c r="F154" s="97">
        <v>13.5</v>
      </c>
      <c r="G154" s="97">
        <v>2</v>
      </c>
      <c r="H154" s="68"/>
      <c r="I154" s="69">
        <f t="shared" si="86"/>
        <v>10</v>
      </c>
      <c r="J154" s="155">
        <f t="shared" si="87"/>
        <v>-0.52200000000000002</v>
      </c>
      <c r="K154" s="70">
        <f t="shared" si="88"/>
        <v>0.78539816339744839</v>
      </c>
      <c r="N154" s="261" t="s">
        <v>367</v>
      </c>
      <c r="O154" s="97">
        <v>120</v>
      </c>
    </row>
    <row r="155" spans="1:15" x14ac:dyDescent="0.2">
      <c r="A155" s="68">
        <v>155</v>
      </c>
      <c r="B155" s="68"/>
      <c r="C155" s="85">
        <f t="shared" si="85"/>
        <v>0.21600059637204713</v>
      </c>
      <c r="D155" s="68">
        <v>20</v>
      </c>
      <c r="E155" s="97">
        <v>-0.23699999999999999</v>
      </c>
      <c r="F155" s="97">
        <v>11.75</v>
      </c>
      <c r="G155" s="97">
        <v>2</v>
      </c>
      <c r="H155" s="68"/>
      <c r="I155" s="69">
        <f t="shared" si="86"/>
        <v>20</v>
      </c>
      <c r="J155" s="155">
        <f t="shared" si="87"/>
        <v>-0.47399999999999998</v>
      </c>
      <c r="K155" s="70">
        <f t="shared" si="88"/>
        <v>0.68358729036444577</v>
      </c>
      <c r="L155" s="68"/>
      <c r="N155" s="261" t="s">
        <v>429</v>
      </c>
      <c r="O155" s="370">
        <v>4</v>
      </c>
    </row>
    <row r="156" spans="1:15" x14ac:dyDescent="0.2">
      <c r="A156" s="68">
        <v>156</v>
      </c>
      <c r="B156" s="68"/>
      <c r="C156" s="85">
        <f t="shared" si="85"/>
        <v>0.21600059637204713</v>
      </c>
      <c r="D156" s="68">
        <v>40</v>
      </c>
      <c r="E156" s="97">
        <v>-0.217</v>
      </c>
      <c r="F156" s="97">
        <v>10.45</v>
      </c>
      <c r="G156" s="97">
        <v>2</v>
      </c>
      <c r="H156" s="68"/>
      <c r="I156" s="69">
        <f t="shared" si="86"/>
        <v>40</v>
      </c>
      <c r="J156" s="155">
        <f t="shared" si="87"/>
        <v>-0.434</v>
      </c>
      <c r="K156" s="70">
        <f t="shared" si="88"/>
        <v>0.60795635611135812</v>
      </c>
      <c r="L156" s="68"/>
    </row>
    <row r="157" spans="1:15" x14ac:dyDescent="0.2">
      <c r="A157" s="68">
        <v>157</v>
      </c>
      <c r="B157" s="68"/>
      <c r="C157" s="85">
        <f t="shared" si="85"/>
        <v>0.21600059637204713</v>
      </c>
      <c r="D157" s="68">
        <v>60</v>
      </c>
      <c r="E157" s="97">
        <v>-0.20899999999999999</v>
      </c>
      <c r="F157" s="97">
        <v>9.6</v>
      </c>
      <c r="G157" s="97">
        <v>2</v>
      </c>
      <c r="H157" s="68"/>
      <c r="I157" s="69">
        <f t="shared" si="86"/>
        <v>60</v>
      </c>
      <c r="J157" s="155">
        <f t="shared" si="87"/>
        <v>-0.41799999999999998</v>
      </c>
      <c r="K157" s="70">
        <f t="shared" si="88"/>
        <v>0.55850536063818546</v>
      </c>
      <c r="L157" s="68"/>
    </row>
    <row r="158" spans="1:15" x14ac:dyDescent="0.2">
      <c r="A158" s="68">
        <v>158</v>
      </c>
      <c r="B158" s="68"/>
      <c r="C158" s="85">
        <f t="shared" si="85"/>
        <v>0.21600059637204713</v>
      </c>
      <c r="D158" s="68">
        <v>100</v>
      </c>
      <c r="E158" s="97">
        <v>-0.20200000000000001</v>
      </c>
      <c r="F158" s="97">
        <v>8.1999999999999993</v>
      </c>
      <c r="G158" s="97">
        <v>2</v>
      </c>
      <c r="H158" s="68"/>
      <c r="I158" s="69">
        <f t="shared" si="86"/>
        <v>100</v>
      </c>
      <c r="J158" s="155">
        <f t="shared" si="87"/>
        <v>-0.40400000000000003</v>
      </c>
      <c r="K158" s="70">
        <f t="shared" si="88"/>
        <v>0.47705666221178344</v>
      </c>
      <c r="L158" s="68"/>
    </row>
    <row r="159" spans="1:15" x14ac:dyDescent="0.2">
      <c r="A159" s="68">
        <v>159</v>
      </c>
      <c r="B159" s="68"/>
      <c r="C159" s="85">
        <f t="shared" si="85"/>
        <v>0.21600059637204713</v>
      </c>
      <c r="D159" s="68">
        <v>120</v>
      </c>
      <c r="E159" s="97">
        <v>-0.19900000000000001</v>
      </c>
      <c r="F159" s="97">
        <v>7.6</v>
      </c>
      <c r="G159" s="97">
        <v>2</v>
      </c>
      <c r="H159" s="68"/>
      <c r="I159" s="69">
        <f t="shared" si="86"/>
        <v>120</v>
      </c>
      <c r="J159" s="155">
        <f t="shared" si="87"/>
        <v>-0.39800000000000002</v>
      </c>
      <c r="K159" s="70">
        <f t="shared" si="88"/>
        <v>0.44215007717189675</v>
      </c>
      <c r="L159" s="68"/>
    </row>
    <row r="160" spans="1:15" x14ac:dyDescent="0.2">
      <c r="A160" s="68">
        <v>160</v>
      </c>
      <c r="B160" s="68"/>
      <c r="C160" s="68"/>
      <c r="D160" s="68"/>
      <c r="E160" s="68"/>
      <c r="F160" s="68"/>
      <c r="G160" s="68"/>
      <c r="H160" s="68"/>
      <c r="I160" s="68"/>
      <c r="J160" s="23"/>
      <c r="K160" s="68"/>
      <c r="L160" s="68"/>
    </row>
    <row r="161" spans="1:15" x14ac:dyDescent="0.2">
      <c r="A161" s="68">
        <v>161</v>
      </c>
      <c r="B161" s="68"/>
      <c r="C161" s="85">
        <f>B5A0VA</f>
        <v>2.1000057980615688E-2</v>
      </c>
      <c r="D161" s="68">
        <v>5</v>
      </c>
      <c r="E161" s="499">
        <f>E$125</f>
        <v>-0.23200000000000001</v>
      </c>
      <c r="F161" s="499">
        <f>F$125</f>
        <v>13.6</v>
      </c>
      <c r="G161" s="499">
        <f>G$125</f>
        <v>1</v>
      </c>
      <c r="H161" s="68"/>
      <c r="I161" s="69">
        <f t="shared" ref="I161:I167" si="89">0.1*D161/(5*0.02)</f>
        <v>5</v>
      </c>
      <c r="J161" s="155">
        <f t="shared" ref="J161:J167" si="90">E161*G161</f>
        <v>-0.23200000000000001</v>
      </c>
      <c r="K161" s="70">
        <f t="shared" ref="K161:K167" si="91">100*RADIANS(G161*F161/60)</f>
        <v>0.39560796378538138</v>
      </c>
      <c r="L161" s="68"/>
    </row>
    <row r="162" spans="1:15" x14ac:dyDescent="0.2">
      <c r="A162" s="68">
        <v>162</v>
      </c>
      <c r="B162" s="68"/>
      <c r="C162" s="85">
        <f t="shared" ref="C162:C167" si="92">B5A0VA</f>
        <v>2.1000057980615688E-2</v>
      </c>
      <c r="D162" s="68">
        <v>10</v>
      </c>
      <c r="E162" s="499">
        <f>E$126</f>
        <v>-0.185</v>
      </c>
      <c r="F162" s="499">
        <f>F$126</f>
        <v>10.199999999999999</v>
      </c>
      <c r="G162" s="499">
        <f>G$126</f>
        <v>1</v>
      </c>
      <c r="H162" s="68"/>
      <c r="I162" s="69">
        <f t="shared" si="89"/>
        <v>10</v>
      </c>
      <c r="J162" s="155">
        <f t="shared" si="90"/>
        <v>-0.185</v>
      </c>
      <c r="K162" s="70">
        <f t="shared" si="91"/>
        <v>0.29670597283903599</v>
      </c>
      <c r="L162" s="68"/>
    </row>
    <row r="163" spans="1:15" x14ac:dyDescent="0.2">
      <c r="A163" s="68">
        <v>163</v>
      </c>
      <c r="B163" s="68"/>
      <c r="C163" s="85">
        <f t="shared" si="92"/>
        <v>2.1000057980615688E-2</v>
      </c>
      <c r="D163" s="68">
        <v>20</v>
      </c>
      <c r="E163" s="499">
        <f>E$127</f>
        <v>-0.157</v>
      </c>
      <c r="F163" s="499">
        <f>F$127</f>
        <v>8.3000000000000007</v>
      </c>
      <c r="G163" s="499">
        <f>G$127</f>
        <v>1</v>
      </c>
      <c r="H163" s="68"/>
      <c r="I163" s="69">
        <f t="shared" si="89"/>
        <v>20</v>
      </c>
      <c r="J163" s="155">
        <f t="shared" si="90"/>
        <v>-0.157</v>
      </c>
      <c r="K163" s="70">
        <f t="shared" si="91"/>
        <v>0.24143721319254893</v>
      </c>
      <c r="L163" s="68"/>
    </row>
    <row r="164" spans="1:15" x14ac:dyDescent="0.2">
      <c r="A164" s="68">
        <v>164</v>
      </c>
      <c r="B164" s="68"/>
      <c r="C164" s="85">
        <f t="shared" si="92"/>
        <v>2.1000057980615688E-2</v>
      </c>
      <c r="D164" s="68">
        <v>40</v>
      </c>
      <c r="E164" s="499">
        <f>E$128</f>
        <v>-0.13800000000000001</v>
      </c>
      <c r="F164" s="499">
        <f>F$128</f>
        <v>7.05</v>
      </c>
      <c r="G164" s="499">
        <f>G$128</f>
        <v>1</v>
      </c>
      <c r="H164" s="68"/>
      <c r="I164" s="69">
        <f t="shared" si="89"/>
        <v>40</v>
      </c>
      <c r="J164" s="155">
        <f t="shared" si="90"/>
        <v>-0.13800000000000001</v>
      </c>
      <c r="K164" s="70">
        <f t="shared" si="91"/>
        <v>0.2050761871093337</v>
      </c>
      <c r="L164" s="68"/>
    </row>
    <row r="165" spans="1:15" x14ac:dyDescent="0.2">
      <c r="A165" s="68">
        <v>165</v>
      </c>
      <c r="B165" s="68"/>
      <c r="C165" s="85">
        <f t="shared" si="92"/>
        <v>2.1000057980615688E-2</v>
      </c>
      <c r="D165" s="68">
        <v>60</v>
      </c>
      <c r="E165" s="499">
        <f>E$129</f>
        <v>-0.13</v>
      </c>
      <c r="F165" s="499">
        <f>F$129</f>
        <v>6.55</v>
      </c>
      <c r="G165" s="499">
        <f>G$129</f>
        <v>1</v>
      </c>
      <c r="H165" s="68"/>
      <c r="I165" s="69">
        <f t="shared" si="89"/>
        <v>60</v>
      </c>
      <c r="J165" s="155">
        <f t="shared" si="90"/>
        <v>-0.13</v>
      </c>
      <c r="K165" s="70">
        <f t="shared" si="91"/>
        <v>0.19053177667604765</v>
      </c>
      <c r="L165" s="68"/>
    </row>
    <row r="166" spans="1:15" x14ac:dyDescent="0.2">
      <c r="A166" s="68">
        <v>166</v>
      </c>
      <c r="B166" s="68"/>
      <c r="C166" s="85">
        <f t="shared" si="92"/>
        <v>2.1000057980615688E-2</v>
      </c>
      <c r="D166" s="68">
        <v>100</v>
      </c>
      <c r="E166" s="499">
        <f>E$130</f>
        <v>-0.121</v>
      </c>
      <c r="F166" s="499">
        <f>F$130</f>
        <v>6</v>
      </c>
      <c r="G166" s="499">
        <f>G$130</f>
        <v>1</v>
      </c>
      <c r="H166" s="68"/>
      <c r="I166" s="69">
        <f t="shared" si="89"/>
        <v>100</v>
      </c>
      <c r="J166" s="155">
        <f t="shared" si="90"/>
        <v>-0.121</v>
      </c>
      <c r="K166" s="70">
        <f t="shared" si="91"/>
        <v>0.17453292519943295</v>
      </c>
      <c r="L166" s="68"/>
    </row>
    <row r="167" spans="1:15" x14ac:dyDescent="0.2">
      <c r="A167" s="68">
        <v>167</v>
      </c>
      <c r="B167" s="68"/>
      <c r="C167" s="85">
        <f t="shared" si="92"/>
        <v>2.1000057980615688E-2</v>
      </c>
      <c r="D167" s="68">
        <v>120</v>
      </c>
      <c r="E167" s="499">
        <f>E$131</f>
        <v>-0.1195</v>
      </c>
      <c r="F167" s="499">
        <f>F$131</f>
        <v>5.9</v>
      </c>
      <c r="G167" s="499">
        <f>G$131</f>
        <v>1</v>
      </c>
      <c r="H167" s="68"/>
      <c r="I167" s="69">
        <f t="shared" si="89"/>
        <v>120</v>
      </c>
      <c r="J167" s="155">
        <f t="shared" si="90"/>
        <v>-0.1195</v>
      </c>
      <c r="K167" s="70">
        <f t="shared" si="91"/>
        <v>0.17162404311277576</v>
      </c>
      <c r="L167" s="68"/>
    </row>
    <row r="168" spans="1:15" x14ac:dyDescent="0.2">
      <c r="A168" s="68">
        <v>168</v>
      </c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</row>
    <row r="169" spans="1:15" x14ac:dyDescent="0.2">
      <c r="A169" s="68">
        <v>169</v>
      </c>
      <c r="B169" s="96" t="str">
        <f>O169&amp;"/5 Range, "&amp;O170&amp;" turns @ "&amp;O173&amp;"VA burden, vs "&amp;O172&amp;" AT, "&amp;O171&amp;" range, 2 Stage CT"</f>
        <v>200/5 Range, 1 turns @ 2VA burden, vs 120 AT, 200 range, 2 Stage CT</v>
      </c>
      <c r="C169" s="68"/>
      <c r="D169" s="68"/>
      <c r="E169" s="68"/>
      <c r="F169" s="68"/>
      <c r="G169" s="68"/>
      <c r="H169" s="68"/>
      <c r="I169" s="98"/>
      <c r="N169" s="261" t="s">
        <v>364</v>
      </c>
      <c r="O169" s="97">
        <v>200</v>
      </c>
    </row>
    <row r="170" spans="1:15" x14ac:dyDescent="0.2">
      <c r="A170" s="68">
        <v>170</v>
      </c>
      <c r="B170" s="96" t="s">
        <v>491</v>
      </c>
      <c r="C170" s="98" t="s">
        <v>121</v>
      </c>
      <c r="D170" s="68"/>
      <c r="E170" s="68"/>
      <c r="F170" s="68"/>
      <c r="G170" s="68"/>
      <c r="H170" s="68"/>
      <c r="I170" s="68"/>
      <c r="N170" s="261" t="s">
        <v>365</v>
      </c>
      <c r="O170" s="97">
        <v>1</v>
      </c>
    </row>
    <row r="171" spans="1:15" x14ac:dyDescent="0.2">
      <c r="A171" s="68">
        <v>171</v>
      </c>
      <c r="B171" s="108">
        <v>42569</v>
      </c>
      <c r="C171" s="85">
        <f t="shared" ref="C171:C177" si="93">B5A5.0VA</f>
        <v>0.21600059637204713</v>
      </c>
      <c r="D171" s="68">
        <v>5</v>
      </c>
      <c r="E171" s="97">
        <v>-0.42</v>
      </c>
      <c r="F171" s="97">
        <v>23.5</v>
      </c>
      <c r="G171" s="97">
        <v>1</v>
      </c>
      <c r="H171" s="68"/>
      <c r="I171" s="69">
        <f t="shared" ref="I171:I177" si="94">0.1*D171/(5*0.02)</f>
        <v>5</v>
      </c>
      <c r="J171" s="155">
        <f t="shared" ref="J171:J177" si="95">E171*G171</f>
        <v>-0.42</v>
      </c>
      <c r="K171" s="70">
        <f t="shared" ref="K171:K177" si="96">100*RADIANS(G171*F171/60)</f>
        <v>0.68358729036444577</v>
      </c>
      <c r="N171" s="261" t="s">
        <v>366</v>
      </c>
      <c r="O171" s="97">
        <v>200</v>
      </c>
    </row>
    <row r="172" spans="1:15" x14ac:dyDescent="0.2">
      <c r="A172" s="68">
        <v>172</v>
      </c>
      <c r="B172" s="68"/>
      <c r="C172" s="85">
        <f t="shared" si="93"/>
        <v>0.21600059637204713</v>
      </c>
      <c r="D172" s="68">
        <v>10</v>
      </c>
      <c r="E172" s="97">
        <v>-0.36</v>
      </c>
      <c r="F172" s="97">
        <v>18.8</v>
      </c>
      <c r="G172" s="97">
        <v>1</v>
      </c>
      <c r="H172" s="68"/>
      <c r="I172" s="69">
        <f t="shared" si="94"/>
        <v>10</v>
      </c>
      <c r="J172" s="155">
        <f t="shared" si="95"/>
        <v>-0.36</v>
      </c>
      <c r="K172" s="70">
        <f t="shared" si="96"/>
        <v>0.54686983229155661</v>
      </c>
      <c r="N172" s="261" t="s">
        <v>367</v>
      </c>
      <c r="O172" s="97">
        <v>120</v>
      </c>
    </row>
    <row r="173" spans="1:15" x14ac:dyDescent="0.2">
      <c r="A173" s="68">
        <v>173</v>
      </c>
      <c r="B173" s="68"/>
      <c r="C173" s="85">
        <f t="shared" si="93"/>
        <v>0.21600059637204713</v>
      </c>
      <c r="D173" s="68">
        <v>20</v>
      </c>
      <c r="E173" s="97">
        <v>-0.32</v>
      </c>
      <c r="F173" s="97">
        <v>16.2</v>
      </c>
      <c r="G173" s="97">
        <v>1</v>
      </c>
      <c r="H173" s="68"/>
      <c r="I173" s="69">
        <f t="shared" si="94"/>
        <v>20</v>
      </c>
      <c r="J173" s="155">
        <f t="shared" si="95"/>
        <v>-0.32</v>
      </c>
      <c r="K173" s="70">
        <f t="shared" si="96"/>
        <v>0.47123889803846891</v>
      </c>
      <c r="L173" s="68"/>
      <c r="N173" s="261" t="s">
        <v>429</v>
      </c>
      <c r="O173" s="370">
        <v>2</v>
      </c>
    </row>
    <row r="174" spans="1:15" x14ac:dyDescent="0.2">
      <c r="A174" s="68">
        <v>174</v>
      </c>
      <c r="B174" s="68"/>
      <c r="C174" s="85">
        <f t="shared" si="93"/>
        <v>0.21600059637204713</v>
      </c>
      <c r="D174" s="68">
        <v>40</v>
      </c>
      <c r="E174" s="97">
        <v>-0.29099999999999998</v>
      </c>
      <c r="F174" s="97">
        <v>14.3</v>
      </c>
      <c r="G174" s="97">
        <v>1</v>
      </c>
      <c r="H174" s="68"/>
      <c r="I174" s="69">
        <f t="shared" si="94"/>
        <v>40</v>
      </c>
      <c r="J174" s="155">
        <f t="shared" si="95"/>
        <v>-0.29099999999999998</v>
      </c>
      <c r="K174" s="70">
        <f t="shared" si="96"/>
        <v>0.41597013839198188</v>
      </c>
      <c r="L174" s="68"/>
    </row>
    <row r="175" spans="1:15" x14ac:dyDescent="0.2">
      <c r="A175" s="68">
        <v>175</v>
      </c>
      <c r="B175" s="68"/>
      <c r="C175" s="85">
        <f t="shared" si="93"/>
        <v>0.21600059637204713</v>
      </c>
      <c r="D175" s="68">
        <v>60</v>
      </c>
      <c r="E175" s="97">
        <v>-0.27600000000000002</v>
      </c>
      <c r="F175" s="97">
        <v>13.4</v>
      </c>
      <c r="G175" s="97">
        <v>1</v>
      </c>
      <c r="H175" s="68"/>
      <c r="I175" s="69">
        <f t="shared" si="94"/>
        <v>60</v>
      </c>
      <c r="J175" s="155">
        <f t="shared" si="95"/>
        <v>-0.27600000000000002</v>
      </c>
      <c r="K175" s="70">
        <f t="shared" si="96"/>
        <v>0.3897901996120669</v>
      </c>
      <c r="L175" s="68"/>
    </row>
    <row r="176" spans="1:15" x14ac:dyDescent="0.2">
      <c r="A176" s="68">
        <v>176</v>
      </c>
      <c r="B176" s="68"/>
      <c r="C176" s="85">
        <f t="shared" si="93"/>
        <v>0.21600059637204713</v>
      </c>
      <c r="D176" s="68">
        <v>100</v>
      </c>
      <c r="E176" s="97">
        <v>-0.26400000000000001</v>
      </c>
      <c r="F176" s="97">
        <v>12.1</v>
      </c>
      <c r="G176" s="97">
        <v>1</v>
      </c>
      <c r="H176" s="68"/>
      <c r="I176" s="69">
        <f t="shared" si="94"/>
        <v>100</v>
      </c>
      <c r="J176" s="155">
        <f t="shared" si="95"/>
        <v>-0.26400000000000001</v>
      </c>
      <c r="K176" s="70">
        <f t="shared" si="96"/>
        <v>0.35197473248552308</v>
      </c>
      <c r="L176" s="68"/>
    </row>
    <row r="177" spans="1:15" x14ac:dyDescent="0.2">
      <c r="A177" s="68">
        <v>177</v>
      </c>
      <c r="B177" s="68"/>
      <c r="C177" s="85">
        <f t="shared" si="93"/>
        <v>0.21600059637204713</v>
      </c>
      <c r="D177" s="68">
        <v>120</v>
      </c>
      <c r="E177" s="97">
        <v>-0.26100000000000001</v>
      </c>
      <c r="F177" s="97">
        <v>11.5</v>
      </c>
      <c r="G177" s="97">
        <v>1</v>
      </c>
      <c r="H177" s="68"/>
      <c r="I177" s="69">
        <f t="shared" si="94"/>
        <v>120</v>
      </c>
      <c r="J177" s="155">
        <f t="shared" si="95"/>
        <v>-0.26100000000000001</v>
      </c>
      <c r="K177" s="70">
        <f t="shared" si="96"/>
        <v>0.33452143996557987</v>
      </c>
      <c r="L177" s="68"/>
    </row>
    <row r="178" spans="1:15" x14ac:dyDescent="0.2">
      <c r="A178" s="68">
        <v>178</v>
      </c>
      <c r="B178" s="68"/>
      <c r="C178" s="68"/>
      <c r="D178" s="68"/>
      <c r="E178" s="68"/>
      <c r="F178" s="68"/>
      <c r="G178" s="68"/>
      <c r="H178" s="68"/>
      <c r="I178" s="68"/>
      <c r="J178" s="23"/>
      <c r="K178" s="68"/>
      <c r="L178" s="68"/>
    </row>
    <row r="179" spans="1:15" x14ac:dyDescent="0.2">
      <c r="A179" s="68">
        <v>179</v>
      </c>
      <c r="B179" s="68"/>
      <c r="C179" s="85">
        <f>B5A0VA</f>
        <v>2.1000057980615688E-2</v>
      </c>
      <c r="D179" s="68">
        <v>5</v>
      </c>
      <c r="E179" s="499">
        <f>E$125</f>
        <v>-0.23200000000000001</v>
      </c>
      <c r="F179" s="499">
        <f>F$125</f>
        <v>13.6</v>
      </c>
      <c r="G179" s="499">
        <f>G$125</f>
        <v>1</v>
      </c>
      <c r="H179" s="68"/>
      <c r="I179" s="69">
        <f t="shared" ref="I179:I185" si="97">0.1*D179/(5*0.02)</f>
        <v>5</v>
      </c>
      <c r="J179" s="155">
        <f t="shared" ref="J179:J185" si="98">E179*G179</f>
        <v>-0.23200000000000001</v>
      </c>
      <c r="K179" s="70">
        <f t="shared" ref="K179:K185" si="99">100*RADIANS(G179*F179/60)</f>
        <v>0.39560796378538138</v>
      </c>
      <c r="L179" s="68"/>
    </row>
    <row r="180" spans="1:15" x14ac:dyDescent="0.2">
      <c r="A180" s="68">
        <v>180</v>
      </c>
      <c r="B180" s="68"/>
      <c r="C180" s="85">
        <f t="shared" ref="C180:C185" si="100">B5A0VA</f>
        <v>2.1000057980615688E-2</v>
      </c>
      <c r="D180" s="68">
        <v>10</v>
      </c>
      <c r="E180" s="499">
        <f>E$126</f>
        <v>-0.185</v>
      </c>
      <c r="F180" s="499">
        <f>F$126</f>
        <v>10.199999999999999</v>
      </c>
      <c r="G180" s="499">
        <f>G$126</f>
        <v>1</v>
      </c>
      <c r="H180" s="68"/>
      <c r="I180" s="69">
        <f t="shared" si="97"/>
        <v>10</v>
      </c>
      <c r="J180" s="155">
        <f t="shared" si="98"/>
        <v>-0.185</v>
      </c>
      <c r="K180" s="70">
        <f t="shared" si="99"/>
        <v>0.29670597283903599</v>
      </c>
      <c r="L180" s="68"/>
    </row>
    <row r="181" spans="1:15" x14ac:dyDescent="0.2">
      <c r="A181" s="68">
        <v>181</v>
      </c>
      <c r="B181" s="68"/>
      <c r="C181" s="85">
        <f t="shared" si="100"/>
        <v>2.1000057980615688E-2</v>
      </c>
      <c r="D181" s="68">
        <v>20</v>
      </c>
      <c r="E181" s="499">
        <f>E$127</f>
        <v>-0.157</v>
      </c>
      <c r="F181" s="499">
        <f>F$127</f>
        <v>8.3000000000000007</v>
      </c>
      <c r="G181" s="499">
        <f>G$127</f>
        <v>1</v>
      </c>
      <c r="H181" s="68"/>
      <c r="I181" s="69">
        <f t="shared" si="97"/>
        <v>20</v>
      </c>
      <c r="J181" s="155">
        <f t="shared" si="98"/>
        <v>-0.157</v>
      </c>
      <c r="K181" s="70">
        <f t="shared" si="99"/>
        <v>0.24143721319254893</v>
      </c>
      <c r="L181" s="68"/>
    </row>
    <row r="182" spans="1:15" x14ac:dyDescent="0.2">
      <c r="A182" s="68">
        <v>182</v>
      </c>
      <c r="B182" s="68"/>
      <c r="C182" s="85">
        <f t="shared" si="100"/>
        <v>2.1000057980615688E-2</v>
      </c>
      <c r="D182" s="68">
        <v>40</v>
      </c>
      <c r="E182" s="499">
        <f>E$128</f>
        <v>-0.13800000000000001</v>
      </c>
      <c r="F182" s="499">
        <f>F$128</f>
        <v>7.05</v>
      </c>
      <c r="G182" s="499">
        <f>G$128</f>
        <v>1</v>
      </c>
      <c r="H182" s="68"/>
      <c r="I182" s="69">
        <f t="shared" si="97"/>
        <v>40</v>
      </c>
      <c r="J182" s="155">
        <f t="shared" si="98"/>
        <v>-0.13800000000000001</v>
      </c>
      <c r="K182" s="70">
        <f t="shared" si="99"/>
        <v>0.2050761871093337</v>
      </c>
      <c r="L182" s="68"/>
    </row>
    <row r="183" spans="1:15" x14ac:dyDescent="0.2">
      <c r="A183" s="68">
        <v>183</v>
      </c>
      <c r="B183" s="68"/>
      <c r="C183" s="85">
        <f t="shared" si="100"/>
        <v>2.1000057980615688E-2</v>
      </c>
      <c r="D183" s="68">
        <v>60</v>
      </c>
      <c r="E183" s="499">
        <f>E$129</f>
        <v>-0.13</v>
      </c>
      <c r="F183" s="499">
        <f>F$129</f>
        <v>6.55</v>
      </c>
      <c r="G183" s="499">
        <f>G$129</f>
        <v>1</v>
      </c>
      <c r="H183" s="68"/>
      <c r="I183" s="69">
        <f t="shared" si="97"/>
        <v>60</v>
      </c>
      <c r="J183" s="155">
        <f t="shared" si="98"/>
        <v>-0.13</v>
      </c>
      <c r="K183" s="70">
        <f t="shared" si="99"/>
        <v>0.19053177667604765</v>
      </c>
      <c r="L183" s="68"/>
    </row>
    <row r="184" spans="1:15" x14ac:dyDescent="0.2">
      <c r="A184" s="68">
        <v>184</v>
      </c>
      <c r="B184" s="68"/>
      <c r="C184" s="85">
        <f t="shared" si="100"/>
        <v>2.1000057980615688E-2</v>
      </c>
      <c r="D184" s="68">
        <v>100</v>
      </c>
      <c r="E184" s="499">
        <f>E$130</f>
        <v>-0.121</v>
      </c>
      <c r="F184" s="499">
        <f>F$130</f>
        <v>6</v>
      </c>
      <c r="G184" s="499">
        <f>G$130</f>
        <v>1</v>
      </c>
      <c r="H184" s="68"/>
      <c r="I184" s="69">
        <f t="shared" si="97"/>
        <v>100</v>
      </c>
      <c r="J184" s="155">
        <f t="shared" si="98"/>
        <v>-0.121</v>
      </c>
      <c r="K184" s="70">
        <f t="shared" si="99"/>
        <v>0.17453292519943295</v>
      </c>
      <c r="L184" s="68"/>
    </row>
    <row r="185" spans="1:15" x14ac:dyDescent="0.2">
      <c r="A185" s="68">
        <v>185</v>
      </c>
      <c r="B185" s="68"/>
      <c r="C185" s="85">
        <f t="shared" si="100"/>
        <v>2.1000057980615688E-2</v>
      </c>
      <c r="D185" s="68">
        <v>120</v>
      </c>
      <c r="E185" s="499">
        <f>E$131</f>
        <v>-0.1195</v>
      </c>
      <c r="F185" s="499">
        <f>F$131</f>
        <v>5.9</v>
      </c>
      <c r="G185" s="499">
        <f>G$131</f>
        <v>1</v>
      </c>
      <c r="H185" s="68"/>
      <c r="I185" s="69">
        <f t="shared" si="97"/>
        <v>120</v>
      </c>
      <c r="J185" s="155">
        <f t="shared" si="98"/>
        <v>-0.1195</v>
      </c>
      <c r="K185" s="70">
        <f t="shared" si="99"/>
        <v>0.17162404311277576</v>
      </c>
      <c r="L185" s="68"/>
    </row>
    <row r="186" spans="1:15" x14ac:dyDescent="0.2">
      <c r="A186" s="68">
        <v>186</v>
      </c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</row>
    <row r="187" spans="1:15" x14ac:dyDescent="0.2">
      <c r="A187" s="68">
        <v>187</v>
      </c>
      <c r="B187" s="96" t="str">
        <f>O187&amp;"/5 Range, "&amp;O188&amp;" turns @ "&amp;O191&amp;"VA burden, vs "&amp;O190&amp;" AT, "&amp;O189&amp;" range, 2 Stage CT"</f>
        <v>200/5 Range, 1 turns @ 1VA burden, vs 120 AT, 200 range, 2 Stage CT</v>
      </c>
      <c r="C187" s="68"/>
      <c r="D187" s="68"/>
      <c r="E187" s="68"/>
      <c r="F187" s="68"/>
      <c r="G187" s="68"/>
      <c r="H187" s="68"/>
      <c r="I187" s="98"/>
      <c r="N187" s="261" t="s">
        <v>364</v>
      </c>
      <c r="O187" s="97">
        <v>200</v>
      </c>
    </row>
    <row r="188" spans="1:15" x14ac:dyDescent="0.2">
      <c r="A188" s="68">
        <v>188</v>
      </c>
      <c r="B188" s="96" t="s">
        <v>491</v>
      </c>
      <c r="C188" s="98" t="s">
        <v>121</v>
      </c>
      <c r="D188" s="68"/>
      <c r="E188" s="68"/>
      <c r="F188" s="68"/>
      <c r="G188" s="68"/>
      <c r="H188" s="68"/>
      <c r="I188" s="68"/>
      <c r="N188" s="261" t="s">
        <v>365</v>
      </c>
      <c r="O188" s="97">
        <v>1</v>
      </c>
    </row>
    <row r="189" spans="1:15" x14ac:dyDescent="0.2">
      <c r="A189" s="68">
        <v>189</v>
      </c>
      <c r="B189" s="108">
        <v>42569</v>
      </c>
      <c r="C189" s="85">
        <f t="shared" ref="C189:C195" si="101">B5A5.0VA</f>
        <v>0.21600059637204713</v>
      </c>
      <c r="D189" s="68">
        <v>5</v>
      </c>
      <c r="E189" s="97">
        <v>-0.32600000000000001</v>
      </c>
      <c r="F189" s="97">
        <v>18.399999999999999</v>
      </c>
      <c r="G189" s="97">
        <v>1</v>
      </c>
      <c r="H189" s="68"/>
      <c r="I189" s="69">
        <f t="shared" ref="I189:I195" si="102">0.1*D189/(5*0.02)</f>
        <v>5</v>
      </c>
      <c r="J189" s="155">
        <f t="shared" ref="J189:J195" si="103">E189*G189</f>
        <v>-0.32600000000000001</v>
      </c>
      <c r="K189" s="70">
        <f t="shared" ref="K189:K195" si="104">100*RADIANS(G189*F189/60)</f>
        <v>0.53523430394492766</v>
      </c>
      <c r="N189" s="261" t="s">
        <v>366</v>
      </c>
      <c r="O189" s="97">
        <v>200</v>
      </c>
    </row>
    <row r="190" spans="1:15" x14ac:dyDescent="0.2">
      <c r="A190" s="68">
        <v>190</v>
      </c>
      <c r="B190" s="68"/>
      <c r="C190" s="85">
        <f t="shared" si="101"/>
        <v>0.21600059637204713</v>
      </c>
      <c r="D190" s="68">
        <v>10</v>
      </c>
      <c r="E190" s="97">
        <v>-0.27300000000000002</v>
      </c>
      <c r="F190" s="97">
        <v>14.6</v>
      </c>
      <c r="G190" s="97">
        <v>1</v>
      </c>
      <c r="H190" s="68"/>
      <c r="I190" s="69">
        <f t="shared" si="102"/>
        <v>10</v>
      </c>
      <c r="J190" s="155">
        <f t="shared" si="103"/>
        <v>-0.27300000000000002</v>
      </c>
      <c r="K190" s="70">
        <f t="shared" si="104"/>
        <v>0.42469678465195349</v>
      </c>
      <c r="N190" s="261" t="s">
        <v>367</v>
      </c>
      <c r="O190" s="97">
        <v>120</v>
      </c>
    </row>
    <row r="191" spans="1:15" x14ac:dyDescent="0.2">
      <c r="A191" s="68">
        <v>191</v>
      </c>
      <c r="B191" s="68"/>
      <c r="C191" s="85">
        <f t="shared" si="101"/>
        <v>0.21600059637204713</v>
      </c>
      <c r="D191" s="68">
        <v>20</v>
      </c>
      <c r="E191" s="97">
        <v>-0.24</v>
      </c>
      <c r="F191" s="97">
        <v>12.4</v>
      </c>
      <c r="G191" s="97">
        <v>1</v>
      </c>
      <c r="H191" s="68"/>
      <c r="I191" s="69">
        <f t="shared" si="102"/>
        <v>20</v>
      </c>
      <c r="J191" s="155">
        <f t="shared" si="103"/>
        <v>-0.24</v>
      </c>
      <c r="K191" s="70">
        <f t="shared" si="104"/>
        <v>0.36070137874549479</v>
      </c>
      <c r="L191" s="68"/>
      <c r="N191" s="261" t="s">
        <v>429</v>
      </c>
      <c r="O191" s="370">
        <v>1</v>
      </c>
    </row>
    <row r="192" spans="1:15" x14ac:dyDescent="0.2">
      <c r="A192" s="68">
        <v>192</v>
      </c>
      <c r="B192" s="68"/>
      <c r="C192" s="85">
        <f t="shared" si="101"/>
        <v>0.21600059637204713</v>
      </c>
      <c r="D192" s="68">
        <v>40</v>
      </c>
      <c r="E192" s="97">
        <v>-0.217</v>
      </c>
      <c r="F192" s="97">
        <v>10.7</v>
      </c>
      <c r="G192" s="97">
        <v>1</v>
      </c>
      <c r="H192" s="68"/>
      <c r="I192" s="69">
        <f t="shared" si="102"/>
        <v>40</v>
      </c>
      <c r="J192" s="155">
        <f t="shared" si="103"/>
        <v>-0.217</v>
      </c>
      <c r="K192" s="70">
        <f t="shared" si="104"/>
        <v>0.31125038327232207</v>
      </c>
      <c r="L192" s="68"/>
    </row>
    <row r="193" spans="1:15" x14ac:dyDescent="0.2">
      <c r="A193" s="68">
        <v>193</v>
      </c>
      <c r="B193" s="68"/>
      <c r="C193" s="85">
        <f t="shared" si="101"/>
        <v>0.21600059637204713</v>
      </c>
      <c r="D193" s="68">
        <v>60</v>
      </c>
      <c r="E193" s="97">
        <v>-0.20399999999999999</v>
      </c>
      <c r="F193" s="97">
        <v>10</v>
      </c>
      <c r="G193" s="97">
        <v>1</v>
      </c>
      <c r="H193" s="68"/>
      <c r="I193" s="69">
        <f t="shared" si="102"/>
        <v>60</v>
      </c>
      <c r="J193" s="155">
        <f t="shared" si="103"/>
        <v>-0.20399999999999999</v>
      </c>
      <c r="K193" s="70">
        <f t="shared" si="104"/>
        <v>0.29088820866572157</v>
      </c>
      <c r="L193" s="68"/>
    </row>
    <row r="194" spans="1:15" x14ac:dyDescent="0.2">
      <c r="A194" s="68">
        <v>194</v>
      </c>
      <c r="B194" s="68"/>
      <c r="C194" s="85">
        <f t="shared" si="101"/>
        <v>0.21600059637204713</v>
      </c>
      <c r="D194" s="68">
        <v>100</v>
      </c>
      <c r="E194" s="97">
        <v>-0.191</v>
      </c>
      <c r="F194" s="97">
        <v>9.1</v>
      </c>
      <c r="G194" s="97">
        <v>1</v>
      </c>
      <c r="H194" s="68"/>
      <c r="I194" s="69">
        <f t="shared" si="102"/>
        <v>100</v>
      </c>
      <c r="J194" s="155">
        <f t="shared" si="103"/>
        <v>-0.191</v>
      </c>
      <c r="K194" s="70">
        <f t="shared" si="104"/>
        <v>0.26470826988580665</v>
      </c>
      <c r="L194" s="68"/>
    </row>
    <row r="195" spans="1:15" x14ac:dyDescent="0.2">
      <c r="A195" s="68">
        <v>195</v>
      </c>
      <c r="B195" s="68"/>
      <c r="C195" s="85">
        <f t="shared" si="101"/>
        <v>0.21600059637204713</v>
      </c>
      <c r="D195" s="68">
        <v>120</v>
      </c>
      <c r="E195" s="97">
        <v>-0.1895</v>
      </c>
      <c r="F195" s="97">
        <v>8.9</v>
      </c>
      <c r="G195" s="97">
        <v>1</v>
      </c>
      <c r="H195" s="68"/>
      <c r="I195" s="69">
        <f t="shared" si="102"/>
        <v>120</v>
      </c>
      <c r="J195" s="155">
        <f t="shared" si="103"/>
        <v>-0.1895</v>
      </c>
      <c r="K195" s="70">
        <f t="shared" si="104"/>
        <v>0.25889050571249222</v>
      </c>
      <c r="L195" s="68"/>
    </row>
    <row r="196" spans="1:15" x14ac:dyDescent="0.2">
      <c r="A196" s="68">
        <v>196</v>
      </c>
      <c r="B196" s="68"/>
      <c r="C196" s="68"/>
      <c r="D196" s="68"/>
      <c r="E196" s="68"/>
      <c r="F196" s="68"/>
      <c r="G196" s="125"/>
      <c r="H196" s="68"/>
      <c r="I196" s="68"/>
      <c r="J196" s="23"/>
      <c r="K196" s="68"/>
      <c r="L196" s="68"/>
    </row>
    <row r="197" spans="1:15" x14ac:dyDescent="0.2">
      <c r="A197" s="68">
        <v>197</v>
      </c>
      <c r="B197" s="68"/>
      <c r="C197" s="85">
        <f>B5A0VA</f>
        <v>2.1000057980615688E-2</v>
      </c>
      <c r="D197" s="68">
        <v>5</v>
      </c>
      <c r="E197" s="499">
        <f>E$125</f>
        <v>-0.23200000000000001</v>
      </c>
      <c r="F197" s="499">
        <f>F$125</f>
        <v>13.6</v>
      </c>
      <c r="G197" s="499">
        <f>G$125</f>
        <v>1</v>
      </c>
      <c r="H197" s="68"/>
      <c r="I197" s="69">
        <f t="shared" ref="I197:I203" si="105">0.1*D197/(5*0.02)</f>
        <v>5</v>
      </c>
      <c r="J197" s="155">
        <f t="shared" ref="J197:J203" si="106">E197*G197</f>
        <v>-0.23200000000000001</v>
      </c>
      <c r="K197" s="70">
        <f t="shared" ref="K197:K203" si="107">100*RADIANS(G197*F197/60)</f>
        <v>0.39560796378538138</v>
      </c>
      <c r="L197" s="68"/>
    </row>
    <row r="198" spans="1:15" x14ac:dyDescent="0.2">
      <c r="A198" s="68">
        <v>198</v>
      </c>
      <c r="B198" s="68"/>
      <c r="C198" s="85">
        <f t="shared" ref="C198:C203" si="108">B5A0VA</f>
        <v>2.1000057980615688E-2</v>
      </c>
      <c r="D198" s="68">
        <v>10</v>
      </c>
      <c r="E198" s="499">
        <f>E$126</f>
        <v>-0.185</v>
      </c>
      <c r="F198" s="499">
        <f>F$126</f>
        <v>10.199999999999999</v>
      </c>
      <c r="G198" s="499">
        <f>G$126</f>
        <v>1</v>
      </c>
      <c r="H198" s="68"/>
      <c r="I198" s="69">
        <f t="shared" si="105"/>
        <v>10</v>
      </c>
      <c r="J198" s="155">
        <f t="shared" si="106"/>
        <v>-0.185</v>
      </c>
      <c r="K198" s="70">
        <f t="shared" si="107"/>
        <v>0.29670597283903599</v>
      </c>
      <c r="L198" s="68"/>
    </row>
    <row r="199" spans="1:15" x14ac:dyDescent="0.2">
      <c r="A199" s="68">
        <v>199</v>
      </c>
      <c r="B199" s="68"/>
      <c r="C199" s="85">
        <f t="shared" si="108"/>
        <v>2.1000057980615688E-2</v>
      </c>
      <c r="D199" s="68">
        <v>20</v>
      </c>
      <c r="E199" s="499">
        <f>E$127</f>
        <v>-0.157</v>
      </c>
      <c r="F199" s="499">
        <f>F$127</f>
        <v>8.3000000000000007</v>
      </c>
      <c r="G199" s="499">
        <f>G$127</f>
        <v>1</v>
      </c>
      <c r="H199" s="68"/>
      <c r="I199" s="69">
        <f t="shared" si="105"/>
        <v>20</v>
      </c>
      <c r="J199" s="155">
        <f t="shared" si="106"/>
        <v>-0.157</v>
      </c>
      <c r="K199" s="70">
        <f t="shared" si="107"/>
        <v>0.24143721319254893</v>
      </c>
      <c r="L199" s="68"/>
    </row>
    <row r="200" spans="1:15" x14ac:dyDescent="0.2">
      <c r="A200" s="68">
        <v>200</v>
      </c>
      <c r="B200" s="68"/>
      <c r="C200" s="85">
        <f t="shared" si="108"/>
        <v>2.1000057980615688E-2</v>
      </c>
      <c r="D200" s="68">
        <v>40</v>
      </c>
      <c r="E200" s="499">
        <f>E$128</f>
        <v>-0.13800000000000001</v>
      </c>
      <c r="F200" s="499">
        <f>F$128</f>
        <v>7.05</v>
      </c>
      <c r="G200" s="499">
        <f>G$128</f>
        <v>1</v>
      </c>
      <c r="H200" s="68"/>
      <c r="I200" s="69">
        <f t="shared" si="105"/>
        <v>40</v>
      </c>
      <c r="J200" s="155">
        <f t="shared" si="106"/>
        <v>-0.13800000000000001</v>
      </c>
      <c r="K200" s="70">
        <f t="shared" si="107"/>
        <v>0.2050761871093337</v>
      </c>
      <c r="L200" s="68"/>
    </row>
    <row r="201" spans="1:15" x14ac:dyDescent="0.2">
      <c r="A201" s="68">
        <v>201</v>
      </c>
      <c r="B201" s="68"/>
      <c r="C201" s="85">
        <f t="shared" si="108"/>
        <v>2.1000057980615688E-2</v>
      </c>
      <c r="D201" s="68">
        <v>60</v>
      </c>
      <c r="E201" s="499">
        <f>E$129</f>
        <v>-0.13</v>
      </c>
      <c r="F201" s="499">
        <f>F$129</f>
        <v>6.55</v>
      </c>
      <c r="G201" s="499">
        <f>G$129</f>
        <v>1</v>
      </c>
      <c r="H201" s="68"/>
      <c r="I201" s="69">
        <f t="shared" si="105"/>
        <v>60</v>
      </c>
      <c r="J201" s="155">
        <f t="shared" si="106"/>
        <v>-0.13</v>
      </c>
      <c r="K201" s="70">
        <f t="shared" si="107"/>
        <v>0.19053177667604765</v>
      </c>
      <c r="L201" s="68"/>
    </row>
    <row r="202" spans="1:15" x14ac:dyDescent="0.2">
      <c r="A202" s="68">
        <v>202</v>
      </c>
      <c r="B202" s="68"/>
      <c r="C202" s="85">
        <f t="shared" si="108"/>
        <v>2.1000057980615688E-2</v>
      </c>
      <c r="D202" s="68">
        <v>100</v>
      </c>
      <c r="E202" s="499">
        <f>E$130</f>
        <v>-0.121</v>
      </c>
      <c r="F202" s="499">
        <f>F$130</f>
        <v>6</v>
      </c>
      <c r="G202" s="499">
        <f>G$130</f>
        <v>1</v>
      </c>
      <c r="H202" s="68"/>
      <c r="I202" s="69">
        <f t="shared" si="105"/>
        <v>100</v>
      </c>
      <c r="J202" s="155">
        <f t="shared" si="106"/>
        <v>-0.121</v>
      </c>
      <c r="K202" s="70">
        <f t="shared" si="107"/>
        <v>0.17453292519943295</v>
      </c>
      <c r="L202" s="68"/>
    </row>
    <row r="203" spans="1:15" x14ac:dyDescent="0.2">
      <c r="A203" s="68">
        <v>203</v>
      </c>
      <c r="B203" s="68"/>
      <c r="C203" s="85">
        <f t="shared" si="108"/>
        <v>2.1000057980615688E-2</v>
      </c>
      <c r="D203" s="68">
        <v>120</v>
      </c>
      <c r="E203" s="499">
        <f>E$131</f>
        <v>-0.1195</v>
      </c>
      <c r="F203" s="499">
        <f>F$131</f>
        <v>5.9</v>
      </c>
      <c r="G203" s="499">
        <f>G$131</f>
        <v>1</v>
      </c>
      <c r="H203" s="68"/>
      <c r="I203" s="69">
        <f t="shared" si="105"/>
        <v>120</v>
      </c>
      <c r="J203" s="155">
        <f t="shared" si="106"/>
        <v>-0.1195</v>
      </c>
      <c r="K203" s="70">
        <f t="shared" si="107"/>
        <v>0.17162404311277576</v>
      </c>
      <c r="L203" s="68"/>
    </row>
    <row r="204" spans="1:15" x14ac:dyDescent="0.2">
      <c r="A204" s="68">
        <v>204</v>
      </c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</row>
    <row r="205" spans="1:15" x14ac:dyDescent="0.2">
      <c r="A205" s="68">
        <v>205</v>
      </c>
      <c r="B205" s="96" t="str">
        <f>O205&amp;"/5 Range, "&amp;O206&amp;" turns @ "&amp;O209&amp;"VA burden, vs "&amp;O208&amp;" AT, "&amp;O207&amp;" range, 2 Stage CT"</f>
        <v>200/5 Range, 1 turns @ 5VA burden, vs 120 AT, 200 range, 2 Stage CT</v>
      </c>
      <c r="C205" s="68"/>
      <c r="D205" s="68"/>
      <c r="E205" s="68"/>
      <c r="F205" s="68"/>
      <c r="G205" s="68"/>
      <c r="H205" s="68"/>
      <c r="I205" s="98"/>
      <c r="N205" s="261" t="s">
        <v>364</v>
      </c>
      <c r="O205" s="97">
        <v>200</v>
      </c>
    </row>
    <row r="206" spans="1:15" x14ac:dyDescent="0.2">
      <c r="A206" s="68">
        <v>206</v>
      </c>
      <c r="B206" s="96" t="s">
        <v>491</v>
      </c>
      <c r="C206" s="98" t="s">
        <v>121</v>
      </c>
      <c r="D206" s="68"/>
      <c r="E206" s="68"/>
      <c r="F206" s="68"/>
      <c r="G206" s="68"/>
      <c r="H206" s="68"/>
      <c r="I206" s="68"/>
      <c r="N206" s="261" t="s">
        <v>365</v>
      </c>
      <c r="O206" s="97">
        <v>1</v>
      </c>
    </row>
    <row r="207" spans="1:15" x14ac:dyDescent="0.2">
      <c r="A207" s="68">
        <v>207</v>
      </c>
      <c r="B207" s="108">
        <v>42572</v>
      </c>
      <c r="C207" s="85">
        <f t="shared" ref="C207:C213" si="109">B5A5.0VA</f>
        <v>0.21600059637204713</v>
      </c>
      <c r="D207" s="68">
        <v>5</v>
      </c>
      <c r="E207" s="97">
        <v>-0.499</v>
      </c>
      <c r="F207" s="97">
        <v>6.9</v>
      </c>
      <c r="G207" s="97">
        <v>2</v>
      </c>
      <c r="H207" s="68"/>
      <c r="I207" s="69">
        <f t="shared" ref="I207:I213" si="110">0.1*D207/(5*0.02)</f>
        <v>5</v>
      </c>
      <c r="J207" s="70">
        <f t="shared" ref="J207:J213" si="111">E207*G207</f>
        <v>-0.998</v>
      </c>
      <c r="K207" s="70">
        <f t="shared" ref="K207:K213" si="112">100*RADIANS(G207*F207/60)</f>
        <v>0.4014257279586958</v>
      </c>
      <c r="N207" s="261" t="s">
        <v>366</v>
      </c>
      <c r="O207" s="97">
        <v>200</v>
      </c>
    </row>
    <row r="208" spans="1:15" x14ac:dyDescent="0.2">
      <c r="A208" s="68">
        <v>208</v>
      </c>
      <c r="B208" s="68"/>
      <c r="C208" s="85">
        <f t="shared" si="109"/>
        <v>0.21600059637204713</v>
      </c>
      <c r="D208" s="68">
        <v>10</v>
      </c>
      <c r="E208" s="97">
        <v>-0.442</v>
      </c>
      <c r="F208" s="97">
        <v>5.9</v>
      </c>
      <c r="G208" s="97">
        <v>2</v>
      </c>
      <c r="H208" s="68"/>
      <c r="I208" s="69">
        <f t="shared" si="110"/>
        <v>10</v>
      </c>
      <c r="J208" s="70">
        <f t="shared" si="111"/>
        <v>-0.88400000000000001</v>
      </c>
      <c r="K208" s="70">
        <f t="shared" si="112"/>
        <v>0.34324808622555153</v>
      </c>
      <c r="N208" s="261" t="s">
        <v>367</v>
      </c>
      <c r="O208" s="97">
        <v>120</v>
      </c>
    </row>
    <row r="209" spans="1:27" x14ac:dyDescent="0.2">
      <c r="A209" s="68">
        <v>209</v>
      </c>
      <c r="B209" s="98" t="s">
        <v>496</v>
      </c>
      <c r="C209" s="85">
        <f t="shared" si="109"/>
        <v>0.21600059637204713</v>
      </c>
      <c r="D209" s="68">
        <v>20</v>
      </c>
      <c r="E209" s="97">
        <v>-0.39300000000000002</v>
      </c>
      <c r="F209" s="97">
        <v>4.8</v>
      </c>
      <c r="G209" s="97">
        <v>2</v>
      </c>
      <c r="H209" s="68"/>
      <c r="I209" s="69">
        <f t="shared" si="110"/>
        <v>20</v>
      </c>
      <c r="J209" s="70">
        <f t="shared" si="111"/>
        <v>-0.78600000000000003</v>
      </c>
      <c r="K209" s="70">
        <f t="shared" si="112"/>
        <v>0.27925268031909273</v>
      </c>
      <c r="L209" s="68"/>
      <c r="N209" s="261" t="s">
        <v>429</v>
      </c>
      <c r="O209" s="370">
        <v>5</v>
      </c>
      <c r="P209" t="s">
        <v>483</v>
      </c>
    </row>
    <row r="210" spans="1:27" x14ac:dyDescent="0.2">
      <c r="A210" s="68">
        <v>210</v>
      </c>
      <c r="B210" s="68"/>
      <c r="C210" s="85">
        <f t="shared" si="109"/>
        <v>0.21600059637204713</v>
      </c>
      <c r="D210" s="68">
        <v>40</v>
      </c>
      <c r="E210" s="97">
        <v>-0.35499999999999998</v>
      </c>
      <c r="F210" s="97">
        <v>4.05</v>
      </c>
      <c r="G210" s="97">
        <v>2</v>
      </c>
      <c r="H210" s="68"/>
      <c r="I210" s="69">
        <f t="shared" si="110"/>
        <v>40</v>
      </c>
      <c r="J210" s="70">
        <f t="shared" si="111"/>
        <v>-0.71</v>
      </c>
      <c r="K210" s="70">
        <f t="shared" si="112"/>
        <v>0.23561944901923446</v>
      </c>
      <c r="L210" s="68"/>
    </row>
    <row r="211" spans="1:27" x14ac:dyDescent="0.2">
      <c r="A211" s="68">
        <v>211</v>
      </c>
      <c r="B211" s="68"/>
      <c r="C211" s="85">
        <f t="shared" si="109"/>
        <v>0.21600059637204713</v>
      </c>
      <c r="D211" s="68">
        <v>60</v>
      </c>
      <c r="E211" s="97">
        <v>-0.33700000000000002</v>
      </c>
      <c r="F211" s="97">
        <v>3.6</v>
      </c>
      <c r="G211" s="97">
        <v>2</v>
      </c>
      <c r="H211" s="68"/>
      <c r="I211" s="69">
        <f t="shared" si="110"/>
        <v>60</v>
      </c>
      <c r="J211" s="70">
        <f t="shared" si="111"/>
        <v>-0.67400000000000004</v>
      </c>
      <c r="K211" s="70">
        <f t="shared" si="112"/>
        <v>0.20943951023931956</v>
      </c>
      <c r="L211" s="68"/>
    </row>
    <row r="212" spans="1:27" x14ac:dyDescent="0.2">
      <c r="A212" s="68">
        <v>212</v>
      </c>
      <c r="B212" s="68"/>
      <c r="C212" s="85">
        <f t="shared" si="109"/>
        <v>0.21600059637204713</v>
      </c>
      <c r="D212" s="68">
        <v>100</v>
      </c>
      <c r="E212" s="97">
        <v>-0.307</v>
      </c>
      <c r="F212" s="97">
        <v>2.5</v>
      </c>
      <c r="G212" s="97">
        <v>2</v>
      </c>
      <c r="H212" s="68"/>
      <c r="I212" s="69">
        <f t="shared" si="110"/>
        <v>100</v>
      </c>
      <c r="J212" s="70">
        <f t="shared" si="111"/>
        <v>-0.61399999999999999</v>
      </c>
      <c r="K212" s="70">
        <f t="shared" si="112"/>
        <v>0.14544410433286079</v>
      </c>
      <c r="L212" s="68"/>
      <c r="M212">
        <f>DEGREES(K212/100)*60</f>
        <v>5</v>
      </c>
      <c r="N212" s="500" t="s">
        <v>59</v>
      </c>
    </row>
    <row r="213" spans="1:27" x14ac:dyDescent="0.2">
      <c r="A213" s="68">
        <v>213</v>
      </c>
      <c r="B213" s="68"/>
      <c r="C213" s="85">
        <f t="shared" si="109"/>
        <v>0.21600059637204713</v>
      </c>
      <c r="D213" s="68">
        <v>120</v>
      </c>
      <c r="E213" s="97">
        <v>-0.29299999999999998</v>
      </c>
      <c r="F213" s="97">
        <v>2.2000000000000002</v>
      </c>
      <c r="G213" s="97">
        <v>2</v>
      </c>
      <c r="H213" s="68"/>
      <c r="I213" s="69">
        <f t="shared" si="110"/>
        <v>120</v>
      </c>
      <c r="J213" s="70">
        <f t="shared" si="111"/>
        <v>-0.58599999999999997</v>
      </c>
      <c r="K213" s="70">
        <f t="shared" si="112"/>
        <v>0.12799081181291749</v>
      </c>
      <c r="L213" s="68"/>
    </row>
    <row r="214" spans="1:27" x14ac:dyDescent="0.2">
      <c r="A214" s="68">
        <v>214</v>
      </c>
      <c r="B214" s="68"/>
      <c r="C214" s="68"/>
      <c r="D214" s="68"/>
      <c r="E214" s="68"/>
      <c r="F214" s="68"/>
      <c r="G214" s="125"/>
      <c r="H214" s="68"/>
      <c r="I214" s="68"/>
      <c r="J214" s="23"/>
      <c r="K214" s="68"/>
      <c r="L214" s="68"/>
    </row>
    <row r="215" spans="1:27" x14ac:dyDescent="0.2">
      <c r="A215" s="68">
        <v>215</v>
      </c>
      <c r="B215" s="68"/>
      <c r="C215" s="85">
        <f>B5A0VA</f>
        <v>2.1000057980615688E-2</v>
      </c>
      <c r="D215" s="68">
        <v>5</v>
      </c>
      <c r="E215" s="97">
        <v>-0.22</v>
      </c>
      <c r="F215" s="97">
        <v>13.1</v>
      </c>
      <c r="G215" s="97">
        <v>1</v>
      </c>
      <c r="H215" s="68"/>
      <c r="I215" s="69">
        <f t="shared" ref="I215:I221" si="113">0.1*D215/(5*0.02)</f>
        <v>5</v>
      </c>
      <c r="J215" s="155">
        <f t="shared" ref="J215:J221" si="114">E215*G215</f>
        <v>-0.22</v>
      </c>
      <c r="K215" s="70">
        <f t="shared" ref="K215:K221" si="115">100*RADIANS(G215*F215/60)</f>
        <v>0.3810635533520953</v>
      </c>
      <c r="L215" s="68"/>
    </row>
    <row r="216" spans="1:27" x14ac:dyDescent="0.2">
      <c r="A216" s="68">
        <v>216</v>
      </c>
      <c r="B216" s="68"/>
      <c r="C216" s="85">
        <f t="shared" ref="C216:C221" si="116">B5A0VA</f>
        <v>2.1000057980615688E-2</v>
      </c>
      <c r="D216" s="68">
        <v>10</v>
      </c>
      <c r="E216" s="97">
        <v>-0.183</v>
      </c>
      <c r="F216" s="97">
        <v>10.199999999999999</v>
      </c>
      <c r="G216" s="97">
        <v>1</v>
      </c>
      <c r="H216" s="68"/>
      <c r="I216" s="69">
        <f t="shared" si="113"/>
        <v>10</v>
      </c>
      <c r="J216" s="155">
        <f t="shared" si="114"/>
        <v>-0.183</v>
      </c>
      <c r="K216" s="70">
        <f t="shared" si="115"/>
        <v>0.29670597283903599</v>
      </c>
      <c r="L216" s="68"/>
    </row>
    <row r="217" spans="1:27" x14ac:dyDescent="0.2">
      <c r="A217" s="68">
        <v>217</v>
      </c>
      <c r="B217" s="68"/>
      <c r="C217" s="85">
        <f t="shared" si="116"/>
        <v>2.1000057980615688E-2</v>
      </c>
      <c r="D217" s="68">
        <v>20</v>
      </c>
      <c r="E217" s="97">
        <v>-0.156</v>
      </c>
      <c r="F217" s="97">
        <v>8.1</v>
      </c>
      <c r="G217" s="97">
        <v>1</v>
      </c>
      <c r="H217" s="68"/>
      <c r="I217" s="69">
        <f t="shared" si="113"/>
        <v>20</v>
      </c>
      <c r="J217" s="155">
        <f t="shared" si="114"/>
        <v>-0.156</v>
      </c>
      <c r="K217" s="70">
        <f t="shared" si="115"/>
        <v>0.23561944901923446</v>
      </c>
      <c r="L217" s="68"/>
    </row>
    <row r="218" spans="1:27" x14ac:dyDescent="0.2">
      <c r="A218" s="68">
        <v>218</v>
      </c>
      <c r="B218" s="68"/>
      <c r="C218" s="85">
        <f t="shared" si="116"/>
        <v>2.1000057980615688E-2</v>
      </c>
      <c r="D218" s="68">
        <v>40</v>
      </c>
      <c r="E218" s="97">
        <v>-0.13800000000000001</v>
      </c>
      <c r="F218" s="97">
        <v>7.05</v>
      </c>
      <c r="G218" s="97">
        <v>1</v>
      </c>
      <c r="H218" s="68"/>
      <c r="I218" s="69">
        <f t="shared" si="113"/>
        <v>40</v>
      </c>
      <c r="J218" s="155">
        <f t="shared" si="114"/>
        <v>-0.13800000000000001</v>
      </c>
      <c r="K218" s="70">
        <f t="shared" si="115"/>
        <v>0.2050761871093337</v>
      </c>
      <c r="L218" s="68"/>
    </row>
    <row r="219" spans="1:27" x14ac:dyDescent="0.2">
      <c r="A219" s="68">
        <v>219</v>
      </c>
      <c r="B219" s="68"/>
      <c r="C219" s="85">
        <f t="shared" si="116"/>
        <v>2.1000057980615688E-2</v>
      </c>
      <c r="D219" s="68">
        <v>60</v>
      </c>
      <c r="E219" s="97">
        <v>-0.13</v>
      </c>
      <c r="F219" s="97">
        <v>6.55</v>
      </c>
      <c r="G219" s="97">
        <v>1</v>
      </c>
      <c r="H219" s="68"/>
      <c r="I219" s="69">
        <f t="shared" si="113"/>
        <v>60</v>
      </c>
      <c r="J219" s="155">
        <f t="shared" si="114"/>
        <v>-0.13</v>
      </c>
      <c r="K219" s="70">
        <f t="shared" si="115"/>
        <v>0.19053177667604765</v>
      </c>
      <c r="L219" s="68"/>
    </row>
    <row r="220" spans="1:27" x14ac:dyDescent="0.2">
      <c r="A220" s="68">
        <v>220</v>
      </c>
      <c r="B220" s="68"/>
      <c r="C220" s="85">
        <f t="shared" si="116"/>
        <v>2.1000057980615688E-2</v>
      </c>
      <c r="D220" s="68">
        <v>100</v>
      </c>
      <c r="E220" s="97">
        <v>-0.121</v>
      </c>
      <c r="F220" s="97">
        <v>6.05</v>
      </c>
      <c r="G220" s="97">
        <v>1</v>
      </c>
      <c r="H220" s="68"/>
      <c r="I220" s="69">
        <f t="shared" si="113"/>
        <v>100</v>
      </c>
      <c r="J220" s="155">
        <f t="shared" si="114"/>
        <v>-0.121</v>
      </c>
      <c r="K220" s="70">
        <f t="shared" si="115"/>
        <v>0.17598736624276154</v>
      </c>
      <c r="L220" s="68"/>
    </row>
    <row r="221" spans="1:27" x14ac:dyDescent="0.2">
      <c r="A221" s="68">
        <v>221</v>
      </c>
      <c r="B221" s="68"/>
      <c r="C221" s="85">
        <f t="shared" si="116"/>
        <v>2.1000057980615688E-2</v>
      </c>
      <c r="D221" s="68">
        <v>120</v>
      </c>
      <c r="E221" s="97">
        <v>-0.11899999999999999</v>
      </c>
      <c r="F221" s="97">
        <v>5.9</v>
      </c>
      <c r="G221" s="97">
        <v>1</v>
      </c>
      <c r="H221" s="68"/>
      <c r="I221" s="69">
        <f t="shared" si="113"/>
        <v>120</v>
      </c>
      <c r="J221" s="155">
        <f t="shared" si="114"/>
        <v>-0.11899999999999999</v>
      </c>
      <c r="K221" s="70">
        <f t="shared" si="115"/>
        <v>0.17162404311277576</v>
      </c>
      <c r="L221" s="68"/>
    </row>
    <row r="222" spans="1:27" x14ac:dyDescent="0.2">
      <c r="A222" s="68">
        <v>222</v>
      </c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</row>
    <row r="223" spans="1:27" x14ac:dyDescent="0.2">
      <c r="A223" s="68">
        <v>223</v>
      </c>
      <c r="B223" s="96" t="str">
        <f>O223&amp;"/5 Range, "&amp;O224&amp;" turns @ "&amp;O227&amp;"VA burden, vs "&amp;O226&amp;" AT, "&amp;O225&amp;" range, 2 Stage CT"</f>
        <v>200/5 Range, 1 turns @ 5VA burden, vs 120 AT, 200 range, 2 Stage CT</v>
      </c>
      <c r="C223" s="68"/>
      <c r="D223" s="68"/>
      <c r="E223" s="68"/>
      <c r="F223" s="68"/>
      <c r="G223" s="68"/>
      <c r="H223" s="68"/>
      <c r="I223" s="98"/>
      <c r="N223" s="261" t="s">
        <v>364</v>
      </c>
      <c r="O223" s="97">
        <v>200</v>
      </c>
      <c r="T223" t="s">
        <v>487</v>
      </c>
      <c r="W223" t="s">
        <v>488</v>
      </c>
      <c r="Z223" t="s">
        <v>489</v>
      </c>
    </row>
    <row r="224" spans="1:27" x14ac:dyDescent="0.2">
      <c r="A224" s="68">
        <v>224</v>
      </c>
      <c r="B224" s="96" t="s">
        <v>491</v>
      </c>
      <c r="C224" s="98" t="s">
        <v>121</v>
      </c>
      <c r="D224" s="68"/>
      <c r="E224" s="68"/>
      <c r="F224" s="68"/>
      <c r="G224" s="68"/>
      <c r="H224" s="68"/>
      <c r="I224" s="68"/>
      <c r="N224" s="261" t="s">
        <v>365</v>
      </c>
      <c r="O224" s="97">
        <v>1</v>
      </c>
      <c r="T224" t="s">
        <v>221</v>
      </c>
      <c r="U224" t="s">
        <v>222</v>
      </c>
      <c r="W224" t="s">
        <v>221</v>
      </c>
      <c r="X224" t="s">
        <v>222</v>
      </c>
      <c r="Z224" t="s">
        <v>221</v>
      </c>
      <c r="AA224" t="s">
        <v>222</v>
      </c>
    </row>
    <row r="225" spans="1:27" x14ac:dyDescent="0.2">
      <c r="A225" s="68">
        <v>225</v>
      </c>
      <c r="B225" s="108">
        <v>42572</v>
      </c>
      <c r="C225" s="85">
        <f t="shared" ref="C225:C231" si="117">B5A5.0VA</f>
        <v>0.21600059637204713</v>
      </c>
      <c r="D225" s="68">
        <v>5</v>
      </c>
      <c r="E225" s="97">
        <v>-0.34100000000000003</v>
      </c>
      <c r="F225" s="97">
        <v>18</v>
      </c>
      <c r="G225" s="97">
        <v>2</v>
      </c>
      <c r="H225" s="68"/>
      <c r="I225" s="69">
        <f t="shared" ref="I225:I231" si="118">0.1*D225/(5*0.02)</f>
        <v>5</v>
      </c>
      <c r="J225" s="70">
        <f t="shared" ref="J225:J231" si="119">E225*G225</f>
        <v>-0.68200000000000005</v>
      </c>
      <c r="K225" s="70">
        <f t="shared" ref="K225:K231" si="120">100*RADIANS(G225*F225/60)</f>
        <v>1.0471975511965976</v>
      </c>
      <c r="N225" s="261" t="s">
        <v>366</v>
      </c>
      <c r="O225" s="97">
        <v>200</v>
      </c>
      <c r="T225" s="4">
        <f>J225-J117</f>
        <v>-2.0000000000000018E-3</v>
      </c>
      <c r="U225" s="4">
        <f>K225-K117</f>
        <v>5.8177641733145879E-3</v>
      </c>
      <c r="W225" s="4">
        <f t="shared" ref="W225:X231" si="121">J225-J99</f>
        <v>0</v>
      </c>
      <c r="X225" s="4">
        <f t="shared" si="121"/>
        <v>5.8177641733145879E-3</v>
      </c>
      <c r="Z225" s="4">
        <f t="shared" ref="Z225:AA231" si="122">J225-J41</f>
        <v>0</v>
      </c>
      <c r="AA225" s="4">
        <f t="shared" si="122"/>
        <v>5.8177641733145879E-3</v>
      </c>
    </row>
    <row r="226" spans="1:27" x14ac:dyDescent="0.2">
      <c r="A226" s="68">
        <v>226</v>
      </c>
      <c r="B226" s="68"/>
      <c r="C226" s="85">
        <f t="shared" si="117"/>
        <v>0.21600059637204713</v>
      </c>
      <c r="D226" s="68">
        <v>10</v>
      </c>
      <c r="E226" s="97">
        <v>-0.30199999999999999</v>
      </c>
      <c r="F226" s="97">
        <v>15.3</v>
      </c>
      <c r="G226" s="97">
        <v>2</v>
      </c>
      <c r="H226" s="68"/>
      <c r="I226" s="69">
        <f t="shared" si="118"/>
        <v>10</v>
      </c>
      <c r="J226" s="70">
        <f t="shared" si="119"/>
        <v>-0.60399999999999998</v>
      </c>
      <c r="K226" s="70">
        <f t="shared" si="120"/>
        <v>0.89011791851710798</v>
      </c>
      <c r="N226" s="261" t="s">
        <v>367</v>
      </c>
      <c r="O226" s="97">
        <v>120</v>
      </c>
      <c r="T226" s="4">
        <f t="shared" ref="T226:U239" si="123">J226-J118</f>
        <v>0</v>
      </c>
      <c r="U226" s="4">
        <f t="shared" si="123"/>
        <v>-5.8177641733143659E-3</v>
      </c>
      <c r="W226" s="4">
        <f t="shared" si="121"/>
        <v>0</v>
      </c>
      <c r="X226" s="4">
        <f t="shared" si="121"/>
        <v>-5.8177641733143659E-3</v>
      </c>
      <c r="Z226" s="4">
        <f t="shared" si="122"/>
        <v>0</v>
      </c>
      <c r="AA226" s="4">
        <f t="shared" si="122"/>
        <v>-5.8177641733143659E-3</v>
      </c>
    </row>
    <row r="227" spans="1:27" x14ac:dyDescent="0.2">
      <c r="A227" s="68">
        <v>227</v>
      </c>
      <c r="B227" s="98" t="s">
        <v>485</v>
      </c>
      <c r="C227" s="85">
        <f t="shared" si="117"/>
        <v>0.21600059637204713</v>
      </c>
      <c r="D227" s="68">
        <v>20</v>
      </c>
      <c r="E227" s="97">
        <v>-0.27300000000000002</v>
      </c>
      <c r="F227" s="97">
        <v>13.4</v>
      </c>
      <c r="G227" s="97">
        <v>2</v>
      </c>
      <c r="H227" s="68"/>
      <c r="I227" s="69">
        <f t="shared" si="118"/>
        <v>20</v>
      </c>
      <c r="J227" s="70">
        <f t="shared" si="119"/>
        <v>-0.54600000000000004</v>
      </c>
      <c r="K227" s="70">
        <f t="shared" si="120"/>
        <v>0.7795803992241338</v>
      </c>
      <c r="L227" s="68"/>
      <c r="O227" s="370">
        <v>5</v>
      </c>
      <c r="T227" s="4">
        <f t="shared" si="123"/>
        <v>2.0000000000000018E-3</v>
      </c>
      <c r="U227" s="4">
        <f t="shared" si="123"/>
        <v>-5.8177641733145879E-3</v>
      </c>
      <c r="W227" s="4">
        <f t="shared" si="121"/>
        <v>2.0000000000000018E-3</v>
      </c>
      <c r="X227" s="4">
        <f t="shared" si="121"/>
        <v>-5.8177641733145879E-3</v>
      </c>
      <c r="Z227" s="4">
        <f t="shared" si="122"/>
        <v>2.0000000000000018E-3</v>
      </c>
      <c r="AA227" s="4">
        <f t="shared" si="122"/>
        <v>-5.8177641733145879E-3</v>
      </c>
    </row>
    <row r="228" spans="1:27" x14ac:dyDescent="0.2">
      <c r="A228" s="68">
        <v>228</v>
      </c>
      <c r="B228" s="98" t="s">
        <v>486</v>
      </c>
      <c r="C228" s="85">
        <f t="shared" si="117"/>
        <v>0.21600059637204713</v>
      </c>
      <c r="D228" s="68">
        <v>40</v>
      </c>
      <c r="E228" s="97">
        <v>-0.251</v>
      </c>
      <c r="F228" s="97">
        <v>12.05</v>
      </c>
      <c r="G228" s="97">
        <v>2</v>
      </c>
      <c r="H228" s="68"/>
      <c r="I228" s="69">
        <f t="shared" si="118"/>
        <v>40</v>
      </c>
      <c r="J228" s="70">
        <f t="shared" si="119"/>
        <v>-0.502</v>
      </c>
      <c r="K228" s="70">
        <f t="shared" si="120"/>
        <v>0.70104058288438897</v>
      </c>
      <c r="L228" s="68"/>
      <c r="T228" s="4">
        <f t="shared" si="123"/>
        <v>0</v>
      </c>
      <c r="U228" s="4">
        <f t="shared" si="123"/>
        <v>0</v>
      </c>
      <c r="W228" s="4">
        <f t="shared" si="121"/>
        <v>0</v>
      </c>
      <c r="X228" s="4">
        <f t="shared" si="121"/>
        <v>0</v>
      </c>
      <c r="Z228" s="4">
        <f t="shared" si="122"/>
        <v>0</v>
      </c>
      <c r="AA228" s="4">
        <f t="shared" si="122"/>
        <v>-2.908882086657183E-3</v>
      </c>
    </row>
    <row r="229" spans="1:27" x14ac:dyDescent="0.2">
      <c r="A229" s="68">
        <v>229</v>
      </c>
      <c r="B229" s="68"/>
      <c r="C229" s="85">
        <f t="shared" si="117"/>
        <v>0.21600059637204713</v>
      </c>
      <c r="D229" s="68">
        <v>60</v>
      </c>
      <c r="E229" s="97">
        <v>-0.246</v>
      </c>
      <c r="F229" s="97">
        <v>10.95</v>
      </c>
      <c r="G229" s="97">
        <v>2</v>
      </c>
      <c r="H229" s="68"/>
      <c r="I229" s="69">
        <f t="shared" si="118"/>
        <v>60</v>
      </c>
      <c r="J229" s="70">
        <f t="shared" si="119"/>
        <v>-0.49199999999999999</v>
      </c>
      <c r="K229" s="70">
        <f t="shared" si="120"/>
        <v>0.63704517697793028</v>
      </c>
      <c r="L229" s="68"/>
      <c r="T229" s="4">
        <f t="shared" si="123"/>
        <v>0</v>
      </c>
      <c r="U229" s="4">
        <f t="shared" si="123"/>
        <v>2.908882086657183E-3</v>
      </c>
      <c r="W229" s="4">
        <f t="shared" si="121"/>
        <v>0</v>
      </c>
      <c r="X229" s="4">
        <f t="shared" si="121"/>
        <v>2.908882086657183E-3</v>
      </c>
      <c r="Z229" s="4">
        <f t="shared" si="122"/>
        <v>-2.0000000000000018E-3</v>
      </c>
      <c r="AA229" s="4">
        <f t="shared" si="122"/>
        <v>-2.908882086657183E-3</v>
      </c>
    </row>
    <row r="230" spans="1:27" x14ac:dyDescent="0.2">
      <c r="A230" s="68">
        <v>230</v>
      </c>
      <c r="B230" s="68"/>
      <c r="C230" s="85">
        <f t="shared" si="117"/>
        <v>0.21600059637204713</v>
      </c>
      <c r="D230" s="68">
        <v>100</v>
      </c>
      <c r="E230" s="97">
        <v>-0.23499999999999999</v>
      </c>
      <c r="F230" s="97">
        <v>9.1</v>
      </c>
      <c r="G230" s="97">
        <v>2</v>
      </c>
      <c r="H230" s="68"/>
      <c r="I230" s="69">
        <f t="shared" si="118"/>
        <v>100</v>
      </c>
      <c r="J230" s="70">
        <f t="shared" si="119"/>
        <v>-0.47</v>
      </c>
      <c r="K230" s="70">
        <f t="shared" si="120"/>
        <v>0.52941653977161329</v>
      </c>
      <c r="L230" s="68"/>
      <c r="T230" s="4">
        <f t="shared" si="123"/>
        <v>0</v>
      </c>
      <c r="U230" s="4">
        <f t="shared" si="123"/>
        <v>2.908882086657183E-3</v>
      </c>
      <c r="W230" s="4">
        <f t="shared" si="121"/>
        <v>0</v>
      </c>
      <c r="X230" s="4">
        <f t="shared" si="121"/>
        <v>5.8177641733144769E-3</v>
      </c>
      <c r="Z230" s="4">
        <f t="shared" si="122"/>
        <v>2.0000000000000018E-3</v>
      </c>
      <c r="AA230" s="4">
        <f t="shared" si="122"/>
        <v>0</v>
      </c>
    </row>
    <row r="231" spans="1:27" x14ac:dyDescent="0.2">
      <c r="A231" s="68">
        <v>231</v>
      </c>
      <c r="B231" s="68"/>
      <c r="C231" s="85">
        <f t="shared" si="117"/>
        <v>0.21600059637204713</v>
      </c>
      <c r="D231" s="68">
        <v>120</v>
      </c>
      <c r="E231" s="97">
        <v>-0.22950000000000001</v>
      </c>
      <c r="F231" s="97">
        <v>8.3000000000000007</v>
      </c>
      <c r="G231" s="97">
        <v>2</v>
      </c>
      <c r="H231" s="68"/>
      <c r="I231" s="69">
        <f t="shared" si="118"/>
        <v>120</v>
      </c>
      <c r="J231" s="70">
        <f t="shared" si="119"/>
        <v>-0.45900000000000002</v>
      </c>
      <c r="K231" s="70">
        <f t="shared" si="120"/>
        <v>0.48287442638509787</v>
      </c>
      <c r="L231" s="68"/>
      <c r="T231" s="4">
        <f t="shared" si="123"/>
        <v>0</v>
      </c>
      <c r="U231" s="4">
        <f t="shared" si="123"/>
        <v>0</v>
      </c>
      <c r="W231" s="4">
        <f t="shared" si="121"/>
        <v>-1.0000000000000009E-3</v>
      </c>
      <c r="X231" s="4">
        <f t="shared" si="121"/>
        <v>0</v>
      </c>
      <c r="Z231" s="4">
        <f t="shared" si="122"/>
        <v>-1.0000000000000009E-3</v>
      </c>
      <c r="AA231" s="4">
        <f t="shared" si="122"/>
        <v>2.908882086657183E-3</v>
      </c>
    </row>
    <row r="232" spans="1:27" x14ac:dyDescent="0.2">
      <c r="A232" s="68">
        <v>232</v>
      </c>
      <c r="B232" s="68"/>
      <c r="C232" s="68"/>
      <c r="D232" s="68"/>
      <c r="E232" s="68"/>
      <c r="F232" s="68"/>
      <c r="G232" s="125"/>
      <c r="H232" s="68"/>
      <c r="I232" s="68"/>
      <c r="J232" s="21"/>
      <c r="K232" s="21"/>
      <c r="L232" s="68"/>
      <c r="T232" s="4"/>
      <c r="U232" s="4"/>
      <c r="W232" s="4"/>
      <c r="X232" s="4"/>
      <c r="Z232" s="4"/>
      <c r="AA232" s="4"/>
    </row>
    <row r="233" spans="1:27" x14ac:dyDescent="0.2">
      <c r="A233" s="68">
        <v>233</v>
      </c>
      <c r="B233" s="68"/>
      <c r="C233" s="85">
        <f>B5A0VA</f>
        <v>2.1000057980615688E-2</v>
      </c>
      <c r="D233" s="68">
        <v>5</v>
      </c>
      <c r="E233" s="97">
        <v>-0.223</v>
      </c>
      <c r="F233" s="97">
        <v>13.3</v>
      </c>
      <c r="G233" s="97">
        <v>1</v>
      </c>
      <c r="H233" s="68"/>
      <c r="I233" s="69">
        <f t="shared" ref="I233:I239" si="124">0.1*D233/(5*0.02)</f>
        <v>5</v>
      </c>
      <c r="J233" s="70">
        <f t="shared" ref="J233:J239" si="125">E233*G233</f>
        <v>-0.223</v>
      </c>
      <c r="K233" s="70">
        <f t="shared" ref="K233:K239" si="126">100*RADIANS(G233*F233/60)</f>
        <v>0.38688131752540972</v>
      </c>
      <c r="L233" s="68"/>
      <c r="T233" s="4">
        <f t="shared" si="123"/>
        <v>9.000000000000008E-3</v>
      </c>
      <c r="U233" s="4">
        <f t="shared" si="123"/>
        <v>-8.7266462599716599E-3</v>
      </c>
      <c r="W233" s="4">
        <f t="shared" ref="W233:X239" si="127">J233-J107</f>
        <v>-1.0000000000000009E-3</v>
      </c>
      <c r="X233" s="4">
        <f t="shared" si="127"/>
        <v>2.9088820866572385E-3</v>
      </c>
      <c r="Z233" s="4">
        <f t="shared" ref="Z233:AA239" si="128">J233-J49</f>
        <v>4.0000000000000036E-3</v>
      </c>
      <c r="AA233" s="4">
        <f t="shared" si="128"/>
        <v>-8.7266462599716599E-3</v>
      </c>
    </row>
    <row r="234" spans="1:27" x14ac:dyDescent="0.2">
      <c r="A234" s="68">
        <v>234</v>
      </c>
      <c r="B234" s="68"/>
      <c r="C234" s="85">
        <f t="shared" ref="C234:C239" si="129">B5A0VA</f>
        <v>2.1000057980615688E-2</v>
      </c>
      <c r="D234" s="68">
        <v>10</v>
      </c>
      <c r="E234" s="97">
        <v>-0.18099999999999999</v>
      </c>
      <c r="F234" s="97">
        <v>10.1</v>
      </c>
      <c r="G234" s="97">
        <v>1</v>
      </c>
      <c r="H234" s="68"/>
      <c r="I234" s="69">
        <f t="shared" si="124"/>
        <v>10</v>
      </c>
      <c r="J234" s="70">
        <f t="shared" si="125"/>
        <v>-0.18099999999999999</v>
      </c>
      <c r="K234" s="70">
        <f t="shared" si="126"/>
        <v>0.29379709075237881</v>
      </c>
      <c r="L234" s="68"/>
      <c r="T234" s="4">
        <f t="shared" si="123"/>
        <v>4.0000000000000036E-3</v>
      </c>
      <c r="U234" s="4">
        <f t="shared" si="123"/>
        <v>-2.908882086657183E-3</v>
      </c>
      <c r="W234" s="4">
        <f t="shared" si="127"/>
        <v>1.0000000000000009E-3</v>
      </c>
      <c r="X234" s="4">
        <f t="shared" si="127"/>
        <v>0</v>
      </c>
      <c r="Z234" s="4">
        <f t="shared" si="128"/>
        <v>2.0000000000000018E-3</v>
      </c>
      <c r="AA234" s="4">
        <f t="shared" si="128"/>
        <v>-2.908882086657183E-3</v>
      </c>
    </row>
    <row r="235" spans="1:27" x14ac:dyDescent="0.2">
      <c r="A235" s="68">
        <v>235</v>
      </c>
      <c r="B235" s="68"/>
      <c r="C235" s="85">
        <f t="shared" si="129"/>
        <v>2.1000057980615688E-2</v>
      </c>
      <c r="D235" s="68">
        <v>20</v>
      </c>
      <c r="E235" s="97">
        <v>-0.154</v>
      </c>
      <c r="F235" s="97">
        <v>8.1</v>
      </c>
      <c r="G235" s="97">
        <v>1</v>
      </c>
      <c r="H235" s="68"/>
      <c r="I235" s="69">
        <f t="shared" si="124"/>
        <v>20</v>
      </c>
      <c r="J235" s="70">
        <f t="shared" si="125"/>
        <v>-0.154</v>
      </c>
      <c r="K235" s="70">
        <f t="shared" si="126"/>
        <v>0.23561944901923446</v>
      </c>
      <c r="L235" s="68"/>
      <c r="T235" s="4">
        <f t="shared" si="123"/>
        <v>3.0000000000000027E-3</v>
      </c>
      <c r="U235" s="4">
        <f t="shared" si="123"/>
        <v>-5.8177641733144769E-3</v>
      </c>
      <c r="W235" s="4">
        <f t="shared" si="127"/>
        <v>-1.0000000000000009E-3</v>
      </c>
      <c r="X235" s="4">
        <f t="shared" si="127"/>
        <v>1.4544410433285637E-3</v>
      </c>
      <c r="Z235" s="4">
        <f t="shared" si="128"/>
        <v>0</v>
      </c>
      <c r="AA235" s="4">
        <f t="shared" si="128"/>
        <v>0</v>
      </c>
    </row>
    <row r="236" spans="1:27" x14ac:dyDescent="0.2">
      <c r="A236" s="68">
        <v>236</v>
      </c>
      <c r="B236" s="68"/>
      <c r="C236" s="85">
        <f t="shared" si="129"/>
        <v>2.1000057980615688E-2</v>
      </c>
      <c r="D236" s="68">
        <v>40</v>
      </c>
      <c r="E236" s="97">
        <v>-0.13600000000000001</v>
      </c>
      <c r="F236" s="97">
        <v>7</v>
      </c>
      <c r="G236" s="97">
        <v>1</v>
      </c>
      <c r="H236" s="68"/>
      <c r="I236" s="69">
        <f t="shared" si="124"/>
        <v>40</v>
      </c>
      <c r="J236" s="70">
        <f t="shared" si="125"/>
        <v>-0.13600000000000001</v>
      </c>
      <c r="K236" s="70">
        <f t="shared" si="126"/>
        <v>0.20362174606600511</v>
      </c>
      <c r="L236" s="68"/>
      <c r="T236" s="4">
        <f t="shared" si="123"/>
        <v>2.0000000000000018E-3</v>
      </c>
      <c r="U236" s="4">
        <f t="shared" si="123"/>
        <v>-1.4544410433285915E-3</v>
      </c>
      <c r="W236" s="4">
        <f t="shared" si="127"/>
        <v>1.0000000000000009E-3</v>
      </c>
      <c r="X236" s="4">
        <f t="shared" si="127"/>
        <v>0</v>
      </c>
      <c r="Z236" s="4">
        <f t="shared" si="128"/>
        <v>1.0000000000000009E-3</v>
      </c>
      <c r="AA236" s="4">
        <f t="shared" si="128"/>
        <v>0</v>
      </c>
    </row>
    <row r="237" spans="1:27" x14ac:dyDescent="0.2">
      <c r="A237" s="68">
        <v>237</v>
      </c>
      <c r="B237" s="68"/>
      <c r="C237" s="85">
        <f t="shared" si="129"/>
        <v>2.1000057980615688E-2</v>
      </c>
      <c r="D237" s="68">
        <v>60</v>
      </c>
      <c r="E237" s="97">
        <v>-0.128</v>
      </c>
      <c r="F237" s="97">
        <v>6.5</v>
      </c>
      <c r="G237" s="97">
        <v>1</v>
      </c>
      <c r="H237" s="68"/>
      <c r="I237" s="69">
        <f t="shared" si="124"/>
        <v>60</v>
      </c>
      <c r="J237" s="70">
        <f t="shared" si="125"/>
        <v>-0.128</v>
      </c>
      <c r="K237" s="70">
        <f t="shared" si="126"/>
        <v>0.18907733563271903</v>
      </c>
      <c r="L237" s="68"/>
      <c r="T237" s="4">
        <f t="shared" si="123"/>
        <v>2.0000000000000018E-3</v>
      </c>
      <c r="U237" s="4">
        <f t="shared" si="123"/>
        <v>-1.4544410433286192E-3</v>
      </c>
      <c r="W237" s="4">
        <f t="shared" si="127"/>
        <v>1.0000000000000009E-3</v>
      </c>
      <c r="X237" s="4">
        <f t="shared" si="127"/>
        <v>0</v>
      </c>
      <c r="Z237" s="4">
        <f t="shared" si="128"/>
        <v>1.0000000000000009E-3</v>
      </c>
      <c r="AA237" s="4">
        <f t="shared" si="128"/>
        <v>0</v>
      </c>
    </row>
    <row r="238" spans="1:27" x14ac:dyDescent="0.2">
      <c r="A238" s="68">
        <v>238</v>
      </c>
      <c r="B238" s="68"/>
      <c r="C238" s="85">
        <f t="shared" si="129"/>
        <v>2.1000057980615688E-2</v>
      </c>
      <c r="D238" s="68">
        <v>100</v>
      </c>
      <c r="E238" s="97">
        <v>-0.12</v>
      </c>
      <c r="F238" s="97">
        <v>6</v>
      </c>
      <c r="G238" s="97">
        <v>1</v>
      </c>
      <c r="H238" s="68"/>
      <c r="I238" s="69">
        <f t="shared" si="124"/>
        <v>100</v>
      </c>
      <c r="J238" s="70">
        <f t="shared" si="125"/>
        <v>-0.12</v>
      </c>
      <c r="K238" s="70">
        <f t="shared" si="126"/>
        <v>0.17453292519943295</v>
      </c>
      <c r="L238" s="68"/>
      <c r="T238" s="4">
        <f t="shared" si="123"/>
        <v>1.0000000000000009E-3</v>
      </c>
      <c r="U238" s="4">
        <f t="shared" si="123"/>
        <v>0</v>
      </c>
      <c r="W238" s="4">
        <f t="shared" si="127"/>
        <v>1.0000000000000009E-3</v>
      </c>
      <c r="X238" s="4">
        <f t="shared" si="127"/>
        <v>0</v>
      </c>
      <c r="Z238" s="4">
        <f t="shared" si="128"/>
        <v>1.0000000000000009E-3</v>
      </c>
      <c r="AA238" s="4">
        <f t="shared" si="128"/>
        <v>0</v>
      </c>
    </row>
    <row r="239" spans="1:27" x14ac:dyDescent="0.2">
      <c r="A239" s="68">
        <v>239</v>
      </c>
      <c r="B239" s="68"/>
      <c r="C239" s="85">
        <f t="shared" si="129"/>
        <v>2.1000057980615688E-2</v>
      </c>
      <c r="D239" s="68">
        <v>120</v>
      </c>
      <c r="E239" s="97">
        <v>-0.11700000000000001</v>
      </c>
      <c r="F239" s="97">
        <v>5.8</v>
      </c>
      <c r="G239" s="97">
        <v>1</v>
      </c>
      <c r="H239" s="68"/>
      <c r="I239" s="69">
        <f t="shared" si="124"/>
        <v>120</v>
      </c>
      <c r="J239" s="70">
        <f t="shared" si="125"/>
        <v>-0.11700000000000001</v>
      </c>
      <c r="K239" s="70">
        <f t="shared" si="126"/>
        <v>0.16871516102611853</v>
      </c>
      <c r="L239" s="68"/>
      <c r="T239" s="4">
        <f t="shared" si="123"/>
        <v>2.4999999999999883E-3</v>
      </c>
      <c r="U239" s="4">
        <f t="shared" si="123"/>
        <v>-2.9088820866572385E-3</v>
      </c>
      <c r="W239" s="4">
        <f t="shared" si="127"/>
        <v>1.9999999999999879E-3</v>
      </c>
      <c r="X239" s="4">
        <f t="shared" si="127"/>
        <v>0</v>
      </c>
      <c r="Z239" s="4">
        <f t="shared" si="128"/>
        <v>1.9999999999999879E-3</v>
      </c>
      <c r="AA239" s="4">
        <f t="shared" si="128"/>
        <v>-2.9088820866572385E-3</v>
      </c>
    </row>
    <row r="240" spans="1:27" x14ac:dyDescent="0.2">
      <c r="A240" s="68">
        <v>240</v>
      </c>
      <c r="B240" s="510" t="s">
        <v>492</v>
      </c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75" t="s">
        <v>111</v>
      </c>
      <c r="N240" s="76"/>
      <c r="O240" s="77"/>
      <c r="P240" s="80"/>
      <c r="X240" s="4"/>
      <c r="Y240" s="4"/>
    </row>
    <row r="241" spans="1:25" x14ac:dyDescent="0.2">
      <c r="A241" s="68">
        <v>241</v>
      </c>
      <c r="B241" s="96" t="str">
        <f>V241&amp;"/5 Range, "&amp;V242&amp;" turns @ "&amp;V245&amp;"VA burden, vs "&amp;V244&amp;" AT, "&amp;V243&amp;" range, 2 Stage CT"</f>
        <v>200/5 Range, 1 turns @ 5VA burden, vs 120 AT, 200 range, 2 Stage CT</v>
      </c>
      <c r="C241" s="503"/>
      <c r="D241" s="503"/>
      <c r="E241" s="503"/>
      <c r="F241" s="503"/>
      <c r="G241" s="503"/>
      <c r="H241" s="503"/>
      <c r="I241" s="506"/>
      <c r="J241" s="503"/>
      <c r="K241" s="503"/>
      <c r="L241" s="503"/>
      <c r="M241" s="6" t="s">
        <v>112</v>
      </c>
      <c r="N241" s="7"/>
      <c r="O241" s="36"/>
      <c r="P241" s="509"/>
      <c r="Q241" s="503"/>
      <c r="R241" s="503"/>
      <c r="S241" s="503"/>
      <c r="T241" s="503"/>
      <c r="U241" s="504" t="s">
        <v>364</v>
      </c>
      <c r="V241" s="503">
        <v>200</v>
      </c>
    </row>
    <row r="242" spans="1:25" x14ac:dyDescent="0.2">
      <c r="A242" s="68">
        <v>242</v>
      </c>
      <c r="B242" s="96" t="s">
        <v>491</v>
      </c>
      <c r="C242" s="506" t="s">
        <v>121</v>
      </c>
      <c r="D242" s="503"/>
      <c r="E242" s="503"/>
      <c r="F242" s="503"/>
      <c r="G242" s="503"/>
      <c r="H242" s="503"/>
      <c r="I242" s="503"/>
      <c r="J242" s="503"/>
      <c r="K242" s="503"/>
      <c r="L242" s="503"/>
      <c r="M242" s="507" t="s">
        <v>6</v>
      </c>
      <c r="N242" s="508" t="s">
        <v>7</v>
      </c>
      <c r="O242" s="36"/>
      <c r="P242" s="7"/>
      <c r="Q242" t="s">
        <v>164</v>
      </c>
      <c r="R242" t="s">
        <v>342</v>
      </c>
      <c r="S242" s="503"/>
      <c r="T242" s="503"/>
      <c r="U242" s="504" t="s">
        <v>365</v>
      </c>
      <c r="V242" s="503">
        <v>1</v>
      </c>
    </row>
    <row r="243" spans="1:25" x14ac:dyDescent="0.2">
      <c r="A243" s="68">
        <v>243</v>
      </c>
      <c r="B243" s="108">
        <v>42592</v>
      </c>
      <c r="C243" s="85">
        <f t="shared" ref="C243:C249" si="130">B5A5.0VA</f>
        <v>0.21600059637204713</v>
      </c>
      <c r="D243" s="68">
        <v>5</v>
      </c>
      <c r="E243" s="97">
        <v>-0.34100000000000003</v>
      </c>
      <c r="F243" s="97">
        <v>17.899999999999999</v>
      </c>
      <c r="G243" s="97">
        <v>2</v>
      </c>
      <c r="H243" s="68"/>
      <c r="I243" s="69">
        <f t="shared" ref="I243:I249" si="131">0.1*D243/(5*0.02)</f>
        <v>5</v>
      </c>
      <c r="J243" s="70">
        <f t="shared" ref="J243:J249" si="132">E243*G243</f>
        <v>-0.68200000000000005</v>
      </c>
      <c r="K243" s="70">
        <f t="shared" ref="K243:K249" si="133">100*RADIANS(G243*F243/60)</f>
        <v>1.041379787023283</v>
      </c>
      <c r="M243" s="81">
        <f t="shared" ref="M243:N249" si="134">J261-J243</f>
        <v>8.0000000000000071E-3</v>
      </c>
      <c r="N243" s="71">
        <f t="shared" si="134"/>
        <v>-2.3271056693257464E-2</v>
      </c>
      <c r="O243" s="79"/>
      <c r="P243" s="16"/>
      <c r="Q243" s="4">
        <f>M243*10</f>
        <v>8.0000000000000071E-2</v>
      </c>
      <c r="R243" s="4">
        <f>N243*10</f>
        <v>-0.23271056693257464</v>
      </c>
      <c r="T243" s="503"/>
      <c r="U243" s="504" t="s">
        <v>366</v>
      </c>
      <c r="V243" s="503">
        <v>200</v>
      </c>
      <c r="X243" s="4">
        <f>Q243-Q8</f>
        <v>0.14000000000000012</v>
      </c>
      <c r="Y243" s="4">
        <f>R243-R8</f>
        <v>-0.40724349213200561</v>
      </c>
    </row>
    <row r="244" spans="1:25" x14ac:dyDescent="0.2">
      <c r="A244" s="68">
        <v>244</v>
      </c>
      <c r="B244" s="68"/>
      <c r="C244" s="85">
        <f t="shared" si="130"/>
        <v>0.21600059637204713</v>
      </c>
      <c r="D244" s="68">
        <v>10</v>
      </c>
      <c r="E244" s="97">
        <v>-0.308</v>
      </c>
      <c r="F244" s="97">
        <v>15.7</v>
      </c>
      <c r="G244" s="97">
        <v>2</v>
      </c>
      <c r="H244" s="68"/>
      <c r="I244" s="69">
        <f t="shared" si="131"/>
        <v>10</v>
      </c>
      <c r="J244" s="70">
        <f t="shared" si="132"/>
        <v>-0.61599999999999999</v>
      </c>
      <c r="K244" s="70">
        <f t="shared" si="133"/>
        <v>0.91338897521036577</v>
      </c>
      <c r="M244" s="81">
        <f t="shared" si="134"/>
        <v>8.0000000000000071E-3</v>
      </c>
      <c r="N244" s="71">
        <f t="shared" si="134"/>
        <v>-1.7453292519943431E-2</v>
      </c>
      <c r="O244" s="79"/>
      <c r="P244" s="16"/>
      <c r="Q244" s="4">
        <f t="shared" ref="Q244:Q249" si="135">M244*10</f>
        <v>8.0000000000000071E-2</v>
      </c>
      <c r="R244" s="4">
        <f t="shared" ref="R244:R249" si="136">N244*10</f>
        <v>-0.17453292519943431</v>
      </c>
      <c r="T244" s="503"/>
      <c r="U244" s="504" t="s">
        <v>367</v>
      </c>
      <c r="V244" s="503">
        <v>120</v>
      </c>
      <c r="X244" s="4">
        <f t="shared" ref="X244:Y257" si="137">Q244-Q9</f>
        <v>0.12000000000000011</v>
      </c>
      <c r="Y244" s="4">
        <f t="shared" si="137"/>
        <v>-0.23271056693257797</v>
      </c>
    </row>
    <row r="245" spans="1:25" x14ac:dyDescent="0.2">
      <c r="A245" s="68">
        <v>245</v>
      </c>
      <c r="B245" s="511" t="s">
        <v>83</v>
      </c>
      <c r="C245" s="85">
        <f t="shared" si="130"/>
        <v>0.21600059637204713</v>
      </c>
      <c r="D245" s="68">
        <v>20</v>
      </c>
      <c r="E245" s="97">
        <v>-0.27800000000000002</v>
      </c>
      <c r="F245" s="97">
        <v>13.7</v>
      </c>
      <c r="G245" s="97">
        <v>2</v>
      </c>
      <c r="H245" s="68"/>
      <c r="I245" s="69">
        <f t="shared" si="131"/>
        <v>20</v>
      </c>
      <c r="J245" s="70">
        <f t="shared" si="132"/>
        <v>-0.55600000000000005</v>
      </c>
      <c r="K245" s="70">
        <f t="shared" si="133"/>
        <v>0.79703369174407723</v>
      </c>
      <c r="L245" s="68"/>
      <c r="M245" s="81">
        <f t="shared" si="134"/>
        <v>2.0000000000000018E-3</v>
      </c>
      <c r="N245" s="71">
        <f t="shared" si="134"/>
        <v>-1.1635528346628843E-2</v>
      </c>
      <c r="O245" s="79"/>
      <c r="P245" s="16"/>
      <c r="Q245" s="4">
        <f t="shared" si="135"/>
        <v>2.0000000000000018E-2</v>
      </c>
      <c r="R245" s="4">
        <f t="shared" si="136"/>
        <v>-0.11635528346628843</v>
      </c>
      <c r="T245" s="503"/>
      <c r="U245" s="503"/>
      <c r="V245" s="505">
        <v>5</v>
      </c>
      <c r="X245" s="4">
        <f t="shared" si="137"/>
        <v>4.0000000000000036E-2</v>
      </c>
      <c r="Y245" s="4">
        <f t="shared" si="137"/>
        <v>-0.17453292519943431</v>
      </c>
    </row>
    <row r="246" spans="1:25" x14ac:dyDescent="0.2">
      <c r="A246" s="68">
        <v>246</v>
      </c>
      <c r="B246" s="68"/>
      <c r="C246" s="85">
        <f t="shared" si="130"/>
        <v>0.21600059637204713</v>
      </c>
      <c r="D246" s="68">
        <v>40</v>
      </c>
      <c r="E246" s="97">
        <v>-0.254</v>
      </c>
      <c r="F246" s="97">
        <v>12.25</v>
      </c>
      <c r="G246" s="97">
        <v>2</v>
      </c>
      <c r="H246" s="68"/>
      <c r="I246" s="69">
        <f t="shared" si="131"/>
        <v>40</v>
      </c>
      <c r="J246" s="155">
        <f t="shared" si="132"/>
        <v>-0.50800000000000001</v>
      </c>
      <c r="K246" s="70">
        <f t="shared" si="133"/>
        <v>0.71267611123101793</v>
      </c>
      <c r="L246" s="68"/>
      <c r="M246" s="81">
        <f t="shared" si="134"/>
        <v>2.0000000000000018E-3</v>
      </c>
      <c r="N246" s="71">
        <f t="shared" si="134"/>
        <v>-8.7266462599717709E-3</v>
      </c>
      <c r="O246" s="79"/>
      <c r="P246" s="16"/>
      <c r="Q246" s="4">
        <f t="shared" si="135"/>
        <v>2.0000000000000018E-2</v>
      </c>
      <c r="R246" s="21">
        <f t="shared" si="136"/>
        <v>-8.7266462599717709E-2</v>
      </c>
      <c r="X246" s="4">
        <f t="shared" si="137"/>
        <v>2.0000000000000018E-2</v>
      </c>
      <c r="Y246" s="4">
        <f t="shared" si="137"/>
        <v>-0.1745329251994332</v>
      </c>
    </row>
    <row r="247" spans="1:25" x14ac:dyDescent="0.2">
      <c r="A247" s="68">
        <v>247</v>
      </c>
      <c r="B247" s="68"/>
      <c r="C247" s="85">
        <f t="shared" si="130"/>
        <v>0.21600059637204713</v>
      </c>
      <c r="D247" s="68">
        <v>60</v>
      </c>
      <c r="E247" s="97">
        <v>-0.249</v>
      </c>
      <c r="F247" s="97">
        <v>11.05</v>
      </c>
      <c r="G247" s="97">
        <v>2</v>
      </c>
      <c r="H247" s="68"/>
      <c r="I247" s="69">
        <f t="shared" si="131"/>
        <v>60</v>
      </c>
      <c r="J247" s="155">
        <f t="shared" si="132"/>
        <v>-0.498</v>
      </c>
      <c r="K247" s="70">
        <f t="shared" si="133"/>
        <v>0.64286294115124476</v>
      </c>
      <c r="L247" s="68"/>
      <c r="M247" s="81">
        <f t="shared" si="134"/>
        <v>2.0000000000000018E-3</v>
      </c>
      <c r="N247" s="71">
        <f t="shared" si="134"/>
        <v>-2.908882086657294E-3</v>
      </c>
      <c r="O247" s="79"/>
      <c r="P247" s="16"/>
      <c r="Q247" s="4">
        <f t="shared" si="135"/>
        <v>2.0000000000000018E-2</v>
      </c>
      <c r="R247" s="21">
        <f t="shared" si="136"/>
        <v>-2.908882086657294E-2</v>
      </c>
      <c r="X247" s="4">
        <f t="shared" si="137"/>
        <v>4.0000000000000036E-2</v>
      </c>
      <c r="Y247" s="4">
        <f t="shared" si="137"/>
        <v>-0.14544410433286026</v>
      </c>
    </row>
    <row r="248" spans="1:25" x14ac:dyDescent="0.2">
      <c r="A248" s="68">
        <v>248</v>
      </c>
      <c r="B248" s="68"/>
      <c r="C248" s="85">
        <f t="shared" si="130"/>
        <v>0.21600059637204713</v>
      </c>
      <c r="D248" s="68">
        <v>100</v>
      </c>
      <c r="E248" s="97">
        <v>-0.23799999999999999</v>
      </c>
      <c r="F248" s="97">
        <v>9.0500000000000007</v>
      </c>
      <c r="G248" s="97">
        <v>2</v>
      </c>
      <c r="H248" s="68"/>
      <c r="I248" s="69">
        <f t="shared" si="131"/>
        <v>100</v>
      </c>
      <c r="J248" s="155">
        <f t="shared" si="132"/>
        <v>-0.47599999999999998</v>
      </c>
      <c r="K248" s="70">
        <f t="shared" si="133"/>
        <v>0.52650765768495611</v>
      </c>
      <c r="L248" s="68"/>
      <c r="M248" s="81">
        <f t="shared" si="134"/>
        <v>2.0000000000000018E-3</v>
      </c>
      <c r="N248" s="71">
        <f t="shared" si="134"/>
        <v>-2.908882086657294E-3</v>
      </c>
      <c r="O248" s="79"/>
      <c r="P248" s="16"/>
      <c r="Q248" s="4">
        <f t="shared" si="135"/>
        <v>2.0000000000000018E-2</v>
      </c>
      <c r="R248" s="4">
        <f t="shared" si="136"/>
        <v>-2.908882086657294E-2</v>
      </c>
      <c r="X248" s="4">
        <f t="shared" si="137"/>
        <v>5.9999999999999498E-2</v>
      </c>
      <c r="Y248" s="4">
        <f t="shared" si="137"/>
        <v>-8.7266462599717709E-2</v>
      </c>
    </row>
    <row r="249" spans="1:25" x14ac:dyDescent="0.2">
      <c r="A249" s="68">
        <v>249</v>
      </c>
      <c r="B249" s="68"/>
      <c r="C249" s="85">
        <f t="shared" si="130"/>
        <v>0.21600059637204713</v>
      </c>
      <c r="D249" s="68">
        <v>120</v>
      </c>
      <c r="E249" s="97">
        <v>-0.23200000000000001</v>
      </c>
      <c r="F249" s="97">
        <v>8.3000000000000007</v>
      </c>
      <c r="G249" s="97">
        <v>2</v>
      </c>
      <c r="H249" s="68"/>
      <c r="I249" s="69">
        <f t="shared" si="131"/>
        <v>120</v>
      </c>
      <c r="J249" s="155">
        <f t="shared" si="132"/>
        <v>-0.46400000000000002</v>
      </c>
      <c r="K249" s="70">
        <f t="shared" si="133"/>
        <v>0.48287442638509787</v>
      </c>
      <c r="L249" s="68"/>
      <c r="M249" s="81">
        <f t="shared" si="134"/>
        <v>2.0000000000000018E-3</v>
      </c>
      <c r="N249" s="34">
        <f t="shared" si="134"/>
        <v>0</v>
      </c>
      <c r="O249" s="36"/>
      <c r="P249" s="7"/>
      <c r="Q249" s="21">
        <f t="shared" si="135"/>
        <v>2.0000000000000018E-2</v>
      </c>
      <c r="R249" s="4">
        <f t="shared" si="136"/>
        <v>0</v>
      </c>
      <c r="X249" s="4">
        <f t="shared" si="137"/>
        <v>2.0000000000000018E-2</v>
      </c>
      <c r="Y249" s="4">
        <f t="shared" si="137"/>
        <v>0</v>
      </c>
    </row>
    <row r="250" spans="1:25" x14ac:dyDescent="0.2">
      <c r="A250" s="68">
        <v>250</v>
      </c>
      <c r="B250" s="68"/>
      <c r="C250" s="68"/>
      <c r="D250" s="68"/>
      <c r="E250" s="68"/>
      <c r="F250" s="68"/>
      <c r="G250" s="125"/>
      <c r="H250" s="68"/>
      <c r="I250" s="68"/>
      <c r="J250" s="23"/>
      <c r="K250" s="68"/>
      <c r="L250" s="68"/>
      <c r="M250" s="91"/>
      <c r="N250" s="80"/>
      <c r="O250" s="36"/>
      <c r="X250" s="4"/>
      <c r="Y250" s="4"/>
    </row>
    <row r="251" spans="1:25" x14ac:dyDescent="0.2">
      <c r="A251" s="68">
        <v>251</v>
      </c>
      <c r="B251" s="68"/>
      <c r="C251" s="85">
        <f>B5A0VA</f>
        <v>2.1000057980615688E-2</v>
      </c>
      <c r="D251" s="68">
        <v>5</v>
      </c>
      <c r="E251" s="97">
        <v>-0.219</v>
      </c>
      <c r="F251" s="97">
        <v>12.9</v>
      </c>
      <c r="G251" s="97">
        <v>1</v>
      </c>
      <c r="H251" s="68"/>
      <c r="I251" s="69">
        <f t="shared" ref="I251:I257" si="138">0.1*D251/(5*0.02)</f>
        <v>5</v>
      </c>
      <c r="J251" s="155">
        <f t="shared" ref="J251:J257" si="139">E251*G251</f>
        <v>-0.219</v>
      </c>
      <c r="K251" s="70">
        <f t="shared" ref="K251:K257" si="140">100*RADIANS(G251*F251/60)</f>
        <v>0.37524578917878082</v>
      </c>
      <c r="L251" s="68"/>
      <c r="M251" s="81">
        <f t="shared" ref="M251:N257" si="141">J269-J251</f>
        <v>7.0000000000000062E-3</v>
      </c>
      <c r="N251" s="71">
        <f t="shared" si="141"/>
        <v>2.9088820866572385E-3</v>
      </c>
      <c r="O251" s="79"/>
      <c r="Q251" s="4">
        <f>M251*10</f>
        <v>7.0000000000000062E-2</v>
      </c>
      <c r="R251" s="4">
        <f>N251*10</f>
        <v>2.9088820866572385E-2</v>
      </c>
      <c r="X251" s="4">
        <f t="shared" si="137"/>
        <v>0.13000000000000012</v>
      </c>
      <c r="Y251" s="4">
        <f t="shared" si="137"/>
        <v>1.454441043328647E-2</v>
      </c>
    </row>
    <row r="252" spans="1:25" x14ac:dyDescent="0.2">
      <c r="A252" s="68">
        <v>252</v>
      </c>
      <c r="B252" s="68"/>
      <c r="C252" s="85">
        <f t="shared" ref="C252:C257" si="142">B5A0VA</f>
        <v>2.1000057980615688E-2</v>
      </c>
      <c r="D252" s="68">
        <v>10</v>
      </c>
      <c r="E252" s="97">
        <v>-0.183</v>
      </c>
      <c r="F252" s="97">
        <v>10.199999999999999</v>
      </c>
      <c r="G252" s="97">
        <v>1</v>
      </c>
      <c r="H252" s="68"/>
      <c r="I252" s="69">
        <f t="shared" si="138"/>
        <v>10</v>
      </c>
      <c r="J252" s="155">
        <f t="shared" si="139"/>
        <v>-0.183</v>
      </c>
      <c r="K252" s="70">
        <f t="shared" si="140"/>
        <v>0.29670597283903599</v>
      </c>
      <c r="L252" s="68"/>
      <c r="M252" s="81">
        <f t="shared" si="141"/>
        <v>2.0000000000000018E-3</v>
      </c>
      <c r="N252" s="71">
        <f t="shared" si="141"/>
        <v>5.8177641733144769E-3</v>
      </c>
      <c r="O252" s="79"/>
      <c r="Q252" s="4">
        <f t="shared" ref="Q252:Q257" si="143">M252*10</f>
        <v>2.0000000000000018E-2</v>
      </c>
      <c r="R252" s="4">
        <f t="shared" ref="R252:R257" si="144">N252*10</f>
        <v>5.8177641733144769E-2</v>
      </c>
      <c r="X252" s="4">
        <f t="shared" si="137"/>
        <v>4.0000000000000036E-2</v>
      </c>
      <c r="Y252" s="4">
        <f t="shared" si="137"/>
        <v>5.8177641733144769E-2</v>
      </c>
    </row>
    <row r="253" spans="1:25" x14ac:dyDescent="0.2">
      <c r="A253" s="68">
        <v>253</v>
      </c>
      <c r="B253" s="68"/>
      <c r="C253" s="85">
        <f t="shared" si="142"/>
        <v>2.1000057980615688E-2</v>
      </c>
      <c r="D253" s="68">
        <v>20</v>
      </c>
      <c r="E253" s="97">
        <v>-0.156</v>
      </c>
      <c r="F253" s="97">
        <v>8.1999999999999993</v>
      </c>
      <c r="G253" s="97">
        <v>1</v>
      </c>
      <c r="H253" s="68"/>
      <c r="I253" s="69">
        <f t="shared" si="138"/>
        <v>20</v>
      </c>
      <c r="J253" s="155">
        <f t="shared" si="139"/>
        <v>-0.156</v>
      </c>
      <c r="K253" s="70">
        <f t="shared" si="140"/>
        <v>0.23852833110589172</v>
      </c>
      <c r="L253" s="68"/>
      <c r="M253" s="81">
        <f t="shared" si="141"/>
        <v>3.0000000000000027E-3</v>
      </c>
      <c r="N253" s="71">
        <f t="shared" si="141"/>
        <v>5.8177641733144214E-3</v>
      </c>
      <c r="O253" s="79"/>
      <c r="Q253" s="4">
        <f t="shared" si="143"/>
        <v>3.0000000000000027E-2</v>
      </c>
      <c r="R253" s="4">
        <f t="shared" si="144"/>
        <v>5.8177641733144214E-2</v>
      </c>
      <c r="X253" s="4">
        <f t="shared" si="137"/>
        <v>3.0000000000000027E-2</v>
      </c>
      <c r="Y253" s="4">
        <f t="shared" si="137"/>
        <v>8.7266462599716876E-2</v>
      </c>
    </row>
    <row r="254" spans="1:25" x14ac:dyDescent="0.2">
      <c r="A254" s="68">
        <v>254</v>
      </c>
      <c r="B254" s="68"/>
      <c r="C254" s="85">
        <f t="shared" si="142"/>
        <v>2.1000057980615688E-2</v>
      </c>
      <c r="D254" s="68">
        <v>40</v>
      </c>
      <c r="E254" s="97">
        <v>-0.13900000000000001</v>
      </c>
      <c r="F254" s="97">
        <v>7.05</v>
      </c>
      <c r="G254" s="97">
        <v>1</v>
      </c>
      <c r="H254" s="68"/>
      <c r="I254" s="69">
        <f t="shared" si="138"/>
        <v>40</v>
      </c>
      <c r="J254" s="155">
        <f t="shared" si="139"/>
        <v>-0.13900000000000001</v>
      </c>
      <c r="K254" s="70">
        <f t="shared" si="140"/>
        <v>0.2050761871093337</v>
      </c>
      <c r="L254" s="68"/>
      <c r="M254" s="81">
        <f t="shared" si="141"/>
        <v>4.0000000000000036E-3</v>
      </c>
      <c r="N254" s="71">
        <f t="shared" si="141"/>
        <v>1.454441043328647E-3</v>
      </c>
      <c r="O254" s="79"/>
      <c r="Q254" s="4">
        <f t="shared" si="143"/>
        <v>4.0000000000000036E-2</v>
      </c>
      <c r="R254" s="21">
        <f t="shared" si="144"/>
        <v>1.454441043328647E-2</v>
      </c>
      <c r="X254" s="4">
        <f t="shared" si="137"/>
        <v>5.0000000000000044E-2</v>
      </c>
      <c r="Y254" s="4">
        <f t="shared" si="137"/>
        <v>1.454441043328647E-2</v>
      </c>
    </row>
    <row r="255" spans="1:25" x14ac:dyDescent="0.2">
      <c r="A255" s="68">
        <v>255</v>
      </c>
      <c r="B255" s="68"/>
      <c r="C255" s="85">
        <f t="shared" si="142"/>
        <v>2.1000057980615688E-2</v>
      </c>
      <c r="D255" s="68">
        <v>60</v>
      </c>
      <c r="E255" s="97">
        <v>-0.13</v>
      </c>
      <c r="F255" s="97">
        <v>6.55</v>
      </c>
      <c r="G255" s="97">
        <v>1</v>
      </c>
      <c r="H255" s="68"/>
      <c r="I255" s="69">
        <f t="shared" si="138"/>
        <v>60</v>
      </c>
      <c r="J255" s="155">
        <f t="shared" si="139"/>
        <v>-0.13</v>
      </c>
      <c r="K255" s="70">
        <f t="shared" si="140"/>
        <v>0.19053177667604765</v>
      </c>
      <c r="L255" s="68"/>
      <c r="M255" s="81">
        <f t="shared" si="141"/>
        <v>2.0000000000000018E-3</v>
      </c>
      <c r="N255" s="71">
        <f t="shared" si="141"/>
        <v>1.4544410433285915E-3</v>
      </c>
      <c r="O255" s="79"/>
      <c r="Q255" s="4">
        <f t="shared" si="143"/>
        <v>2.0000000000000018E-2</v>
      </c>
      <c r="R255" s="21">
        <f t="shared" si="144"/>
        <v>1.4544410433285915E-2</v>
      </c>
      <c r="X255" s="4">
        <f t="shared" si="137"/>
        <v>3.0000000000000027E-2</v>
      </c>
      <c r="Y255" s="4">
        <f t="shared" si="137"/>
        <v>1.4544410433285915E-2</v>
      </c>
    </row>
    <row r="256" spans="1:25" x14ac:dyDescent="0.2">
      <c r="A256" s="68">
        <v>256</v>
      </c>
      <c r="B256" s="68"/>
      <c r="C256" s="85">
        <f t="shared" si="142"/>
        <v>2.1000057980615688E-2</v>
      </c>
      <c r="D256" s="68">
        <v>100</v>
      </c>
      <c r="E256" s="97">
        <v>-0.121</v>
      </c>
      <c r="F256" s="97">
        <v>6</v>
      </c>
      <c r="G256" s="97">
        <v>1</v>
      </c>
      <c r="H256" s="68"/>
      <c r="I256" s="69">
        <f t="shared" si="138"/>
        <v>100</v>
      </c>
      <c r="J256" s="155">
        <f t="shared" si="139"/>
        <v>-0.121</v>
      </c>
      <c r="K256" s="70">
        <f t="shared" si="140"/>
        <v>0.17453292519943295</v>
      </c>
      <c r="L256" s="68"/>
      <c r="M256" s="81">
        <f t="shared" si="141"/>
        <v>1.0000000000000009E-3</v>
      </c>
      <c r="N256" s="71">
        <f t="shared" si="141"/>
        <v>1.4544410433285915E-3</v>
      </c>
      <c r="O256" s="79"/>
      <c r="Q256" s="4">
        <f t="shared" si="143"/>
        <v>1.0000000000000009E-2</v>
      </c>
      <c r="R256" s="4">
        <f t="shared" si="144"/>
        <v>1.4544410433285915E-2</v>
      </c>
      <c r="X256" s="4">
        <f t="shared" si="137"/>
        <v>2.0000000000000018E-2</v>
      </c>
      <c r="Y256" s="4">
        <f t="shared" si="137"/>
        <v>1.4544410433285915E-2</v>
      </c>
    </row>
    <row r="257" spans="1:25" x14ac:dyDescent="0.2">
      <c r="A257" s="68">
        <v>257</v>
      </c>
      <c r="B257" s="68"/>
      <c r="C257" s="85">
        <f t="shared" si="142"/>
        <v>2.1000057980615688E-2</v>
      </c>
      <c r="D257" s="68">
        <v>120</v>
      </c>
      <c r="E257" s="97">
        <v>-0.11899999999999999</v>
      </c>
      <c r="F257" s="97">
        <v>5.9</v>
      </c>
      <c r="G257" s="97">
        <v>1</v>
      </c>
      <c r="H257" s="68"/>
      <c r="I257" s="69">
        <f t="shared" si="138"/>
        <v>120</v>
      </c>
      <c r="J257" s="155">
        <f t="shared" si="139"/>
        <v>-0.11899999999999999</v>
      </c>
      <c r="K257" s="70">
        <f t="shared" si="140"/>
        <v>0.17162404311277576</v>
      </c>
      <c r="L257" s="68"/>
      <c r="M257" s="166">
        <f t="shared" si="141"/>
        <v>1.0000000000000009E-3</v>
      </c>
      <c r="N257" s="66">
        <f t="shared" si="141"/>
        <v>0</v>
      </c>
      <c r="O257" s="40"/>
      <c r="Q257" s="21">
        <f t="shared" si="143"/>
        <v>1.0000000000000009E-2</v>
      </c>
      <c r="R257" s="4">
        <f t="shared" si="144"/>
        <v>0</v>
      </c>
      <c r="X257" s="4">
        <f t="shared" si="137"/>
        <v>2.0000000000000018E-2</v>
      </c>
      <c r="Y257" s="4">
        <f t="shared" si="137"/>
        <v>-2.9088820866572385E-2</v>
      </c>
    </row>
    <row r="258" spans="1:25" x14ac:dyDescent="0.2">
      <c r="A258" s="68">
        <v>258</v>
      </c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</row>
    <row r="259" spans="1:25" x14ac:dyDescent="0.2">
      <c r="A259" s="68">
        <v>259</v>
      </c>
      <c r="B259" s="96" t="str">
        <f>O264&amp;"/5 Range, "&amp;O265&amp;" turns @ "&amp;O268&amp;"VA burden, vs "&amp;O267&amp;" AT, "&amp;O266&amp;" range, 2 Stage CT"</f>
        <v>200/5 Range, 1 turns @ 5VA burden, vs 120 AT, 200 range, 2 Stage CT</v>
      </c>
      <c r="C259" s="68"/>
      <c r="D259" s="68"/>
      <c r="E259" s="68"/>
      <c r="F259" s="68"/>
      <c r="G259" s="68"/>
      <c r="H259" s="68"/>
      <c r="I259" s="98"/>
    </row>
    <row r="260" spans="1:25" x14ac:dyDescent="0.2">
      <c r="A260" s="68">
        <v>260</v>
      </c>
      <c r="B260" s="96" t="s">
        <v>491</v>
      </c>
      <c r="C260" s="98" t="s">
        <v>121</v>
      </c>
      <c r="D260" s="68"/>
      <c r="E260" s="68"/>
      <c r="F260" s="68"/>
      <c r="G260" s="68"/>
      <c r="H260" s="68"/>
      <c r="I260" s="68"/>
    </row>
    <row r="261" spans="1:25" x14ac:dyDescent="0.2">
      <c r="A261" s="68">
        <v>261</v>
      </c>
      <c r="B261" s="108">
        <v>42592</v>
      </c>
      <c r="C261" s="85">
        <f t="shared" ref="C261:C267" si="145">B5A5.0VA</f>
        <v>0.21600059637204713</v>
      </c>
      <c r="D261" s="68">
        <v>5</v>
      </c>
      <c r="E261" s="97">
        <v>-0.33700000000000002</v>
      </c>
      <c r="F261" s="97">
        <v>17.5</v>
      </c>
      <c r="G261" s="97">
        <v>2</v>
      </c>
      <c r="H261" s="68"/>
      <c r="I261" s="69">
        <f t="shared" ref="I261:I267" si="146">0.1*D261/(5*0.02)</f>
        <v>5</v>
      </c>
      <c r="J261" s="70">
        <f t="shared" ref="J261:J267" si="147">E261*G261</f>
        <v>-0.67400000000000004</v>
      </c>
      <c r="K261" s="70">
        <f t="shared" ref="K261:K267" si="148">100*RADIANS(G261*F261/60)</f>
        <v>1.0181087303300256</v>
      </c>
    </row>
    <row r="262" spans="1:25" x14ac:dyDescent="0.2">
      <c r="A262" s="68">
        <v>262</v>
      </c>
      <c r="B262" s="68"/>
      <c r="C262" s="85">
        <f t="shared" si="145"/>
        <v>0.21600059637204713</v>
      </c>
      <c r="D262" s="68">
        <v>10</v>
      </c>
      <c r="E262" s="97">
        <v>-0.30399999999999999</v>
      </c>
      <c r="F262" s="97">
        <v>15.4</v>
      </c>
      <c r="G262" s="97">
        <v>2</v>
      </c>
      <c r="H262" s="68"/>
      <c r="I262" s="69">
        <f t="shared" si="146"/>
        <v>10</v>
      </c>
      <c r="J262" s="70">
        <f t="shared" si="147"/>
        <v>-0.60799999999999998</v>
      </c>
      <c r="K262" s="70">
        <f t="shared" si="148"/>
        <v>0.89593568269042234</v>
      </c>
    </row>
    <row r="263" spans="1:25" x14ac:dyDescent="0.2">
      <c r="A263" s="68">
        <v>263</v>
      </c>
      <c r="B263" s="512" t="s">
        <v>84</v>
      </c>
      <c r="C263" s="85">
        <f t="shared" si="145"/>
        <v>0.21600059637204713</v>
      </c>
      <c r="D263" s="68">
        <v>20</v>
      </c>
      <c r="E263" s="97">
        <v>-0.27700000000000002</v>
      </c>
      <c r="F263" s="97">
        <v>13.5</v>
      </c>
      <c r="G263" s="97">
        <v>2</v>
      </c>
      <c r="H263" s="68"/>
      <c r="I263" s="69">
        <f t="shared" si="146"/>
        <v>20</v>
      </c>
      <c r="J263" s="70">
        <f t="shared" si="147"/>
        <v>-0.55400000000000005</v>
      </c>
      <c r="K263" s="70">
        <f t="shared" si="148"/>
        <v>0.78539816339744839</v>
      </c>
      <c r="L263" s="68"/>
    </row>
    <row r="264" spans="1:25" x14ac:dyDescent="0.2">
      <c r="A264" s="68">
        <v>264</v>
      </c>
      <c r="C264" s="85">
        <f t="shared" si="145"/>
        <v>0.21600059637204713</v>
      </c>
      <c r="D264" s="68">
        <v>40</v>
      </c>
      <c r="E264" s="97">
        <v>-0.253</v>
      </c>
      <c r="F264" s="97">
        <v>12.1</v>
      </c>
      <c r="G264" s="97">
        <v>2</v>
      </c>
      <c r="H264" s="68"/>
      <c r="I264" s="69">
        <f t="shared" si="146"/>
        <v>40</v>
      </c>
      <c r="J264" s="155">
        <f t="shared" si="147"/>
        <v>-0.50600000000000001</v>
      </c>
      <c r="K264" s="70">
        <f t="shared" si="148"/>
        <v>0.70394946497104616</v>
      </c>
      <c r="L264" s="68"/>
      <c r="N264" s="261" t="s">
        <v>364</v>
      </c>
      <c r="O264" s="97">
        <v>200</v>
      </c>
    </row>
    <row r="265" spans="1:25" x14ac:dyDescent="0.2">
      <c r="A265" s="68">
        <v>265</v>
      </c>
      <c r="B265" s="68"/>
      <c r="C265" s="85">
        <f t="shared" si="145"/>
        <v>0.21600059637204713</v>
      </c>
      <c r="D265" s="68">
        <v>60</v>
      </c>
      <c r="E265" s="97">
        <v>-0.248</v>
      </c>
      <c r="F265" s="97">
        <v>11</v>
      </c>
      <c r="G265" s="97">
        <v>2</v>
      </c>
      <c r="H265" s="68"/>
      <c r="I265" s="69">
        <f t="shared" si="146"/>
        <v>60</v>
      </c>
      <c r="J265" s="155">
        <f t="shared" si="147"/>
        <v>-0.496</v>
      </c>
      <c r="K265" s="70">
        <f t="shared" si="148"/>
        <v>0.63995405906458747</v>
      </c>
      <c r="L265" s="68"/>
      <c r="N265" s="261" t="s">
        <v>365</v>
      </c>
      <c r="O265" s="97">
        <v>1</v>
      </c>
    </row>
    <row r="266" spans="1:25" x14ac:dyDescent="0.2">
      <c r="A266" s="68">
        <v>266</v>
      </c>
      <c r="B266" s="68"/>
      <c r="C266" s="85">
        <f t="shared" si="145"/>
        <v>0.21600059637204713</v>
      </c>
      <c r="D266" s="68">
        <v>100</v>
      </c>
      <c r="E266" s="97">
        <v>-0.23699999999999999</v>
      </c>
      <c r="F266" s="97">
        <v>9</v>
      </c>
      <c r="G266" s="97">
        <v>2</v>
      </c>
      <c r="H266" s="68"/>
      <c r="I266" s="69">
        <f t="shared" si="146"/>
        <v>100</v>
      </c>
      <c r="J266" s="155">
        <f t="shared" si="147"/>
        <v>-0.47399999999999998</v>
      </c>
      <c r="K266" s="70">
        <f t="shared" si="148"/>
        <v>0.52359877559829882</v>
      </c>
      <c r="L266" s="68"/>
      <c r="N266" s="261" t="s">
        <v>366</v>
      </c>
      <c r="O266" s="97">
        <v>200</v>
      </c>
    </row>
    <row r="267" spans="1:25" x14ac:dyDescent="0.2">
      <c r="A267" s="68">
        <v>267</v>
      </c>
      <c r="B267" s="68"/>
      <c r="C267" s="85">
        <f t="shared" si="145"/>
        <v>0.21600059637204713</v>
      </c>
      <c r="D267" s="68">
        <v>120</v>
      </c>
      <c r="E267" s="97">
        <v>-0.23100000000000001</v>
      </c>
      <c r="F267" s="97">
        <v>8.3000000000000007</v>
      </c>
      <c r="G267" s="97">
        <v>2</v>
      </c>
      <c r="H267" s="68"/>
      <c r="I267" s="69">
        <f t="shared" si="146"/>
        <v>120</v>
      </c>
      <c r="J267" s="155">
        <f t="shared" si="147"/>
        <v>-0.46200000000000002</v>
      </c>
      <c r="K267" s="70">
        <f t="shared" si="148"/>
        <v>0.48287442638509787</v>
      </c>
      <c r="L267" s="68"/>
      <c r="N267" s="261" t="s">
        <v>367</v>
      </c>
      <c r="O267" s="97">
        <v>120</v>
      </c>
    </row>
    <row r="268" spans="1:25" x14ac:dyDescent="0.2">
      <c r="A268" s="68">
        <v>268</v>
      </c>
      <c r="B268" s="68"/>
      <c r="C268" s="68"/>
      <c r="D268" s="68"/>
      <c r="E268" s="68"/>
      <c r="F268" s="68"/>
      <c r="G268" s="125"/>
      <c r="H268" s="68"/>
      <c r="I268" s="68"/>
      <c r="J268" s="23"/>
      <c r="K268" s="68"/>
      <c r="L268" s="68"/>
      <c r="O268" s="370">
        <v>5</v>
      </c>
    </row>
    <row r="269" spans="1:25" x14ac:dyDescent="0.2">
      <c r="A269" s="68">
        <v>269</v>
      </c>
      <c r="B269" s="68"/>
      <c r="C269" s="85">
        <f>B5A0VA</f>
        <v>2.1000057980615688E-2</v>
      </c>
      <c r="D269" s="68">
        <v>5</v>
      </c>
      <c r="E269" s="97">
        <v>-0.21199999999999999</v>
      </c>
      <c r="F269" s="97">
        <v>13</v>
      </c>
      <c r="G269" s="97">
        <v>1</v>
      </c>
      <c r="H269" s="68"/>
      <c r="I269" s="69">
        <f t="shared" ref="I269:I275" si="149">0.1*D269/(5*0.02)</f>
        <v>5</v>
      </c>
      <c r="J269" s="155">
        <f t="shared" ref="J269:J275" si="150">E269*G269</f>
        <v>-0.21199999999999999</v>
      </c>
      <c r="K269" s="70">
        <f t="shared" ref="K269:K275" si="151">100*RADIANS(G269*F269/60)</f>
        <v>0.37815467126543806</v>
      </c>
      <c r="L269" s="68"/>
    </row>
    <row r="270" spans="1:25" x14ac:dyDescent="0.2">
      <c r="A270" s="68">
        <v>270</v>
      </c>
      <c r="B270" s="68"/>
      <c r="C270" s="85">
        <f t="shared" ref="C270:C275" si="152">B5A0VA</f>
        <v>2.1000057980615688E-2</v>
      </c>
      <c r="D270" s="68">
        <v>10</v>
      </c>
      <c r="E270" s="97">
        <v>-0.18099999999999999</v>
      </c>
      <c r="F270" s="97">
        <v>10.4</v>
      </c>
      <c r="G270" s="97">
        <v>1</v>
      </c>
      <c r="H270" s="68"/>
      <c r="I270" s="69">
        <f t="shared" si="149"/>
        <v>10</v>
      </c>
      <c r="J270" s="155">
        <f t="shared" si="150"/>
        <v>-0.18099999999999999</v>
      </c>
      <c r="K270" s="70">
        <f t="shared" si="151"/>
        <v>0.30252373701235047</v>
      </c>
      <c r="L270" s="68"/>
    </row>
    <row r="271" spans="1:25" x14ac:dyDescent="0.2">
      <c r="A271" s="68">
        <v>271</v>
      </c>
      <c r="B271" s="68"/>
      <c r="C271" s="85">
        <f t="shared" si="152"/>
        <v>2.1000057980615688E-2</v>
      </c>
      <c r="D271" s="68">
        <v>20</v>
      </c>
      <c r="E271" s="97">
        <v>-0.153</v>
      </c>
      <c r="F271" s="97">
        <v>8.4</v>
      </c>
      <c r="G271" s="97">
        <v>1</v>
      </c>
      <c r="H271" s="68"/>
      <c r="I271" s="69">
        <f t="shared" si="149"/>
        <v>20</v>
      </c>
      <c r="J271" s="155">
        <f t="shared" si="150"/>
        <v>-0.153</v>
      </c>
      <c r="K271" s="70">
        <f t="shared" si="151"/>
        <v>0.24434609527920614</v>
      </c>
      <c r="L271" s="68"/>
    </row>
    <row r="272" spans="1:25" x14ac:dyDescent="0.2">
      <c r="A272" s="68">
        <v>272</v>
      </c>
      <c r="B272" s="68"/>
      <c r="C272" s="85">
        <f t="shared" si="152"/>
        <v>2.1000057980615688E-2</v>
      </c>
      <c r="D272" s="68">
        <v>40</v>
      </c>
      <c r="E272" s="97">
        <v>-0.13500000000000001</v>
      </c>
      <c r="F272" s="97">
        <v>7.1</v>
      </c>
      <c r="G272" s="97">
        <v>1</v>
      </c>
      <c r="H272" s="68"/>
      <c r="I272" s="69">
        <f t="shared" si="149"/>
        <v>40</v>
      </c>
      <c r="J272" s="155">
        <f t="shared" si="150"/>
        <v>-0.13500000000000001</v>
      </c>
      <c r="K272" s="70">
        <f t="shared" si="151"/>
        <v>0.20653062815266235</v>
      </c>
      <c r="L272" s="68"/>
    </row>
    <row r="273" spans="1:15" x14ac:dyDescent="0.2">
      <c r="A273" s="68">
        <v>273</v>
      </c>
      <c r="B273" s="68"/>
      <c r="C273" s="85">
        <f t="shared" si="152"/>
        <v>2.1000057980615688E-2</v>
      </c>
      <c r="D273" s="68">
        <v>60</v>
      </c>
      <c r="E273" s="97">
        <v>-0.128</v>
      </c>
      <c r="F273" s="97">
        <v>6.6</v>
      </c>
      <c r="G273" s="97">
        <v>1</v>
      </c>
      <c r="H273" s="68"/>
      <c r="I273" s="69">
        <f t="shared" si="149"/>
        <v>60</v>
      </c>
      <c r="J273" s="155">
        <f t="shared" si="150"/>
        <v>-0.128</v>
      </c>
      <c r="K273" s="70">
        <f t="shared" si="151"/>
        <v>0.19198621771937624</v>
      </c>
      <c r="L273" s="68"/>
    </row>
    <row r="274" spans="1:15" x14ac:dyDescent="0.2">
      <c r="A274" s="68">
        <v>274</v>
      </c>
      <c r="B274" s="68"/>
      <c r="C274" s="85">
        <f t="shared" si="152"/>
        <v>2.1000057980615688E-2</v>
      </c>
      <c r="D274" s="68">
        <v>100</v>
      </c>
      <c r="E274" s="97">
        <v>-0.12</v>
      </c>
      <c r="F274" s="97">
        <v>6.05</v>
      </c>
      <c r="G274" s="97">
        <v>1</v>
      </c>
      <c r="H274" s="68"/>
      <c r="I274" s="69">
        <f t="shared" si="149"/>
        <v>100</v>
      </c>
      <c r="J274" s="155">
        <f t="shared" si="150"/>
        <v>-0.12</v>
      </c>
      <c r="K274" s="70">
        <f t="shared" si="151"/>
        <v>0.17598736624276154</v>
      </c>
      <c r="L274" s="68"/>
    </row>
    <row r="275" spans="1:15" x14ac:dyDescent="0.2">
      <c r="A275" s="68">
        <v>275</v>
      </c>
      <c r="B275" s="68"/>
      <c r="C275" s="85">
        <f t="shared" si="152"/>
        <v>2.1000057980615688E-2</v>
      </c>
      <c r="D275" s="68">
        <v>120</v>
      </c>
      <c r="E275" s="97">
        <v>-0.11799999999999999</v>
      </c>
      <c r="F275" s="97">
        <v>5.9</v>
      </c>
      <c r="G275" s="97">
        <v>1</v>
      </c>
      <c r="H275" s="68"/>
      <c r="I275" s="69">
        <f t="shared" si="149"/>
        <v>120</v>
      </c>
      <c r="J275" s="155">
        <f t="shared" si="150"/>
        <v>-0.11799999999999999</v>
      </c>
      <c r="K275" s="70">
        <f t="shared" si="151"/>
        <v>0.17162404311277576</v>
      </c>
      <c r="L275" s="68"/>
    </row>
    <row r="276" spans="1:15" x14ac:dyDescent="0.2">
      <c r="A276" s="68">
        <v>276</v>
      </c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</row>
    <row r="277" spans="1:15" x14ac:dyDescent="0.2">
      <c r="A277" s="68">
        <v>277</v>
      </c>
      <c r="B277" s="96" t="str">
        <f>O282&amp;"/5 Range, "&amp;O283&amp;" turns @ "&amp;O286&amp;"VA burden, vs "&amp;O285&amp;" AT, "&amp;O284&amp;" range, 2 Stage CT"</f>
        <v>200/5 Range, 1 turns @ 5VA burden, vs 120 AT, 200 range, 2 Stage CT</v>
      </c>
      <c r="C277" s="68"/>
      <c r="D277" s="68"/>
      <c r="E277" s="68"/>
      <c r="F277" s="68"/>
      <c r="G277" s="68"/>
      <c r="H277" s="68"/>
      <c r="I277" s="98"/>
    </row>
    <row r="278" spans="1:15" x14ac:dyDescent="0.2">
      <c r="A278" s="68">
        <v>278</v>
      </c>
      <c r="B278" s="96" t="s">
        <v>491</v>
      </c>
      <c r="C278" s="98" t="s">
        <v>121</v>
      </c>
      <c r="D278" s="68"/>
      <c r="E278" s="68"/>
      <c r="F278" s="68"/>
      <c r="G278" s="68"/>
      <c r="H278" s="68"/>
      <c r="I278" s="68"/>
    </row>
    <row r="279" spans="1:15" x14ac:dyDescent="0.2">
      <c r="A279" s="68">
        <v>279</v>
      </c>
      <c r="B279" s="108">
        <v>42592</v>
      </c>
      <c r="C279" s="85">
        <f t="shared" ref="C279:C285" si="153">B5A5.0VA</f>
        <v>0.21600059637204713</v>
      </c>
      <c r="D279" s="68">
        <v>5</v>
      </c>
      <c r="E279" s="97">
        <v>-0.104</v>
      </c>
      <c r="F279" s="97">
        <v>1.79</v>
      </c>
      <c r="G279" s="97">
        <v>10</v>
      </c>
      <c r="H279" s="68"/>
      <c r="I279" s="69">
        <f t="shared" ref="I279:I285" si="154">0.1*D279/(5*0.02)</f>
        <v>5</v>
      </c>
      <c r="J279" s="70">
        <f t="shared" ref="J279:J285" si="155">E279*G279</f>
        <v>-1.04</v>
      </c>
      <c r="K279" s="70">
        <f t="shared" ref="K279:K285" si="156">100*RADIANS(G279*F279/60)</f>
        <v>0.52068989351164152</v>
      </c>
    </row>
    <row r="280" spans="1:15" x14ac:dyDescent="0.2">
      <c r="A280" s="68">
        <v>280</v>
      </c>
      <c r="B280" s="68"/>
      <c r="C280" s="85">
        <f t="shared" si="153"/>
        <v>0.21600059637204713</v>
      </c>
      <c r="D280" s="68">
        <v>10</v>
      </c>
      <c r="E280" s="97">
        <v>-0.47199999999999998</v>
      </c>
      <c r="F280" s="97">
        <v>7.55</v>
      </c>
      <c r="G280" s="97">
        <v>2</v>
      </c>
      <c r="H280" s="68"/>
      <c r="I280" s="69">
        <f t="shared" si="154"/>
        <v>10</v>
      </c>
      <c r="J280" s="70">
        <f t="shared" si="155"/>
        <v>-0.94399999999999995</v>
      </c>
      <c r="K280" s="70">
        <f t="shared" si="156"/>
        <v>0.43924119508523957</v>
      </c>
    </row>
    <row r="281" spans="1:15" x14ac:dyDescent="0.2">
      <c r="A281" s="68">
        <v>281</v>
      </c>
      <c r="B281" s="98" t="s">
        <v>493</v>
      </c>
      <c r="C281" s="85">
        <f t="shared" si="153"/>
        <v>0.21600059637204713</v>
      </c>
      <c r="D281" s="68">
        <v>20</v>
      </c>
      <c r="E281" s="97">
        <v>-0.42</v>
      </c>
      <c r="F281" s="97">
        <v>6.5</v>
      </c>
      <c r="G281" s="97">
        <v>2</v>
      </c>
      <c r="H281" s="68"/>
      <c r="I281" s="69">
        <f t="shared" si="154"/>
        <v>20</v>
      </c>
      <c r="J281" s="70">
        <f t="shared" si="155"/>
        <v>-0.84</v>
      </c>
      <c r="K281" s="70">
        <f t="shared" si="156"/>
        <v>0.37815467126543806</v>
      </c>
      <c r="L281" s="68"/>
    </row>
    <row r="282" spans="1:15" x14ac:dyDescent="0.2">
      <c r="A282" s="68">
        <v>282</v>
      </c>
      <c r="B282" s="68"/>
      <c r="C282" s="85">
        <f t="shared" si="153"/>
        <v>0.21600059637204713</v>
      </c>
      <c r="D282" s="68">
        <v>40</v>
      </c>
      <c r="E282" s="97">
        <v>-0.38100000000000001</v>
      </c>
      <c r="F282" s="97">
        <v>5.6</v>
      </c>
      <c r="G282" s="97">
        <v>2</v>
      </c>
      <c r="H282" s="68"/>
      <c r="I282" s="69">
        <f t="shared" si="154"/>
        <v>40</v>
      </c>
      <c r="J282" s="155">
        <f t="shared" si="155"/>
        <v>-0.76200000000000001</v>
      </c>
      <c r="K282" s="70">
        <f t="shared" si="156"/>
        <v>0.32579479370560815</v>
      </c>
      <c r="L282" s="68"/>
      <c r="N282" s="261" t="s">
        <v>364</v>
      </c>
      <c r="O282" s="97">
        <v>200</v>
      </c>
    </row>
    <row r="283" spans="1:15" x14ac:dyDescent="0.2">
      <c r="A283" s="68">
        <v>283</v>
      </c>
      <c r="B283" s="68"/>
      <c r="C283" s="85">
        <f t="shared" si="153"/>
        <v>0.21600059637204713</v>
      </c>
      <c r="D283" s="68">
        <v>60</v>
      </c>
      <c r="E283" s="97">
        <v>-0.36099999999999999</v>
      </c>
      <c r="F283" s="97">
        <v>4.9000000000000004</v>
      </c>
      <c r="G283" s="97">
        <v>2</v>
      </c>
      <c r="H283" s="68"/>
      <c r="I283" s="69">
        <f t="shared" si="154"/>
        <v>60</v>
      </c>
      <c r="J283" s="155">
        <f t="shared" si="155"/>
        <v>-0.72199999999999998</v>
      </c>
      <c r="K283" s="70">
        <f t="shared" si="156"/>
        <v>0.2850704444924072</v>
      </c>
      <c r="L283" s="68"/>
      <c r="N283" s="261" t="s">
        <v>365</v>
      </c>
      <c r="O283" s="97">
        <v>1</v>
      </c>
    </row>
    <row r="284" spans="1:15" x14ac:dyDescent="0.2">
      <c r="A284" s="68">
        <v>284</v>
      </c>
      <c r="B284" s="68"/>
      <c r="C284" s="85">
        <f t="shared" si="153"/>
        <v>0.21600059637204713</v>
      </c>
      <c r="D284" s="68">
        <v>100</v>
      </c>
      <c r="E284" s="97">
        <v>-0.32600000000000001</v>
      </c>
      <c r="F284" s="97">
        <v>3.45</v>
      </c>
      <c r="G284" s="97">
        <v>2</v>
      </c>
      <c r="H284" s="68"/>
      <c r="I284" s="69">
        <f t="shared" si="154"/>
        <v>100</v>
      </c>
      <c r="J284" s="155">
        <f t="shared" si="155"/>
        <v>-0.65200000000000002</v>
      </c>
      <c r="K284" s="70">
        <f t="shared" si="156"/>
        <v>0.2007128639793479</v>
      </c>
      <c r="L284" s="68"/>
      <c r="N284" s="261" t="s">
        <v>366</v>
      </c>
      <c r="O284" s="97">
        <v>200</v>
      </c>
    </row>
    <row r="285" spans="1:15" x14ac:dyDescent="0.2">
      <c r="A285" s="68">
        <v>285</v>
      </c>
      <c r="B285" s="68"/>
      <c r="C285" s="85">
        <f t="shared" si="153"/>
        <v>0.21600059637204713</v>
      </c>
      <c r="D285" s="68">
        <v>120</v>
      </c>
      <c r="E285" s="97">
        <v>-0.311</v>
      </c>
      <c r="F285" s="97">
        <v>3</v>
      </c>
      <c r="G285" s="97">
        <v>2</v>
      </c>
      <c r="H285" s="68"/>
      <c r="I285" s="69">
        <f t="shared" si="154"/>
        <v>120</v>
      </c>
      <c r="J285" s="155">
        <f t="shared" si="155"/>
        <v>-0.622</v>
      </c>
      <c r="K285" s="70">
        <f t="shared" si="156"/>
        <v>0.17453292519943295</v>
      </c>
      <c r="L285" s="68"/>
      <c r="N285" s="261" t="s">
        <v>367</v>
      </c>
      <c r="O285" s="97">
        <v>120</v>
      </c>
    </row>
    <row r="286" spans="1:15" x14ac:dyDescent="0.2">
      <c r="A286" s="68">
        <v>286</v>
      </c>
      <c r="B286" s="68"/>
      <c r="C286" s="68"/>
      <c r="D286" s="68"/>
      <c r="E286" s="68"/>
      <c r="F286" s="68"/>
      <c r="G286" s="125"/>
      <c r="H286" s="68"/>
      <c r="I286" s="68"/>
      <c r="J286" s="23"/>
      <c r="K286" s="68"/>
      <c r="L286" s="68"/>
      <c r="O286" s="370">
        <v>5</v>
      </c>
    </row>
    <row r="287" spans="1:15" x14ac:dyDescent="0.2">
      <c r="A287" s="68">
        <v>287</v>
      </c>
      <c r="B287" s="68"/>
      <c r="C287" s="85">
        <f>B5A0VA</f>
        <v>2.1000057980615688E-2</v>
      </c>
      <c r="D287" s="68">
        <v>5</v>
      </c>
      <c r="E287" s="499">
        <v>-0.21199999999999999</v>
      </c>
      <c r="F287" s="499">
        <v>13</v>
      </c>
      <c r="G287" s="499">
        <v>1</v>
      </c>
      <c r="H287" s="68"/>
      <c r="I287" s="69">
        <f t="shared" ref="I287:I293" si="157">0.1*D287/(5*0.02)</f>
        <v>5</v>
      </c>
      <c r="J287" s="155">
        <f t="shared" ref="J287:J293" si="158">E287*G287</f>
        <v>-0.21199999999999999</v>
      </c>
      <c r="K287" s="70">
        <f t="shared" ref="K287:K293" si="159">100*RADIANS(G287*F287/60)</f>
        <v>0.37815467126543806</v>
      </c>
      <c r="L287" s="68"/>
    </row>
    <row r="288" spans="1:15" x14ac:dyDescent="0.2">
      <c r="A288" s="68">
        <v>288</v>
      </c>
      <c r="B288" s="68"/>
      <c r="C288" s="85">
        <f t="shared" ref="C288:C293" si="160">B5A0VA</f>
        <v>2.1000057980615688E-2</v>
      </c>
      <c r="D288" s="68">
        <v>10</v>
      </c>
      <c r="E288" s="499">
        <v>-0.18099999999999999</v>
      </c>
      <c r="F288" s="499">
        <v>10.4</v>
      </c>
      <c r="G288" s="499">
        <v>1</v>
      </c>
      <c r="H288" s="68"/>
      <c r="I288" s="69">
        <f t="shared" si="157"/>
        <v>10</v>
      </c>
      <c r="J288" s="155">
        <f t="shared" si="158"/>
        <v>-0.18099999999999999</v>
      </c>
      <c r="K288" s="70">
        <f t="shared" si="159"/>
        <v>0.30252373701235047</v>
      </c>
      <c r="L288" s="68"/>
    </row>
    <row r="289" spans="1:18" x14ac:dyDescent="0.2">
      <c r="A289" s="68">
        <v>289</v>
      </c>
      <c r="B289" s="68"/>
      <c r="C289" s="85">
        <f t="shared" si="160"/>
        <v>2.1000057980615688E-2</v>
      </c>
      <c r="D289" s="68">
        <v>20</v>
      </c>
      <c r="E289" s="499">
        <v>-0.153</v>
      </c>
      <c r="F289" s="499">
        <v>8.4</v>
      </c>
      <c r="G289" s="499">
        <v>1</v>
      </c>
      <c r="H289" s="68"/>
      <c r="I289" s="69">
        <f t="shared" si="157"/>
        <v>20</v>
      </c>
      <c r="J289" s="155">
        <f t="shared" si="158"/>
        <v>-0.153</v>
      </c>
      <c r="K289" s="70">
        <f t="shared" si="159"/>
        <v>0.24434609527920614</v>
      </c>
      <c r="L289" s="68"/>
    </row>
    <row r="290" spans="1:18" x14ac:dyDescent="0.2">
      <c r="A290" s="68">
        <v>290</v>
      </c>
      <c r="B290" s="68"/>
      <c r="C290" s="85">
        <f t="shared" si="160"/>
        <v>2.1000057980615688E-2</v>
      </c>
      <c r="D290" s="68">
        <v>40</v>
      </c>
      <c r="E290" s="499">
        <v>-0.13500000000000001</v>
      </c>
      <c r="F290" s="499">
        <v>7.1</v>
      </c>
      <c r="G290" s="499">
        <v>1</v>
      </c>
      <c r="H290" s="68"/>
      <c r="I290" s="69">
        <f t="shared" si="157"/>
        <v>40</v>
      </c>
      <c r="J290" s="155">
        <f t="shared" si="158"/>
        <v>-0.13500000000000001</v>
      </c>
      <c r="K290" s="70">
        <f t="shared" si="159"/>
        <v>0.20653062815266235</v>
      </c>
      <c r="L290" s="68"/>
    </row>
    <row r="291" spans="1:18" x14ac:dyDescent="0.2">
      <c r="A291" s="68">
        <v>291</v>
      </c>
      <c r="B291" s="68"/>
      <c r="C291" s="85">
        <f t="shared" si="160"/>
        <v>2.1000057980615688E-2</v>
      </c>
      <c r="D291" s="68">
        <v>60</v>
      </c>
      <c r="E291" s="499">
        <v>-0.128</v>
      </c>
      <c r="F291" s="499">
        <v>6.6</v>
      </c>
      <c r="G291" s="499">
        <v>1</v>
      </c>
      <c r="H291" s="68"/>
      <c r="I291" s="69">
        <f t="shared" si="157"/>
        <v>60</v>
      </c>
      <c r="J291" s="155">
        <f t="shared" si="158"/>
        <v>-0.128</v>
      </c>
      <c r="K291" s="70">
        <f t="shared" si="159"/>
        <v>0.19198621771937624</v>
      </c>
      <c r="L291" s="68"/>
    </row>
    <row r="292" spans="1:18" x14ac:dyDescent="0.2">
      <c r="A292" s="68">
        <v>292</v>
      </c>
      <c r="B292" s="68"/>
      <c r="C292" s="85">
        <f t="shared" si="160"/>
        <v>2.1000057980615688E-2</v>
      </c>
      <c r="D292" s="68">
        <v>100</v>
      </c>
      <c r="E292" s="499">
        <v>-0.12</v>
      </c>
      <c r="F292" s="499">
        <v>6.05</v>
      </c>
      <c r="G292" s="499">
        <v>1</v>
      </c>
      <c r="H292" s="68"/>
      <c r="I292" s="69">
        <f t="shared" si="157"/>
        <v>100</v>
      </c>
      <c r="J292" s="155">
        <f t="shared" si="158"/>
        <v>-0.12</v>
      </c>
      <c r="K292" s="70">
        <f t="shared" si="159"/>
        <v>0.17598736624276154</v>
      </c>
      <c r="L292" s="68"/>
    </row>
    <row r="293" spans="1:18" x14ac:dyDescent="0.2">
      <c r="A293" s="68">
        <v>293</v>
      </c>
      <c r="B293" s="68"/>
      <c r="C293" s="85">
        <f t="shared" si="160"/>
        <v>2.1000057980615688E-2</v>
      </c>
      <c r="D293" s="68">
        <v>120</v>
      </c>
      <c r="E293" s="499">
        <v>-0.11799999999999999</v>
      </c>
      <c r="F293" s="499">
        <v>5.9</v>
      </c>
      <c r="G293" s="499">
        <v>1</v>
      </c>
      <c r="H293" s="68"/>
      <c r="I293" s="69">
        <f t="shared" si="157"/>
        <v>120</v>
      </c>
      <c r="J293" s="155">
        <f t="shared" si="158"/>
        <v>-0.11799999999999999</v>
      </c>
      <c r="K293" s="70">
        <f t="shared" si="159"/>
        <v>0.17162404311277576</v>
      </c>
      <c r="L293" s="68"/>
    </row>
    <row r="294" spans="1:18" x14ac:dyDescent="0.2">
      <c r="A294" s="68">
        <v>294</v>
      </c>
      <c r="B294" s="68"/>
      <c r="C294" s="85"/>
      <c r="D294" s="68"/>
      <c r="E294" s="68"/>
      <c r="F294" s="68"/>
      <c r="G294" s="68"/>
      <c r="H294" s="68"/>
      <c r="I294" s="68"/>
      <c r="J294" s="155"/>
      <c r="K294" s="70"/>
      <c r="L294" s="68"/>
    </row>
    <row r="295" spans="1:18" x14ac:dyDescent="0.2">
      <c r="A295" s="68">
        <v>295</v>
      </c>
      <c r="B295" s="96" t="str">
        <f>O300&amp;"/5 Range, "&amp;O301&amp;" turns @ "&amp;O304&amp;"VA burden, vs "&amp;O303&amp;" AT, "&amp;O302&amp;" range, 2 Stage CT"</f>
        <v>200/5 Range, 1 turns @ 1VA burden, vs 120 AT, 200 range, 2 Stage CT</v>
      </c>
      <c r="C295" s="68"/>
      <c r="D295" s="68"/>
      <c r="E295" s="68"/>
      <c r="F295" s="68"/>
      <c r="G295" s="68"/>
      <c r="H295" s="68"/>
      <c r="I295" s="98"/>
    </row>
    <row r="296" spans="1:18" x14ac:dyDescent="0.2">
      <c r="A296" s="68">
        <v>296</v>
      </c>
      <c r="B296" s="96" t="s">
        <v>491</v>
      </c>
      <c r="C296" s="98" t="s">
        <v>121</v>
      </c>
      <c r="D296" s="68"/>
      <c r="E296" s="68"/>
      <c r="F296" s="68"/>
      <c r="G296" s="68"/>
      <c r="H296" s="68"/>
      <c r="I296" s="68"/>
    </row>
    <row r="297" spans="1:18" x14ac:dyDescent="0.2">
      <c r="A297" s="68">
        <v>297</v>
      </c>
      <c r="B297" s="108">
        <v>42592</v>
      </c>
      <c r="C297" s="85">
        <f t="shared" ref="C297:C303" si="161">B5A5.0VA</f>
        <v>0.21600059637204713</v>
      </c>
      <c r="D297" s="68">
        <v>5</v>
      </c>
      <c r="E297" s="97">
        <v>-0.31900000000000001</v>
      </c>
      <c r="F297" s="97">
        <v>17.899999999999999</v>
      </c>
      <c r="G297" s="97">
        <v>1</v>
      </c>
      <c r="H297" s="68"/>
      <c r="I297" s="69">
        <f t="shared" ref="I297:I303" si="162">0.1*D297/(5*0.02)</f>
        <v>5</v>
      </c>
      <c r="J297" s="70">
        <f t="shared" ref="J297:J303" si="163">E297*G297</f>
        <v>-0.31900000000000001</v>
      </c>
      <c r="K297" s="70">
        <f t="shared" ref="K297:K303" si="164">100*RADIANS(G297*F297/60)</f>
        <v>0.52068989351164152</v>
      </c>
      <c r="Q297" s="4"/>
      <c r="R297" s="4"/>
    </row>
    <row r="298" spans="1:18" x14ac:dyDescent="0.2">
      <c r="A298" s="68">
        <v>298</v>
      </c>
      <c r="B298" s="68"/>
      <c r="C298" s="85">
        <f t="shared" si="161"/>
        <v>0.21600059637204713</v>
      </c>
      <c r="D298" s="68">
        <v>10</v>
      </c>
      <c r="E298" s="97">
        <v>-0.27300000000000002</v>
      </c>
      <c r="F298" s="97">
        <v>14.7</v>
      </c>
      <c r="G298" s="97">
        <v>1</v>
      </c>
      <c r="H298" s="68"/>
      <c r="I298" s="69">
        <f t="shared" si="162"/>
        <v>10</v>
      </c>
      <c r="J298" s="70">
        <f t="shared" si="163"/>
        <v>-0.27300000000000002</v>
      </c>
      <c r="K298" s="70">
        <f t="shared" si="164"/>
        <v>0.42760566673861078</v>
      </c>
      <c r="Q298" s="4"/>
      <c r="R298" s="4"/>
    </row>
    <row r="299" spans="1:18" x14ac:dyDescent="0.2">
      <c r="A299" s="68">
        <v>299</v>
      </c>
      <c r="B299" s="98" t="s">
        <v>494</v>
      </c>
      <c r="C299" s="85">
        <f t="shared" si="161"/>
        <v>0.21600059637204713</v>
      </c>
      <c r="D299" s="68">
        <v>20</v>
      </c>
      <c r="E299" s="97">
        <v>-0.23799999999999999</v>
      </c>
      <c r="F299" s="97">
        <v>12.3</v>
      </c>
      <c r="G299" s="97">
        <v>1</v>
      </c>
      <c r="H299" s="68"/>
      <c r="I299" s="69">
        <f t="shared" si="162"/>
        <v>20</v>
      </c>
      <c r="J299" s="70">
        <f t="shared" si="163"/>
        <v>-0.23799999999999999</v>
      </c>
      <c r="K299" s="70">
        <f t="shared" si="164"/>
        <v>0.35779249665883761</v>
      </c>
      <c r="L299" s="68"/>
      <c r="Q299" s="4"/>
      <c r="R299" s="4"/>
    </row>
    <row r="300" spans="1:18" x14ac:dyDescent="0.2">
      <c r="A300" s="68">
        <v>300</v>
      </c>
      <c r="B300" s="68"/>
      <c r="C300" s="85">
        <f t="shared" si="161"/>
        <v>0.21600059637204713</v>
      </c>
      <c r="D300" s="68">
        <v>40</v>
      </c>
      <c r="E300" s="97">
        <v>-0.216</v>
      </c>
      <c r="F300" s="97">
        <v>10.8</v>
      </c>
      <c r="G300" s="97">
        <v>1</v>
      </c>
      <c r="H300" s="68"/>
      <c r="I300" s="69">
        <f t="shared" si="162"/>
        <v>40</v>
      </c>
      <c r="J300" s="155">
        <f t="shared" si="163"/>
        <v>-0.216</v>
      </c>
      <c r="K300" s="70">
        <f t="shared" si="164"/>
        <v>0.31415926535897937</v>
      </c>
      <c r="L300" s="68"/>
      <c r="N300" s="261" t="s">
        <v>364</v>
      </c>
      <c r="O300" s="97">
        <v>200</v>
      </c>
      <c r="Q300" s="4"/>
      <c r="R300" s="4"/>
    </row>
    <row r="301" spans="1:18" x14ac:dyDescent="0.2">
      <c r="A301" s="68">
        <v>301</v>
      </c>
      <c r="B301" s="68"/>
      <c r="C301" s="85">
        <f t="shared" si="161"/>
        <v>0.21600059637204713</v>
      </c>
      <c r="D301" s="68">
        <v>60</v>
      </c>
      <c r="E301" s="97">
        <v>-0.20399999999999999</v>
      </c>
      <c r="F301" s="97">
        <v>10.050000000000001</v>
      </c>
      <c r="G301" s="97">
        <v>1</v>
      </c>
      <c r="H301" s="68"/>
      <c r="I301" s="69">
        <f t="shared" si="162"/>
        <v>60</v>
      </c>
      <c r="J301" s="155">
        <f t="shared" si="163"/>
        <v>-0.20399999999999999</v>
      </c>
      <c r="K301" s="70">
        <f t="shared" si="164"/>
        <v>0.29234264970905022</v>
      </c>
      <c r="L301" s="68"/>
      <c r="N301" s="261" t="s">
        <v>365</v>
      </c>
      <c r="O301" s="97">
        <v>1</v>
      </c>
      <c r="Q301" s="4"/>
      <c r="R301" s="4"/>
    </row>
    <row r="302" spans="1:18" x14ac:dyDescent="0.2">
      <c r="A302" s="68">
        <v>302</v>
      </c>
      <c r="B302" s="68"/>
      <c r="C302" s="85">
        <f t="shared" si="161"/>
        <v>0.21600059637204713</v>
      </c>
      <c r="D302" s="68">
        <v>100</v>
      </c>
      <c r="E302" s="97">
        <v>-0.192</v>
      </c>
      <c r="F302" s="97">
        <v>9.25</v>
      </c>
      <c r="G302" s="97">
        <v>1</v>
      </c>
      <c r="H302" s="68"/>
      <c r="I302" s="69">
        <f t="shared" si="162"/>
        <v>100</v>
      </c>
      <c r="J302" s="155">
        <f t="shared" si="163"/>
        <v>-0.192</v>
      </c>
      <c r="K302" s="70">
        <f t="shared" si="164"/>
        <v>0.26907159301579248</v>
      </c>
      <c r="L302" s="68"/>
      <c r="N302" s="261" t="s">
        <v>366</v>
      </c>
      <c r="O302" s="97">
        <v>200</v>
      </c>
      <c r="Q302" s="4"/>
      <c r="R302" s="4"/>
    </row>
    <row r="303" spans="1:18" x14ac:dyDescent="0.2">
      <c r="A303" s="68">
        <v>303</v>
      </c>
      <c r="B303" s="68"/>
      <c r="C303" s="85">
        <f t="shared" si="161"/>
        <v>0.21600059637204713</v>
      </c>
      <c r="D303" s="68">
        <v>120</v>
      </c>
      <c r="E303" s="97">
        <v>-0.189</v>
      </c>
      <c r="F303" s="97">
        <v>9</v>
      </c>
      <c r="G303" s="97">
        <v>1</v>
      </c>
      <c r="H303" s="68"/>
      <c r="I303" s="69">
        <f t="shared" si="162"/>
        <v>120</v>
      </c>
      <c r="J303" s="155">
        <f t="shared" si="163"/>
        <v>-0.189</v>
      </c>
      <c r="K303" s="70">
        <f t="shared" si="164"/>
        <v>0.26179938779914941</v>
      </c>
      <c r="L303" s="68"/>
      <c r="N303" s="261" t="s">
        <v>367</v>
      </c>
      <c r="O303" s="97">
        <v>120</v>
      </c>
      <c r="Q303" s="4"/>
      <c r="R303" s="4"/>
    </row>
    <row r="304" spans="1:18" x14ac:dyDescent="0.2">
      <c r="A304" s="68">
        <v>304</v>
      </c>
      <c r="B304" s="68"/>
      <c r="C304" s="68"/>
      <c r="D304" s="68"/>
      <c r="E304" s="68"/>
      <c r="F304" s="68"/>
      <c r="G304" s="125"/>
      <c r="H304" s="68"/>
      <c r="I304" s="68"/>
      <c r="J304" s="23"/>
      <c r="K304" s="68"/>
      <c r="L304" s="68"/>
      <c r="O304" s="370">
        <v>1</v>
      </c>
    </row>
    <row r="305" spans="1:15" x14ac:dyDescent="0.2">
      <c r="A305" s="68">
        <v>305</v>
      </c>
      <c r="B305" s="68"/>
      <c r="C305" s="85">
        <f>B5A0VA</f>
        <v>2.1000057980615688E-2</v>
      </c>
      <c r="D305" s="68">
        <v>5</v>
      </c>
      <c r="E305" s="499">
        <v>-0.21199999999999999</v>
      </c>
      <c r="F305" s="499">
        <v>13</v>
      </c>
      <c r="G305" s="499">
        <v>1</v>
      </c>
      <c r="H305" s="68"/>
      <c r="I305" s="69">
        <f t="shared" ref="I305:I311" si="165">0.1*D305/(5*0.02)</f>
        <v>5</v>
      </c>
      <c r="J305" s="155">
        <f t="shared" ref="J305:J311" si="166">E305*G305</f>
        <v>-0.21199999999999999</v>
      </c>
      <c r="K305" s="70">
        <f t="shared" ref="K305:K311" si="167">100*RADIANS(G305*F305/60)</f>
        <v>0.37815467126543806</v>
      </c>
      <c r="L305" s="68"/>
    </row>
    <row r="306" spans="1:15" x14ac:dyDescent="0.2">
      <c r="A306" s="68">
        <v>306</v>
      </c>
      <c r="B306" s="68"/>
      <c r="C306" s="85">
        <f t="shared" ref="C306:C311" si="168">B5A0VA</f>
        <v>2.1000057980615688E-2</v>
      </c>
      <c r="D306" s="68">
        <v>10</v>
      </c>
      <c r="E306" s="499">
        <v>-0.18099999999999999</v>
      </c>
      <c r="F306" s="499">
        <v>10.4</v>
      </c>
      <c r="G306" s="499">
        <v>1</v>
      </c>
      <c r="H306" s="68"/>
      <c r="I306" s="69">
        <f t="shared" si="165"/>
        <v>10</v>
      </c>
      <c r="J306" s="155">
        <f t="shared" si="166"/>
        <v>-0.18099999999999999</v>
      </c>
      <c r="K306" s="70">
        <f t="shared" si="167"/>
        <v>0.30252373701235047</v>
      </c>
      <c r="L306" s="68"/>
    </row>
    <row r="307" spans="1:15" x14ac:dyDescent="0.2">
      <c r="A307" s="68">
        <v>307</v>
      </c>
      <c r="B307" s="68"/>
      <c r="C307" s="85">
        <f t="shared" si="168"/>
        <v>2.1000057980615688E-2</v>
      </c>
      <c r="D307" s="68">
        <v>20</v>
      </c>
      <c r="E307" s="499">
        <v>-0.153</v>
      </c>
      <c r="F307" s="499">
        <v>8.4</v>
      </c>
      <c r="G307" s="499">
        <v>1</v>
      </c>
      <c r="H307" s="68"/>
      <c r="I307" s="69">
        <f t="shared" si="165"/>
        <v>20</v>
      </c>
      <c r="J307" s="155">
        <f t="shared" si="166"/>
        <v>-0.153</v>
      </c>
      <c r="K307" s="70">
        <f t="shared" si="167"/>
        <v>0.24434609527920614</v>
      </c>
      <c r="L307" s="68"/>
    </row>
    <row r="308" spans="1:15" x14ac:dyDescent="0.2">
      <c r="A308" s="68">
        <v>308</v>
      </c>
      <c r="B308" s="68"/>
      <c r="C308" s="85">
        <f t="shared" si="168"/>
        <v>2.1000057980615688E-2</v>
      </c>
      <c r="D308" s="68">
        <v>40</v>
      </c>
      <c r="E308" s="499">
        <v>-0.13500000000000001</v>
      </c>
      <c r="F308" s="499">
        <v>7.1</v>
      </c>
      <c r="G308" s="499">
        <v>1</v>
      </c>
      <c r="H308" s="68"/>
      <c r="I308" s="69">
        <f t="shared" si="165"/>
        <v>40</v>
      </c>
      <c r="J308" s="155">
        <f t="shared" si="166"/>
        <v>-0.13500000000000001</v>
      </c>
      <c r="K308" s="70">
        <f t="shared" si="167"/>
        <v>0.20653062815266235</v>
      </c>
      <c r="L308" s="68"/>
    </row>
    <row r="309" spans="1:15" x14ac:dyDescent="0.2">
      <c r="A309" s="68">
        <v>309</v>
      </c>
      <c r="B309" s="68"/>
      <c r="C309" s="85">
        <f t="shared" si="168"/>
        <v>2.1000057980615688E-2</v>
      </c>
      <c r="D309" s="68">
        <v>60</v>
      </c>
      <c r="E309" s="499">
        <v>-0.128</v>
      </c>
      <c r="F309" s="499">
        <v>6.6</v>
      </c>
      <c r="G309" s="499">
        <v>1</v>
      </c>
      <c r="H309" s="68"/>
      <c r="I309" s="69">
        <f t="shared" si="165"/>
        <v>60</v>
      </c>
      <c r="J309" s="155">
        <f t="shared" si="166"/>
        <v>-0.128</v>
      </c>
      <c r="K309" s="70">
        <f t="shared" si="167"/>
        <v>0.19198621771937624</v>
      </c>
      <c r="L309" s="68"/>
    </row>
    <row r="310" spans="1:15" x14ac:dyDescent="0.2">
      <c r="A310" s="68">
        <v>310</v>
      </c>
      <c r="B310" s="68"/>
      <c r="C310" s="85">
        <f t="shared" si="168"/>
        <v>2.1000057980615688E-2</v>
      </c>
      <c r="D310" s="68">
        <v>100</v>
      </c>
      <c r="E310" s="499">
        <v>-0.12</v>
      </c>
      <c r="F310" s="499">
        <v>6.05</v>
      </c>
      <c r="G310" s="499">
        <v>1</v>
      </c>
      <c r="H310" s="68"/>
      <c r="I310" s="69">
        <f t="shared" si="165"/>
        <v>100</v>
      </c>
      <c r="J310" s="155">
        <f t="shared" si="166"/>
        <v>-0.12</v>
      </c>
      <c r="K310" s="70">
        <f t="shared" si="167"/>
        <v>0.17598736624276154</v>
      </c>
      <c r="L310" s="68"/>
    </row>
    <row r="311" spans="1:15" x14ac:dyDescent="0.2">
      <c r="A311" s="68">
        <v>311</v>
      </c>
      <c r="B311" s="68"/>
      <c r="C311" s="85">
        <f t="shared" si="168"/>
        <v>2.1000057980615688E-2</v>
      </c>
      <c r="D311" s="68">
        <v>120</v>
      </c>
      <c r="E311" s="499">
        <v>-0.11799999999999999</v>
      </c>
      <c r="F311" s="499">
        <v>5.9</v>
      </c>
      <c r="G311" s="499">
        <v>1</v>
      </c>
      <c r="H311" s="68"/>
      <c r="I311" s="69">
        <f t="shared" si="165"/>
        <v>120</v>
      </c>
      <c r="J311" s="155">
        <f t="shared" si="166"/>
        <v>-0.11799999999999999</v>
      </c>
      <c r="K311" s="70">
        <f t="shared" si="167"/>
        <v>0.17162404311277576</v>
      </c>
      <c r="L311" s="68"/>
    </row>
    <row r="312" spans="1:15" x14ac:dyDescent="0.2">
      <c r="A312" s="68">
        <v>312</v>
      </c>
      <c r="B312" s="68"/>
      <c r="C312" s="85"/>
      <c r="D312" s="68"/>
      <c r="E312" s="68"/>
      <c r="F312" s="68"/>
      <c r="G312" s="68"/>
      <c r="H312" s="68"/>
      <c r="I312" s="69"/>
      <c r="J312" s="155"/>
      <c r="K312" s="70"/>
      <c r="L312" s="68"/>
    </row>
    <row r="313" spans="1:15" x14ac:dyDescent="0.2">
      <c r="A313" s="68">
        <v>313</v>
      </c>
      <c r="B313" s="96" t="str">
        <f>O318&amp;"/5 Range, "&amp;O319&amp;" turns @ "&amp;O322&amp;"VA burden, vs "&amp;O321&amp;" AT, "&amp;O320&amp;" range, 2 Stage CT"</f>
        <v>200/5 Range, 1 turns @ 5VA burden, vs 120 AT, 200 range, 2 Stage CT</v>
      </c>
      <c r="C313" s="68"/>
      <c r="D313" s="68"/>
      <c r="E313" s="68"/>
      <c r="F313" s="68"/>
      <c r="G313" s="68"/>
      <c r="H313" s="68"/>
      <c r="I313" s="98"/>
    </row>
    <row r="314" spans="1:15" x14ac:dyDescent="0.2">
      <c r="A314" s="68">
        <v>314</v>
      </c>
      <c r="B314" s="96" t="s">
        <v>491</v>
      </c>
      <c r="C314" s="98" t="s">
        <v>121</v>
      </c>
      <c r="D314" s="68"/>
      <c r="E314" s="68"/>
      <c r="F314" s="68"/>
      <c r="G314" s="68"/>
      <c r="H314" s="68"/>
      <c r="I314" s="68"/>
    </row>
    <row r="315" spans="1:15" x14ac:dyDescent="0.2">
      <c r="A315" s="68">
        <v>315</v>
      </c>
      <c r="B315" s="108">
        <v>42598</v>
      </c>
      <c r="C315" s="85">
        <f t="shared" ref="C315:C321" si="169">B5A5.0VA</f>
        <v>0.21600059637204713</v>
      </c>
      <c r="D315" s="68">
        <v>5</v>
      </c>
      <c r="E315" s="97">
        <v>-0.34100000000000003</v>
      </c>
      <c r="F315" s="97">
        <v>18.95</v>
      </c>
      <c r="G315" s="97">
        <v>2</v>
      </c>
      <c r="H315" s="68"/>
      <c r="I315" s="69">
        <f t="shared" ref="I315:I321" si="170">0.1*D315/(5*0.02)</f>
        <v>5</v>
      </c>
      <c r="J315" s="70">
        <f t="shared" ref="J315:J321" si="171">E315*G315</f>
        <v>-0.68200000000000005</v>
      </c>
      <c r="K315" s="70">
        <f t="shared" ref="K315:K321" si="172">100*RADIANS(G315*F315/60)</f>
        <v>1.1024663108430846</v>
      </c>
    </row>
    <row r="316" spans="1:15" x14ac:dyDescent="0.2">
      <c r="A316" s="68">
        <v>316</v>
      </c>
      <c r="B316" s="68"/>
      <c r="C316" s="85">
        <f t="shared" si="169"/>
        <v>0.21600059637204713</v>
      </c>
      <c r="D316" s="68">
        <v>10</v>
      </c>
      <c r="E316" s="97">
        <v>-0.30099999999999999</v>
      </c>
      <c r="F316" s="97">
        <v>16.399999999999999</v>
      </c>
      <c r="G316" s="97">
        <v>2</v>
      </c>
      <c r="H316" s="68"/>
      <c r="I316" s="69">
        <f t="shared" si="170"/>
        <v>10</v>
      </c>
      <c r="J316" s="70">
        <f t="shared" si="171"/>
        <v>-0.60199999999999998</v>
      </c>
      <c r="K316" s="70">
        <f t="shared" si="172"/>
        <v>0.95411332442356689</v>
      </c>
    </row>
    <row r="317" spans="1:15" x14ac:dyDescent="0.2">
      <c r="A317" s="68">
        <v>317</v>
      </c>
      <c r="B317" s="98" t="s">
        <v>500</v>
      </c>
      <c r="C317" s="85">
        <f t="shared" si="169"/>
        <v>0.21600059637204713</v>
      </c>
      <c r="D317" s="68">
        <v>20</v>
      </c>
      <c r="E317" s="97">
        <v>-0.27400000000000002</v>
      </c>
      <c r="F317" s="97">
        <v>14.2</v>
      </c>
      <c r="G317" s="97">
        <v>2</v>
      </c>
      <c r="H317" s="68"/>
      <c r="I317" s="69">
        <f t="shared" si="170"/>
        <v>20</v>
      </c>
      <c r="J317" s="70">
        <f t="shared" si="171"/>
        <v>-0.54800000000000004</v>
      </c>
      <c r="K317" s="70">
        <f t="shared" si="172"/>
        <v>0.8261225126106494</v>
      </c>
      <c r="L317" s="68"/>
    </row>
    <row r="318" spans="1:15" x14ac:dyDescent="0.2">
      <c r="A318" s="68">
        <v>318</v>
      </c>
      <c r="B318" s="68"/>
      <c r="C318" s="85">
        <f t="shared" si="169"/>
        <v>0.21600059637204713</v>
      </c>
      <c r="D318" s="68">
        <v>40</v>
      </c>
      <c r="E318" s="97">
        <v>-0.255</v>
      </c>
      <c r="F318" s="97">
        <v>12.4</v>
      </c>
      <c r="G318" s="97">
        <v>2</v>
      </c>
      <c r="H318" s="68"/>
      <c r="I318" s="69">
        <f t="shared" si="170"/>
        <v>40</v>
      </c>
      <c r="J318" s="155">
        <f t="shared" si="171"/>
        <v>-0.51</v>
      </c>
      <c r="K318" s="70">
        <f t="shared" si="172"/>
        <v>0.72140275749098959</v>
      </c>
      <c r="L318" s="68"/>
      <c r="N318" s="261" t="s">
        <v>364</v>
      </c>
      <c r="O318" s="97">
        <v>200</v>
      </c>
    </row>
    <row r="319" spans="1:15" x14ac:dyDescent="0.2">
      <c r="A319" s="68">
        <v>319</v>
      </c>
      <c r="B319" s="68"/>
      <c r="C319" s="85">
        <f t="shared" si="169"/>
        <v>0.21600059637204713</v>
      </c>
      <c r="D319" s="68">
        <v>60</v>
      </c>
      <c r="E319" s="97">
        <v>-0.249</v>
      </c>
      <c r="F319" s="97">
        <v>11.1</v>
      </c>
      <c r="G319" s="97">
        <v>2</v>
      </c>
      <c r="H319" s="68"/>
      <c r="I319" s="69">
        <f t="shared" si="170"/>
        <v>60</v>
      </c>
      <c r="J319" s="155">
        <f t="shared" si="171"/>
        <v>-0.498</v>
      </c>
      <c r="K319" s="70">
        <f t="shared" si="172"/>
        <v>0.64577182323790194</v>
      </c>
      <c r="L319" s="68"/>
      <c r="N319" s="261" t="s">
        <v>365</v>
      </c>
      <c r="O319" s="97">
        <v>1</v>
      </c>
    </row>
    <row r="320" spans="1:15" x14ac:dyDescent="0.2">
      <c r="A320" s="68">
        <v>320</v>
      </c>
      <c r="B320" s="68"/>
      <c r="C320" s="85">
        <f t="shared" si="169"/>
        <v>0.21600059637204713</v>
      </c>
      <c r="D320" s="68">
        <v>100</v>
      </c>
      <c r="E320" s="97">
        <v>-0.23899999999999999</v>
      </c>
      <c r="F320" s="97">
        <v>9.1</v>
      </c>
      <c r="G320" s="97">
        <v>2</v>
      </c>
      <c r="H320" s="68"/>
      <c r="I320" s="69">
        <f t="shared" si="170"/>
        <v>100</v>
      </c>
      <c r="J320" s="155">
        <f t="shared" si="171"/>
        <v>-0.47799999999999998</v>
      </c>
      <c r="K320" s="70">
        <f t="shared" si="172"/>
        <v>0.52941653977161329</v>
      </c>
      <c r="L320" s="68"/>
      <c r="N320" s="261" t="s">
        <v>366</v>
      </c>
      <c r="O320" s="97">
        <v>200</v>
      </c>
    </row>
    <row r="321" spans="1:15" x14ac:dyDescent="0.2">
      <c r="A321" s="68">
        <v>321</v>
      </c>
      <c r="B321" s="68"/>
      <c r="C321" s="85">
        <f t="shared" si="169"/>
        <v>0.21600059637204713</v>
      </c>
      <c r="D321" s="68">
        <v>120</v>
      </c>
      <c r="E321" s="97">
        <v>-0.23200000000000001</v>
      </c>
      <c r="F321" s="97">
        <v>8.3000000000000007</v>
      </c>
      <c r="G321" s="97">
        <v>2</v>
      </c>
      <c r="H321" s="68"/>
      <c r="I321" s="69">
        <f t="shared" si="170"/>
        <v>120</v>
      </c>
      <c r="J321" s="155">
        <f t="shared" si="171"/>
        <v>-0.46400000000000002</v>
      </c>
      <c r="K321" s="70">
        <f t="shared" si="172"/>
        <v>0.48287442638509787</v>
      </c>
      <c r="L321" s="68"/>
      <c r="N321" s="261" t="s">
        <v>367</v>
      </c>
      <c r="O321" s="97">
        <v>120</v>
      </c>
    </row>
    <row r="322" spans="1:15" x14ac:dyDescent="0.2">
      <c r="A322" s="68">
        <v>322</v>
      </c>
      <c r="B322" s="68"/>
      <c r="C322" s="68"/>
      <c r="D322" s="68"/>
      <c r="E322" s="68"/>
      <c r="F322" s="68"/>
      <c r="G322" s="125"/>
      <c r="H322" s="68"/>
      <c r="I322" s="68"/>
      <c r="J322" s="23"/>
      <c r="K322" s="68"/>
      <c r="L322" s="68"/>
      <c r="O322" s="370">
        <v>5</v>
      </c>
    </row>
    <row r="323" spans="1:15" x14ac:dyDescent="0.2">
      <c r="A323" s="68">
        <v>323</v>
      </c>
      <c r="B323" s="68"/>
      <c r="C323" s="85">
        <f>B5A0VA</f>
        <v>2.1000057980615688E-2</v>
      </c>
      <c r="D323" s="68">
        <v>5</v>
      </c>
      <c r="E323" s="97">
        <v>-0.22500000000000001</v>
      </c>
      <c r="F323" s="97">
        <v>13.7</v>
      </c>
      <c r="G323" s="97">
        <v>1</v>
      </c>
      <c r="H323" s="68"/>
      <c r="I323" s="69">
        <f t="shared" ref="I323:I329" si="173">0.1*D323/(5*0.02)</f>
        <v>5</v>
      </c>
      <c r="J323" s="155">
        <f t="shared" ref="J323:J329" si="174">E323*G323</f>
        <v>-0.22500000000000001</v>
      </c>
      <c r="K323" s="70">
        <f t="shared" ref="K323:K329" si="175">100*RADIANS(G323*F323/60)</f>
        <v>0.39851684587203862</v>
      </c>
      <c r="L323" s="68"/>
    </row>
    <row r="324" spans="1:15" x14ac:dyDescent="0.2">
      <c r="A324" s="68">
        <v>324</v>
      </c>
      <c r="B324" s="68"/>
      <c r="C324" s="85">
        <f t="shared" ref="C324:C329" si="176">B5A0VA</f>
        <v>2.1000057980615688E-2</v>
      </c>
      <c r="D324" s="68">
        <v>10</v>
      </c>
      <c r="E324" s="97">
        <v>-0.184</v>
      </c>
      <c r="F324" s="97">
        <v>10.4</v>
      </c>
      <c r="G324" s="97">
        <v>1</v>
      </c>
      <c r="H324" s="68"/>
      <c r="I324" s="69">
        <f t="shared" si="173"/>
        <v>10</v>
      </c>
      <c r="J324" s="155">
        <f t="shared" si="174"/>
        <v>-0.184</v>
      </c>
      <c r="K324" s="70">
        <f t="shared" si="175"/>
        <v>0.30252373701235047</v>
      </c>
      <c r="L324" s="68"/>
    </row>
    <row r="325" spans="1:15" x14ac:dyDescent="0.2">
      <c r="A325" s="68">
        <v>325</v>
      </c>
      <c r="B325" s="68"/>
      <c r="C325" s="85">
        <f t="shared" si="176"/>
        <v>2.1000057980615688E-2</v>
      </c>
      <c r="D325" s="68">
        <v>20</v>
      </c>
      <c r="E325" s="97">
        <v>-0.157</v>
      </c>
      <c r="F325" s="97">
        <v>8.4</v>
      </c>
      <c r="G325" s="97">
        <v>1</v>
      </c>
      <c r="H325" s="68"/>
      <c r="I325" s="69">
        <f t="shared" si="173"/>
        <v>20</v>
      </c>
      <c r="J325" s="155">
        <f t="shared" si="174"/>
        <v>-0.157</v>
      </c>
      <c r="K325" s="70">
        <f t="shared" si="175"/>
        <v>0.24434609527920614</v>
      </c>
      <c r="L325" s="68"/>
    </row>
    <row r="326" spans="1:15" x14ac:dyDescent="0.2">
      <c r="A326" s="68">
        <v>326</v>
      </c>
      <c r="B326" s="68"/>
      <c r="C326" s="85">
        <f t="shared" si="176"/>
        <v>2.1000057980615688E-2</v>
      </c>
      <c r="D326" s="68">
        <v>40</v>
      </c>
      <c r="E326" s="97">
        <v>-0.13900000000000001</v>
      </c>
      <c r="F326" s="97">
        <v>7.1</v>
      </c>
      <c r="G326" s="97">
        <v>1</v>
      </c>
      <c r="H326" s="68"/>
      <c r="I326" s="69">
        <f t="shared" si="173"/>
        <v>40</v>
      </c>
      <c r="J326" s="155">
        <f t="shared" si="174"/>
        <v>-0.13900000000000001</v>
      </c>
      <c r="K326" s="70">
        <f t="shared" si="175"/>
        <v>0.20653062815266235</v>
      </c>
      <c r="L326" s="68"/>
    </row>
    <row r="327" spans="1:15" x14ac:dyDescent="0.2">
      <c r="A327" s="68">
        <v>327</v>
      </c>
      <c r="B327" s="68"/>
      <c r="C327" s="85">
        <f t="shared" si="176"/>
        <v>2.1000057980615688E-2</v>
      </c>
      <c r="D327" s="68">
        <v>60</v>
      </c>
      <c r="E327" s="97">
        <v>-0.13100000000000001</v>
      </c>
      <c r="F327" s="97">
        <v>6.6</v>
      </c>
      <c r="G327" s="97">
        <v>1</v>
      </c>
      <c r="H327" s="68"/>
      <c r="I327" s="69">
        <f t="shared" si="173"/>
        <v>60</v>
      </c>
      <c r="J327" s="155">
        <f t="shared" si="174"/>
        <v>-0.13100000000000001</v>
      </c>
      <c r="K327" s="70">
        <f t="shared" si="175"/>
        <v>0.19198621771937624</v>
      </c>
      <c r="L327" s="68"/>
    </row>
    <row r="328" spans="1:15" x14ac:dyDescent="0.2">
      <c r="A328" s="68">
        <v>328</v>
      </c>
      <c r="B328" s="68"/>
      <c r="C328" s="85">
        <f t="shared" si="176"/>
        <v>2.1000057980615688E-2</v>
      </c>
      <c r="D328" s="68">
        <v>100</v>
      </c>
      <c r="E328" s="97">
        <v>-0.122</v>
      </c>
      <c r="F328" s="97">
        <v>6.1</v>
      </c>
      <c r="G328" s="97">
        <v>1</v>
      </c>
      <c r="H328" s="68"/>
      <c r="I328" s="69">
        <f t="shared" si="173"/>
        <v>100</v>
      </c>
      <c r="J328" s="155">
        <f t="shared" si="174"/>
        <v>-0.122</v>
      </c>
      <c r="K328" s="70">
        <f t="shared" si="175"/>
        <v>0.17744180728609016</v>
      </c>
      <c r="L328" s="68"/>
    </row>
    <row r="329" spans="1:15" x14ac:dyDescent="0.2">
      <c r="A329" s="68">
        <v>329</v>
      </c>
      <c r="B329" s="68"/>
      <c r="C329" s="85">
        <f t="shared" si="176"/>
        <v>2.1000057980615688E-2</v>
      </c>
      <c r="D329" s="68">
        <v>120</v>
      </c>
      <c r="E329" s="97">
        <v>-0.12</v>
      </c>
      <c r="F329" s="97">
        <v>6</v>
      </c>
      <c r="G329" s="97">
        <v>1</v>
      </c>
      <c r="H329" s="68"/>
      <c r="I329" s="69">
        <f t="shared" si="173"/>
        <v>120</v>
      </c>
      <c r="J329" s="155">
        <f t="shared" si="174"/>
        <v>-0.12</v>
      </c>
      <c r="K329" s="70">
        <f t="shared" si="175"/>
        <v>0.17453292519943295</v>
      </c>
      <c r="L329" s="68"/>
    </row>
    <row r="330" spans="1:15" x14ac:dyDescent="0.2">
      <c r="A330" s="68">
        <v>330</v>
      </c>
      <c r="B330" s="68"/>
      <c r="C330" s="85"/>
      <c r="D330" s="68"/>
      <c r="E330" s="68"/>
      <c r="F330" s="68"/>
      <c r="G330" s="68"/>
      <c r="H330" s="68"/>
      <c r="I330" s="69"/>
      <c r="J330" s="155"/>
      <c r="K330" s="70"/>
      <c r="L330" s="68"/>
    </row>
    <row r="331" spans="1:15" x14ac:dyDescent="0.2">
      <c r="A331" s="68">
        <v>331</v>
      </c>
      <c r="B331" s="96" t="str">
        <f>O336&amp;"/5 Range, "&amp;O337&amp;" turns @ "&amp;O340&amp;"VA burden, vs "&amp;O339&amp;" AT, "&amp;O338&amp;" range, 2 Stage CT"</f>
        <v>200/5 Range, 1 turns @ 5VA burden, vs 120 AT, 200 range, 2 Stage CT</v>
      </c>
      <c r="C331" s="68"/>
      <c r="D331" s="68"/>
      <c r="E331" s="68"/>
      <c r="F331" s="68"/>
    </row>
    <row r="332" spans="1:15" x14ac:dyDescent="0.2">
      <c r="A332" s="68">
        <v>332</v>
      </c>
      <c r="B332" s="96" t="s">
        <v>491</v>
      </c>
      <c r="C332" s="98" t="s">
        <v>121</v>
      </c>
      <c r="D332" s="68"/>
      <c r="E332" s="68"/>
      <c r="F332" s="68"/>
      <c r="G332" s="68"/>
      <c r="H332" s="68"/>
      <c r="I332" s="68"/>
    </row>
    <row r="333" spans="1:15" x14ac:dyDescent="0.2">
      <c r="A333" s="68">
        <v>333</v>
      </c>
      <c r="B333" s="108">
        <v>42599</v>
      </c>
      <c r="C333" s="85">
        <f t="shared" ref="C333:C339" si="177">B5A5.0VA</f>
        <v>0.21600059637204713</v>
      </c>
      <c r="D333" s="68">
        <v>5</v>
      </c>
      <c r="E333" s="97">
        <v>-0.34699999999999998</v>
      </c>
      <c r="F333" s="97">
        <v>18.100000000000001</v>
      </c>
      <c r="G333" s="97">
        <v>2</v>
      </c>
      <c r="H333" s="68"/>
      <c r="I333" s="69">
        <f t="shared" ref="I333:I339" si="178">0.1*D333/(5*0.02)</f>
        <v>5</v>
      </c>
      <c r="J333" s="70">
        <f t="shared" ref="J333:J339" si="179">E333*G333</f>
        <v>-0.69399999999999995</v>
      </c>
      <c r="K333" s="70">
        <f t="shared" ref="K333:K339" si="180">100*RADIANS(G333*F333/60)</f>
        <v>1.0530153153699122</v>
      </c>
    </row>
    <row r="334" spans="1:15" x14ac:dyDescent="0.2">
      <c r="A334" s="68">
        <v>334</v>
      </c>
      <c r="B334" s="68"/>
      <c r="C334" s="85">
        <f t="shared" si="177"/>
        <v>0.21600059637204713</v>
      </c>
      <c r="D334" s="68">
        <v>10</v>
      </c>
      <c r="E334" s="97">
        <v>-0.309</v>
      </c>
      <c r="F334" s="97">
        <v>15.7</v>
      </c>
      <c r="G334" s="97">
        <v>2</v>
      </c>
      <c r="H334" s="68"/>
      <c r="I334" s="69">
        <f t="shared" si="178"/>
        <v>10</v>
      </c>
      <c r="J334" s="70">
        <f t="shared" si="179"/>
        <v>-0.61799999999999999</v>
      </c>
      <c r="K334" s="70">
        <f t="shared" si="180"/>
        <v>0.91338897521036577</v>
      </c>
    </row>
    <row r="335" spans="1:15" x14ac:dyDescent="0.2">
      <c r="A335" s="68">
        <v>335</v>
      </c>
      <c r="B335" s="98" t="s">
        <v>500</v>
      </c>
      <c r="C335" s="85">
        <f t="shared" si="177"/>
        <v>0.21600059637204713</v>
      </c>
      <c r="D335" s="68">
        <v>20</v>
      </c>
      <c r="E335" s="532">
        <v>-0.27950000000000003</v>
      </c>
      <c r="F335" s="97">
        <v>13.8</v>
      </c>
      <c r="G335" s="97">
        <v>2</v>
      </c>
      <c r="H335" s="68"/>
      <c r="I335" s="69">
        <f t="shared" si="178"/>
        <v>20</v>
      </c>
      <c r="J335" s="70">
        <f t="shared" si="179"/>
        <v>-0.55900000000000005</v>
      </c>
      <c r="K335" s="70">
        <f t="shared" si="180"/>
        <v>0.8028514559173916</v>
      </c>
      <c r="L335" s="68"/>
    </row>
    <row r="336" spans="1:15" x14ac:dyDescent="0.2">
      <c r="A336" s="68">
        <v>336</v>
      </c>
      <c r="B336" s="68"/>
      <c r="C336" s="85">
        <f t="shared" si="177"/>
        <v>0.21600059637204713</v>
      </c>
      <c r="D336" s="68">
        <v>40</v>
      </c>
      <c r="E336" s="97">
        <v>-0.25600000000000001</v>
      </c>
      <c r="F336" s="97">
        <v>12.25</v>
      </c>
      <c r="G336" s="97">
        <v>2</v>
      </c>
      <c r="H336" s="68"/>
      <c r="I336" s="69">
        <f t="shared" si="178"/>
        <v>40</v>
      </c>
      <c r="J336" s="155">
        <f t="shared" si="179"/>
        <v>-0.51200000000000001</v>
      </c>
      <c r="K336" s="70">
        <f t="shared" si="180"/>
        <v>0.71267611123101793</v>
      </c>
      <c r="L336" s="68"/>
      <c r="N336" s="261" t="s">
        <v>364</v>
      </c>
      <c r="O336" s="97">
        <v>200</v>
      </c>
    </row>
    <row r="337" spans="1:15" x14ac:dyDescent="0.2">
      <c r="A337" s="68">
        <v>337</v>
      </c>
      <c r="B337" s="68"/>
      <c r="C337" s="85">
        <f t="shared" si="177"/>
        <v>0.21600059637204713</v>
      </c>
      <c r="D337" s="68">
        <v>60</v>
      </c>
      <c r="E337" s="97">
        <v>-0.249</v>
      </c>
      <c r="F337" s="97">
        <v>11.05</v>
      </c>
      <c r="G337" s="97">
        <v>2</v>
      </c>
      <c r="H337" s="68"/>
      <c r="I337" s="69">
        <f t="shared" si="178"/>
        <v>60</v>
      </c>
      <c r="J337" s="155">
        <f t="shared" si="179"/>
        <v>-0.498</v>
      </c>
      <c r="K337" s="70">
        <f t="shared" si="180"/>
        <v>0.64286294115124476</v>
      </c>
      <c r="L337" s="68"/>
      <c r="N337" s="261" t="s">
        <v>365</v>
      </c>
      <c r="O337" s="97">
        <v>1</v>
      </c>
    </row>
    <row r="338" spans="1:15" x14ac:dyDescent="0.2">
      <c r="A338" s="68">
        <v>338</v>
      </c>
      <c r="B338" s="68"/>
      <c r="C338" s="85">
        <f t="shared" si="177"/>
        <v>0.21600059637204713</v>
      </c>
      <c r="D338" s="68">
        <v>100</v>
      </c>
      <c r="E338" s="97">
        <v>-0.23899999999999999</v>
      </c>
      <c r="F338" s="97">
        <v>9.1</v>
      </c>
      <c r="G338" s="97">
        <v>2</v>
      </c>
      <c r="H338" s="68"/>
      <c r="I338" s="69">
        <f t="shared" si="178"/>
        <v>100</v>
      </c>
      <c r="J338" s="155">
        <f t="shared" si="179"/>
        <v>-0.47799999999999998</v>
      </c>
      <c r="K338" s="70">
        <f t="shared" si="180"/>
        <v>0.52941653977161329</v>
      </c>
      <c r="L338" s="68"/>
      <c r="N338" s="261" t="s">
        <v>366</v>
      </c>
      <c r="O338" s="97">
        <v>200</v>
      </c>
    </row>
    <row r="339" spans="1:15" x14ac:dyDescent="0.2">
      <c r="A339" s="68">
        <v>339</v>
      </c>
      <c r="B339" s="68"/>
      <c r="C339" s="85">
        <f t="shared" si="177"/>
        <v>0.21600059637204713</v>
      </c>
      <c r="D339" s="68">
        <v>120</v>
      </c>
      <c r="E339" s="97">
        <v>-0.23200000000000001</v>
      </c>
      <c r="F339" s="97">
        <v>8.4</v>
      </c>
      <c r="G339" s="97">
        <v>2</v>
      </c>
      <c r="H339" s="68"/>
      <c r="I339" s="69">
        <f t="shared" si="178"/>
        <v>120</v>
      </c>
      <c r="J339" s="155">
        <f t="shared" si="179"/>
        <v>-0.46400000000000002</v>
      </c>
      <c r="K339" s="70">
        <f t="shared" si="180"/>
        <v>0.48869219055841229</v>
      </c>
      <c r="L339" s="68"/>
      <c r="N339" s="261" t="s">
        <v>367</v>
      </c>
      <c r="O339" s="97">
        <v>120</v>
      </c>
    </row>
    <row r="340" spans="1:15" x14ac:dyDescent="0.2">
      <c r="A340" s="68">
        <v>340</v>
      </c>
      <c r="B340" s="68"/>
      <c r="C340" s="68"/>
      <c r="D340" s="68"/>
      <c r="E340" s="68"/>
      <c r="F340" s="68"/>
      <c r="G340" s="125"/>
      <c r="H340" s="68"/>
      <c r="I340" s="68"/>
      <c r="J340" s="23"/>
      <c r="K340" s="68"/>
      <c r="L340" s="68"/>
      <c r="O340" s="370">
        <v>5</v>
      </c>
    </row>
    <row r="341" spans="1:15" x14ac:dyDescent="0.2">
      <c r="A341" s="68">
        <v>341</v>
      </c>
      <c r="B341" s="68"/>
      <c r="C341" s="85">
        <f>B5A0VA</f>
        <v>2.1000057980615688E-2</v>
      </c>
      <c r="D341" s="68">
        <v>5</v>
      </c>
      <c r="E341" s="97">
        <v>-0.22700000000000001</v>
      </c>
      <c r="F341" s="97">
        <v>13.55</v>
      </c>
      <c r="G341" s="97">
        <v>1</v>
      </c>
      <c r="H341" s="68"/>
      <c r="I341" s="69">
        <f t="shared" ref="I341:I347" si="181">0.1*D341/(5*0.02)</f>
        <v>5</v>
      </c>
      <c r="J341" s="155">
        <f t="shared" ref="J341:J347" si="182">E341*G341</f>
        <v>-0.22700000000000001</v>
      </c>
      <c r="K341" s="70">
        <f t="shared" ref="K341:K347" si="183">100*RADIANS(G341*F341/60)</f>
        <v>0.39415352274205279</v>
      </c>
      <c r="L341" s="68"/>
    </row>
    <row r="342" spans="1:15" x14ac:dyDescent="0.2">
      <c r="A342" s="68">
        <v>342</v>
      </c>
      <c r="B342" s="68"/>
      <c r="C342" s="85">
        <f t="shared" ref="C342:C347" si="184">B5A0VA</f>
        <v>2.1000057980615688E-2</v>
      </c>
      <c r="D342" s="68">
        <v>10</v>
      </c>
      <c r="E342" s="97">
        <v>-0.189</v>
      </c>
      <c r="F342" s="97">
        <v>10.4</v>
      </c>
      <c r="G342" s="97">
        <v>1</v>
      </c>
      <c r="H342" s="68"/>
      <c r="I342" s="69">
        <f t="shared" si="181"/>
        <v>10</v>
      </c>
      <c r="J342" s="155">
        <f t="shared" si="182"/>
        <v>-0.189</v>
      </c>
      <c r="K342" s="70">
        <f t="shared" si="183"/>
        <v>0.30252373701235047</v>
      </c>
      <c r="L342" s="68"/>
    </row>
    <row r="343" spans="1:15" x14ac:dyDescent="0.2">
      <c r="A343" s="68">
        <v>343</v>
      </c>
      <c r="B343" s="68"/>
      <c r="C343" s="85">
        <f t="shared" si="184"/>
        <v>2.1000057980615688E-2</v>
      </c>
      <c r="D343" s="68">
        <v>20</v>
      </c>
      <c r="E343" s="97">
        <v>-0.159</v>
      </c>
      <c r="F343" s="97">
        <v>8.4</v>
      </c>
      <c r="G343" s="97">
        <v>1</v>
      </c>
      <c r="H343" s="68"/>
      <c r="I343" s="69">
        <f t="shared" si="181"/>
        <v>20</v>
      </c>
      <c r="J343" s="155">
        <f t="shared" si="182"/>
        <v>-0.159</v>
      </c>
      <c r="K343" s="70">
        <f t="shared" si="183"/>
        <v>0.24434609527920614</v>
      </c>
      <c r="L343" s="68"/>
    </row>
    <row r="344" spans="1:15" x14ac:dyDescent="0.2">
      <c r="A344" s="68">
        <v>344</v>
      </c>
      <c r="B344" s="68"/>
      <c r="C344" s="85">
        <f t="shared" si="184"/>
        <v>2.1000057980615688E-2</v>
      </c>
      <c r="D344" s="68">
        <v>40</v>
      </c>
      <c r="E344" s="97">
        <v>-0.13900000000000001</v>
      </c>
      <c r="F344" s="97">
        <v>7.2</v>
      </c>
      <c r="G344" s="97">
        <v>1</v>
      </c>
      <c r="H344" s="68"/>
      <c r="I344" s="69">
        <f t="shared" si="181"/>
        <v>40</v>
      </c>
      <c r="J344" s="155">
        <f t="shared" si="182"/>
        <v>-0.13900000000000001</v>
      </c>
      <c r="K344" s="70">
        <f t="shared" si="183"/>
        <v>0.20943951023931956</v>
      </c>
      <c r="L344" s="68"/>
    </row>
    <row r="345" spans="1:15" x14ac:dyDescent="0.2">
      <c r="A345" s="68">
        <v>345</v>
      </c>
      <c r="B345" s="68"/>
      <c r="C345" s="85">
        <f t="shared" si="184"/>
        <v>2.1000057980615688E-2</v>
      </c>
      <c r="D345" s="68">
        <v>60</v>
      </c>
      <c r="E345" s="97">
        <v>-0.13100000000000001</v>
      </c>
      <c r="F345" s="97">
        <v>6.7</v>
      </c>
      <c r="G345" s="97">
        <v>1</v>
      </c>
      <c r="H345" s="68"/>
      <c r="I345" s="69">
        <f t="shared" si="181"/>
        <v>60</v>
      </c>
      <c r="J345" s="155">
        <f t="shared" si="182"/>
        <v>-0.13100000000000001</v>
      </c>
      <c r="K345" s="70">
        <f t="shared" si="183"/>
        <v>0.19489509980603345</v>
      </c>
      <c r="L345" s="68"/>
    </row>
    <row r="346" spans="1:15" x14ac:dyDescent="0.2">
      <c r="A346" s="68">
        <v>346</v>
      </c>
      <c r="B346" s="68"/>
      <c r="C346" s="85">
        <f t="shared" si="184"/>
        <v>2.1000057980615688E-2</v>
      </c>
      <c r="D346" s="68">
        <v>100</v>
      </c>
      <c r="E346" s="97">
        <v>-0.122</v>
      </c>
      <c r="F346" s="97">
        <v>6.1</v>
      </c>
      <c r="G346" s="97">
        <v>1</v>
      </c>
      <c r="H346" s="68"/>
      <c r="I346" s="69">
        <f t="shared" si="181"/>
        <v>100</v>
      </c>
      <c r="J346" s="155">
        <f t="shared" si="182"/>
        <v>-0.122</v>
      </c>
      <c r="K346" s="70">
        <f t="shared" si="183"/>
        <v>0.17744180728609016</v>
      </c>
      <c r="L346" s="68"/>
    </row>
    <row r="347" spans="1:15" x14ac:dyDescent="0.2">
      <c r="A347" s="68">
        <v>347</v>
      </c>
      <c r="B347" s="68"/>
      <c r="C347" s="85">
        <f t="shared" si="184"/>
        <v>2.1000057980615688E-2</v>
      </c>
      <c r="D347" s="68">
        <v>120</v>
      </c>
      <c r="E347" s="97">
        <v>-0.12</v>
      </c>
      <c r="F347" s="97">
        <v>6</v>
      </c>
      <c r="G347" s="97">
        <v>1</v>
      </c>
      <c r="H347" s="68"/>
      <c r="I347" s="69">
        <f t="shared" si="181"/>
        <v>120</v>
      </c>
      <c r="J347" s="155">
        <f t="shared" si="182"/>
        <v>-0.12</v>
      </c>
      <c r="K347" s="70">
        <f t="shared" si="183"/>
        <v>0.17453292519943295</v>
      </c>
      <c r="L347" s="68"/>
    </row>
    <row r="348" spans="1:15" x14ac:dyDescent="0.2">
      <c r="A348" s="68">
        <v>348</v>
      </c>
      <c r="B348" s="68"/>
      <c r="C348" s="85"/>
      <c r="D348" s="68"/>
      <c r="E348" s="68"/>
      <c r="F348" s="68"/>
      <c r="G348" s="68"/>
      <c r="H348" s="68"/>
      <c r="I348" s="69"/>
      <c r="J348" s="155"/>
      <c r="K348" s="70"/>
      <c r="L348" s="68"/>
    </row>
    <row r="349" spans="1:15" x14ac:dyDescent="0.2">
      <c r="A349" s="68">
        <v>349</v>
      </c>
      <c r="B349" s="96" t="str">
        <f>O354&amp;"/5 Range, "&amp;O355&amp;" turns @ "&amp;O358&amp;"VA burden, vs "&amp;O357&amp;" AT, "&amp;O356&amp;" range, 2 Stage CT"</f>
        <v>200/5 Range, 1 turns @ 5VA burden, vs 120 AT, 200 range, 2 Stage CT</v>
      </c>
      <c r="C349" s="68"/>
      <c r="D349" s="68"/>
      <c r="E349" s="68"/>
      <c r="F349" s="68"/>
      <c r="G349" s="68"/>
      <c r="H349" s="68"/>
      <c r="I349" s="98"/>
    </row>
    <row r="350" spans="1:15" x14ac:dyDescent="0.2">
      <c r="A350" s="68">
        <v>350</v>
      </c>
      <c r="B350" s="96" t="s">
        <v>491</v>
      </c>
      <c r="C350" s="98" t="s">
        <v>121</v>
      </c>
      <c r="D350" s="68"/>
      <c r="E350" s="68"/>
      <c r="F350" s="68"/>
      <c r="G350" s="68"/>
      <c r="H350" s="68"/>
      <c r="I350" s="68"/>
    </row>
    <row r="351" spans="1:15" x14ac:dyDescent="0.2">
      <c r="A351" s="68">
        <v>351</v>
      </c>
      <c r="B351" s="108">
        <v>42599</v>
      </c>
      <c r="C351" s="85">
        <f t="shared" ref="C351:C357" si="185">B5A5.0VA</f>
        <v>0.21600059637204713</v>
      </c>
      <c r="D351" s="68">
        <v>5</v>
      </c>
      <c r="E351" s="97">
        <v>-0.109</v>
      </c>
      <c r="F351" s="97">
        <v>1.81</v>
      </c>
      <c r="G351" s="97">
        <v>10</v>
      </c>
      <c r="H351" s="68"/>
      <c r="I351" s="69">
        <f t="shared" ref="I351:I357" si="186">0.1*D351/(5*0.02)</f>
        <v>5</v>
      </c>
      <c r="J351" s="70">
        <f t="shared" ref="J351:J357" si="187">E351*G351</f>
        <v>-1.0900000000000001</v>
      </c>
      <c r="K351" s="70">
        <f t="shared" ref="K351:K357" si="188">100*RADIANS(G351*F351/60)</f>
        <v>0.52650765768495611</v>
      </c>
    </row>
    <row r="352" spans="1:15" x14ac:dyDescent="0.2">
      <c r="A352" s="68">
        <v>352</v>
      </c>
      <c r="B352" s="68"/>
      <c r="C352" s="85">
        <f t="shared" si="185"/>
        <v>0.21600059637204713</v>
      </c>
      <c r="D352" s="68">
        <v>10</v>
      </c>
      <c r="E352" s="97">
        <v>-0.47599999999999998</v>
      </c>
      <c r="F352" s="97">
        <v>7.6</v>
      </c>
      <c r="G352" s="97">
        <v>2</v>
      </c>
      <c r="H352" s="68"/>
      <c r="I352" s="69">
        <f t="shared" si="186"/>
        <v>10</v>
      </c>
      <c r="J352" s="70">
        <f t="shared" si="187"/>
        <v>-0.95199999999999996</v>
      </c>
      <c r="K352" s="70">
        <f t="shared" si="188"/>
        <v>0.44215007717189675</v>
      </c>
    </row>
    <row r="353" spans="1:15" x14ac:dyDescent="0.2">
      <c r="A353" s="68">
        <v>353</v>
      </c>
      <c r="B353" s="98" t="s">
        <v>505</v>
      </c>
      <c r="C353" s="85">
        <f t="shared" si="185"/>
        <v>0.21600059637204713</v>
      </c>
      <c r="D353" s="68">
        <v>20</v>
      </c>
      <c r="E353" s="97">
        <v>-0.42399999999999999</v>
      </c>
      <c r="F353" s="97">
        <v>6.55</v>
      </c>
      <c r="G353" s="97">
        <v>2</v>
      </c>
      <c r="H353" s="68"/>
      <c r="I353" s="69">
        <f t="shared" si="186"/>
        <v>20</v>
      </c>
      <c r="J353" s="70">
        <f t="shared" si="187"/>
        <v>-0.84799999999999998</v>
      </c>
      <c r="K353" s="70">
        <f t="shared" si="188"/>
        <v>0.3810635533520953</v>
      </c>
      <c r="L353" s="68"/>
    </row>
    <row r="354" spans="1:15" x14ac:dyDescent="0.2">
      <c r="A354" s="68">
        <v>354</v>
      </c>
      <c r="B354" s="68"/>
      <c r="C354" s="85">
        <f t="shared" si="185"/>
        <v>0.21600059637204713</v>
      </c>
      <c r="D354" s="68">
        <v>40</v>
      </c>
      <c r="E354" s="97">
        <v>-0.38300000000000001</v>
      </c>
      <c r="F354" s="97">
        <v>5.75</v>
      </c>
      <c r="G354" s="97">
        <v>2</v>
      </c>
      <c r="H354" s="68"/>
      <c r="I354" s="69">
        <f t="shared" si="186"/>
        <v>40</v>
      </c>
      <c r="J354" s="155">
        <f t="shared" si="187"/>
        <v>-0.76600000000000001</v>
      </c>
      <c r="K354" s="70">
        <f t="shared" si="188"/>
        <v>0.33452143996557987</v>
      </c>
      <c r="L354" s="68"/>
      <c r="N354" s="261" t="s">
        <v>364</v>
      </c>
      <c r="O354" s="97">
        <v>200</v>
      </c>
    </row>
    <row r="355" spans="1:15" x14ac:dyDescent="0.2">
      <c r="A355" s="68">
        <v>355</v>
      </c>
      <c r="B355" s="68"/>
      <c r="C355" s="85">
        <f t="shared" si="185"/>
        <v>0.21600059637204713</v>
      </c>
      <c r="D355" s="68">
        <v>60</v>
      </c>
      <c r="E355" s="97">
        <v>-0.36199999999999999</v>
      </c>
      <c r="F355" s="97">
        <v>5</v>
      </c>
      <c r="G355" s="97">
        <v>2</v>
      </c>
      <c r="H355" s="68"/>
      <c r="I355" s="69">
        <f t="shared" si="186"/>
        <v>60</v>
      </c>
      <c r="J355" s="155">
        <f t="shared" si="187"/>
        <v>-0.72399999999999998</v>
      </c>
      <c r="K355" s="70">
        <f t="shared" si="188"/>
        <v>0.29088820866572157</v>
      </c>
      <c r="L355" s="68"/>
      <c r="N355" s="261" t="s">
        <v>365</v>
      </c>
      <c r="O355" s="97">
        <v>1</v>
      </c>
    </row>
    <row r="356" spans="1:15" x14ac:dyDescent="0.2">
      <c r="A356" s="68">
        <v>356</v>
      </c>
      <c r="B356" s="68"/>
      <c r="C356" s="85">
        <f t="shared" si="185"/>
        <v>0.21600059637204713</v>
      </c>
      <c r="D356" s="68">
        <v>100</v>
      </c>
      <c r="E356" s="97">
        <v>-0.32800000000000001</v>
      </c>
      <c r="F356" s="97">
        <v>3.55</v>
      </c>
      <c r="G356" s="97">
        <v>2</v>
      </c>
      <c r="H356" s="68"/>
      <c r="I356" s="69">
        <f t="shared" si="186"/>
        <v>100</v>
      </c>
      <c r="J356" s="155">
        <f t="shared" si="187"/>
        <v>-0.65600000000000003</v>
      </c>
      <c r="K356" s="70">
        <f t="shared" si="188"/>
        <v>0.20653062815266235</v>
      </c>
      <c r="L356" s="68"/>
      <c r="N356" s="261" t="s">
        <v>366</v>
      </c>
      <c r="O356" s="97">
        <v>200</v>
      </c>
    </row>
    <row r="357" spans="1:15" x14ac:dyDescent="0.2">
      <c r="A357" s="68">
        <v>357</v>
      </c>
      <c r="B357" s="68"/>
      <c r="C357" s="85">
        <f t="shared" si="185"/>
        <v>0.21600059637204713</v>
      </c>
      <c r="D357" s="68">
        <v>120</v>
      </c>
      <c r="E357" s="97">
        <v>-0.312</v>
      </c>
      <c r="F357" s="97">
        <v>3.05</v>
      </c>
      <c r="G357" s="97">
        <v>2</v>
      </c>
      <c r="H357" s="68"/>
      <c r="I357" s="69">
        <f t="shared" si="186"/>
        <v>120</v>
      </c>
      <c r="J357" s="155">
        <f t="shared" si="187"/>
        <v>-0.624</v>
      </c>
      <c r="K357" s="70">
        <f t="shared" si="188"/>
        <v>0.17744180728609016</v>
      </c>
      <c r="L357" s="68"/>
      <c r="N357" s="261" t="s">
        <v>367</v>
      </c>
      <c r="O357" s="97">
        <v>120</v>
      </c>
    </row>
    <row r="358" spans="1:15" x14ac:dyDescent="0.2">
      <c r="A358" s="68">
        <v>358</v>
      </c>
      <c r="B358" s="68"/>
      <c r="C358" s="68"/>
      <c r="D358" s="68"/>
      <c r="E358" s="68"/>
      <c r="F358" s="68"/>
      <c r="G358" s="125"/>
      <c r="H358" s="68"/>
      <c r="I358" s="68"/>
      <c r="J358" s="23"/>
      <c r="K358" s="68"/>
      <c r="L358" s="68"/>
      <c r="O358" s="370">
        <v>5</v>
      </c>
    </row>
    <row r="359" spans="1:15" x14ac:dyDescent="0.2">
      <c r="A359" s="68">
        <v>359</v>
      </c>
      <c r="B359" s="68"/>
      <c r="C359" s="85">
        <f>B5A0VA</f>
        <v>2.1000057980615688E-2</v>
      </c>
      <c r="D359" s="68">
        <v>5</v>
      </c>
      <c r="E359" s="97">
        <v>-0.22900000000000001</v>
      </c>
      <c r="F359" s="97">
        <v>13</v>
      </c>
      <c r="G359" s="97">
        <v>1</v>
      </c>
      <c r="H359" s="68"/>
      <c r="I359" s="69">
        <f t="shared" ref="I359:I365" si="189">0.1*D359/(5*0.02)</f>
        <v>5</v>
      </c>
      <c r="J359" s="155">
        <f t="shared" ref="J359:J365" si="190">E359*G359</f>
        <v>-0.22900000000000001</v>
      </c>
      <c r="K359" s="70">
        <f t="shared" ref="K359:K365" si="191">100*RADIANS(G359*F359/60)</f>
        <v>0.37815467126543806</v>
      </c>
      <c r="L359" s="68"/>
    </row>
    <row r="360" spans="1:15" x14ac:dyDescent="0.2">
      <c r="A360" s="68">
        <v>360</v>
      </c>
      <c r="B360" s="68"/>
      <c r="C360" s="85">
        <f t="shared" ref="C360:C365" si="192">B5A0VA</f>
        <v>2.1000057980615688E-2</v>
      </c>
      <c r="D360" s="68">
        <v>10</v>
      </c>
      <c r="E360" s="97">
        <v>-0.187</v>
      </c>
      <c r="F360" s="97">
        <v>10.45</v>
      </c>
      <c r="G360" s="97">
        <v>1</v>
      </c>
      <c r="H360" s="68"/>
      <c r="I360" s="69">
        <f t="shared" si="189"/>
        <v>10</v>
      </c>
      <c r="J360" s="155">
        <f t="shared" si="190"/>
        <v>-0.187</v>
      </c>
      <c r="K360" s="70">
        <f t="shared" si="191"/>
        <v>0.30397817805567906</v>
      </c>
      <c r="L360" s="68"/>
    </row>
    <row r="361" spans="1:15" x14ac:dyDescent="0.2">
      <c r="A361" s="68">
        <v>361</v>
      </c>
      <c r="B361" s="68"/>
      <c r="C361" s="85">
        <f t="shared" si="192"/>
        <v>2.1000057980615688E-2</v>
      </c>
      <c r="D361" s="68">
        <v>20</v>
      </c>
      <c r="E361" s="97">
        <v>-0.157</v>
      </c>
      <c r="F361" s="97">
        <v>8.4</v>
      </c>
      <c r="G361" s="97">
        <v>1</v>
      </c>
      <c r="H361" s="68"/>
      <c r="I361" s="69">
        <f t="shared" si="189"/>
        <v>20</v>
      </c>
      <c r="J361" s="155">
        <f t="shared" si="190"/>
        <v>-0.157</v>
      </c>
      <c r="K361" s="70">
        <f t="shared" si="191"/>
        <v>0.24434609527920614</v>
      </c>
      <c r="L361" s="68"/>
    </row>
    <row r="362" spans="1:15" x14ac:dyDescent="0.2">
      <c r="A362" s="68">
        <v>362</v>
      </c>
      <c r="B362" s="68"/>
      <c r="C362" s="85">
        <f t="shared" si="192"/>
        <v>2.1000057980615688E-2</v>
      </c>
      <c r="D362" s="68">
        <v>40</v>
      </c>
      <c r="E362" s="97">
        <v>-0.13900000000000001</v>
      </c>
      <c r="F362" s="97">
        <v>7.2</v>
      </c>
      <c r="G362" s="97">
        <v>1</v>
      </c>
      <c r="H362" s="68"/>
      <c r="I362" s="69">
        <f t="shared" si="189"/>
        <v>40</v>
      </c>
      <c r="J362" s="155">
        <f t="shared" si="190"/>
        <v>-0.13900000000000001</v>
      </c>
      <c r="K362" s="70">
        <f t="shared" si="191"/>
        <v>0.20943951023931956</v>
      </c>
      <c r="L362" s="68"/>
    </row>
    <row r="363" spans="1:15" x14ac:dyDescent="0.2">
      <c r="A363" s="68">
        <v>363</v>
      </c>
      <c r="B363" s="68"/>
      <c r="C363" s="85">
        <f t="shared" si="192"/>
        <v>2.1000057980615688E-2</v>
      </c>
      <c r="D363" s="68">
        <v>60</v>
      </c>
      <c r="E363" s="97">
        <v>-0.13</v>
      </c>
      <c r="F363" s="97">
        <v>6.7</v>
      </c>
      <c r="G363" s="97">
        <v>1</v>
      </c>
      <c r="H363" s="68"/>
      <c r="I363" s="69">
        <f t="shared" si="189"/>
        <v>60</v>
      </c>
      <c r="J363" s="155">
        <f t="shared" si="190"/>
        <v>-0.13</v>
      </c>
      <c r="K363" s="70">
        <f t="shared" si="191"/>
        <v>0.19489509980603345</v>
      </c>
      <c r="L363" s="68"/>
    </row>
    <row r="364" spans="1:15" x14ac:dyDescent="0.2">
      <c r="A364" s="68">
        <v>364</v>
      </c>
      <c r="B364" s="68"/>
      <c r="C364" s="85">
        <f t="shared" si="192"/>
        <v>2.1000057980615688E-2</v>
      </c>
      <c r="D364" s="68">
        <v>100</v>
      </c>
      <c r="E364" s="97">
        <v>-0.122</v>
      </c>
      <c r="F364" s="97">
        <v>6.1</v>
      </c>
      <c r="G364" s="97">
        <v>1</v>
      </c>
      <c r="H364" s="68"/>
      <c r="I364" s="69">
        <f t="shared" si="189"/>
        <v>100</v>
      </c>
      <c r="J364" s="155">
        <f t="shared" si="190"/>
        <v>-0.122</v>
      </c>
      <c r="K364" s="70">
        <f t="shared" si="191"/>
        <v>0.17744180728609016</v>
      </c>
      <c r="L364" s="68"/>
    </row>
    <row r="365" spans="1:15" x14ac:dyDescent="0.2">
      <c r="A365" s="68">
        <v>365</v>
      </c>
      <c r="B365" s="68"/>
      <c r="C365" s="85">
        <f t="shared" si="192"/>
        <v>2.1000057980615688E-2</v>
      </c>
      <c r="D365" s="68">
        <v>120</v>
      </c>
      <c r="E365" s="97">
        <v>-0.12</v>
      </c>
      <c r="F365" s="97">
        <v>5.95</v>
      </c>
      <c r="G365" s="97">
        <v>1</v>
      </c>
      <c r="H365" s="68"/>
      <c r="I365" s="69">
        <f t="shared" si="189"/>
        <v>120</v>
      </c>
      <c r="J365" s="155">
        <f t="shared" si="190"/>
        <v>-0.12</v>
      </c>
      <c r="K365" s="70">
        <f t="shared" si="191"/>
        <v>0.17307848415610436</v>
      </c>
      <c r="L365" s="68"/>
    </row>
    <row r="366" spans="1:15" x14ac:dyDescent="0.2">
      <c r="A366" s="68">
        <v>366</v>
      </c>
      <c r="B366" s="68"/>
      <c r="C366" s="85"/>
      <c r="D366" s="68"/>
      <c r="E366" s="68"/>
      <c r="F366" s="68"/>
      <c r="G366" s="68"/>
      <c r="H366" s="68"/>
      <c r="I366" s="69"/>
      <c r="J366" s="155"/>
      <c r="K366" s="70"/>
      <c r="L366" s="68"/>
    </row>
    <row r="367" spans="1:15" x14ac:dyDescent="0.2">
      <c r="A367" s="68">
        <v>367</v>
      </c>
      <c r="B367" s="96" t="str">
        <f>O372&amp;"/5 Range, "&amp;O373&amp;" turns @ "&amp;O376&amp;"VA burden, vs "&amp;O375&amp;" AT, "&amp;O374&amp;" range, 2 Stage CT"</f>
        <v>200/5 Range, 1 turns @ 5VA burden, vs 120 AT, 200 range, 2 Stage CT</v>
      </c>
      <c r="C367" s="68"/>
      <c r="D367" s="68"/>
      <c r="E367" s="68"/>
      <c r="F367" s="68"/>
      <c r="G367" s="68"/>
      <c r="H367" s="68"/>
      <c r="I367" s="98"/>
    </row>
    <row r="368" spans="1:15" x14ac:dyDescent="0.2">
      <c r="A368" s="68">
        <v>368</v>
      </c>
      <c r="B368" s="96" t="s">
        <v>491</v>
      </c>
      <c r="C368" s="98" t="s">
        <v>121</v>
      </c>
      <c r="D368" s="68"/>
      <c r="E368" s="68"/>
      <c r="F368" s="68"/>
      <c r="G368" s="68"/>
      <c r="H368" s="68"/>
      <c r="I368" s="68"/>
    </row>
    <row r="369" spans="1:15" x14ac:dyDescent="0.2">
      <c r="A369" s="68">
        <v>369</v>
      </c>
      <c r="B369" s="108">
        <v>42611</v>
      </c>
      <c r="C369" s="85">
        <f t="shared" ref="C369:C375" si="193">B5A5.0VA</f>
        <v>0.21600059637204713</v>
      </c>
      <c r="D369" s="68">
        <v>5</v>
      </c>
      <c r="E369" s="97">
        <v>-0.109</v>
      </c>
      <c r="F369" s="97">
        <v>1.8</v>
      </c>
      <c r="G369" s="97">
        <v>10</v>
      </c>
      <c r="H369" s="68"/>
      <c r="I369" s="69">
        <f t="shared" ref="I369:I375" si="194">0.1*D369/(5*0.02)</f>
        <v>5</v>
      </c>
      <c r="J369" s="70">
        <f t="shared" ref="J369:J375" si="195">E369*G369</f>
        <v>-1.0900000000000001</v>
      </c>
      <c r="K369" s="70">
        <f t="shared" ref="K369:K375" si="196">100*RADIANS(G369*F369/60)</f>
        <v>0.52359877559829882</v>
      </c>
    </row>
    <row r="370" spans="1:15" x14ac:dyDescent="0.2">
      <c r="A370" s="68">
        <v>370</v>
      </c>
      <c r="B370" s="68"/>
      <c r="C370" s="85">
        <f t="shared" si="193"/>
        <v>0.21600059637204713</v>
      </c>
      <c r="D370" s="68">
        <v>10</v>
      </c>
      <c r="E370" s="97">
        <v>-0.47599999999999998</v>
      </c>
      <c r="F370" s="97">
        <v>7.6</v>
      </c>
      <c r="G370" s="97">
        <v>2</v>
      </c>
      <c r="H370" s="68"/>
      <c r="I370" s="69">
        <f t="shared" si="194"/>
        <v>10</v>
      </c>
      <c r="J370" s="70">
        <f t="shared" si="195"/>
        <v>-0.95199999999999996</v>
      </c>
      <c r="K370" s="70">
        <f t="shared" si="196"/>
        <v>0.44215007717189675</v>
      </c>
    </row>
    <row r="371" spans="1:15" x14ac:dyDescent="0.2">
      <c r="A371" s="68">
        <v>371</v>
      </c>
      <c r="B371" s="98" t="s">
        <v>505</v>
      </c>
      <c r="C371" s="85">
        <f t="shared" si="193"/>
        <v>0.21600059637204713</v>
      </c>
      <c r="D371" s="68">
        <v>20</v>
      </c>
      <c r="E371" s="97">
        <v>-0.42199999999999999</v>
      </c>
      <c r="F371" s="97">
        <v>6.5</v>
      </c>
      <c r="G371" s="97">
        <v>2</v>
      </c>
      <c r="H371" s="68"/>
      <c r="I371" s="69">
        <f t="shared" si="194"/>
        <v>20</v>
      </c>
      <c r="J371" s="70">
        <f t="shared" si="195"/>
        <v>-0.84399999999999997</v>
      </c>
      <c r="K371" s="70">
        <f t="shared" si="196"/>
        <v>0.37815467126543806</v>
      </c>
      <c r="L371" s="68"/>
    </row>
    <row r="372" spans="1:15" x14ac:dyDescent="0.2">
      <c r="A372" s="68">
        <v>372</v>
      </c>
      <c r="B372" s="68"/>
      <c r="C372" s="85">
        <f t="shared" si="193"/>
        <v>0.21600059637204713</v>
      </c>
      <c r="D372" s="68">
        <v>40</v>
      </c>
      <c r="E372" s="97">
        <v>-0.38100000000000001</v>
      </c>
      <c r="F372" s="97">
        <v>5.6</v>
      </c>
      <c r="G372" s="97">
        <v>2</v>
      </c>
      <c r="H372" s="68"/>
      <c r="I372" s="69">
        <f t="shared" si="194"/>
        <v>40</v>
      </c>
      <c r="J372" s="155">
        <f t="shared" si="195"/>
        <v>-0.76200000000000001</v>
      </c>
      <c r="K372" s="70">
        <f t="shared" si="196"/>
        <v>0.32579479370560815</v>
      </c>
      <c r="L372" s="68"/>
      <c r="N372" s="261" t="s">
        <v>364</v>
      </c>
      <c r="O372" s="97">
        <v>200</v>
      </c>
    </row>
    <row r="373" spans="1:15" x14ac:dyDescent="0.2">
      <c r="A373" s="68">
        <v>373</v>
      </c>
      <c r="B373" s="68"/>
      <c r="C373" s="85">
        <f t="shared" si="193"/>
        <v>0.21600059637204713</v>
      </c>
      <c r="D373" s="68">
        <v>60</v>
      </c>
      <c r="E373" s="97">
        <v>-0.36099999999999999</v>
      </c>
      <c r="F373" s="97">
        <v>4.9000000000000004</v>
      </c>
      <c r="G373" s="97">
        <v>2</v>
      </c>
      <c r="H373" s="68"/>
      <c r="I373" s="69">
        <f t="shared" si="194"/>
        <v>60</v>
      </c>
      <c r="J373" s="155">
        <f t="shared" si="195"/>
        <v>-0.72199999999999998</v>
      </c>
      <c r="K373" s="70">
        <f t="shared" si="196"/>
        <v>0.2850704444924072</v>
      </c>
      <c r="L373" s="68"/>
      <c r="N373" s="261" t="s">
        <v>365</v>
      </c>
      <c r="O373" s="97">
        <v>1</v>
      </c>
    </row>
    <row r="374" spans="1:15" x14ac:dyDescent="0.2">
      <c r="A374" s="68">
        <v>374</v>
      </c>
      <c r="B374" s="68"/>
      <c r="C374" s="85">
        <f t="shared" si="193"/>
        <v>0.21600059637204713</v>
      </c>
      <c r="D374" s="68">
        <v>100</v>
      </c>
      <c r="E374" s="97">
        <v>-0.32700000000000001</v>
      </c>
      <c r="F374" s="97">
        <v>3.45</v>
      </c>
      <c r="G374" s="97">
        <v>2</v>
      </c>
      <c r="H374" s="68"/>
      <c r="I374" s="69">
        <f t="shared" si="194"/>
        <v>100</v>
      </c>
      <c r="J374" s="155">
        <f t="shared" si="195"/>
        <v>-0.65400000000000003</v>
      </c>
      <c r="K374" s="70">
        <f t="shared" si="196"/>
        <v>0.2007128639793479</v>
      </c>
      <c r="L374" s="68"/>
      <c r="N374" s="261" t="s">
        <v>366</v>
      </c>
      <c r="O374" s="97">
        <v>200</v>
      </c>
    </row>
    <row r="375" spans="1:15" x14ac:dyDescent="0.2">
      <c r="A375" s="68">
        <v>375</v>
      </c>
      <c r="B375" s="68"/>
      <c r="C375" s="85">
        <f t="shared" si="193"/>
        <v>0.21600059637204713</v>
      </c>
      <c r="D375" s="68">
        <v>120</v>
      </c>
      <c r="E375" s="97">
        <v>-0.311</v>
      </c>
      <c r="F375" s="97">
        <v>3</v>
      </c>
      <c r="G375" s="97">
        <v>2</v>
      </c>
      <c r="H375" s="68"/>
      <c r="I375" s="69">
        <f t="shared" si="194"/>
        <v>120</v>
      </c>
      <c r="J375" s="155">
        <f t="shared" si="195"/>
        <v>-0.622</v>
      </c>
      <c r="K375" s="70">
        <f t="shared" si="196"/>
        <v>0.17453292519943295</v>
      </c>
      <c r="L375" s="68"/>
      <c r="N375" s="261" t="s">
        <v>367</v>
      </c>
      <c r="O375" s="97">
        <v>120</v>
      </c>
    </row>
    <row r="376" spans="1:15" x14ac:dyDescent="0.2">
      <c r="A376" s="68">
        <v>376</v>
      </c>
      <c r="B376" s="68"/>
      <c r="C376" s="68"/>
      <c r="D376" s="68"/>
      <c r="E376" s="68"/>
      <c r="F376" s="68"/>
      <c r="G376" s="125"/>
      <c r="H376" s="68"/>
      <c r="I376" s="68"/>
      <c r="J376" s="23"/>
      <c r="K376" s="68"/>
      <c r="L376" s="68"/>
      <c r="O376" s="370">
        <v>5</v>
      </c>
    </row>
    <row r="377" spans="1:15" x14ac:dyDescent="0.2">
      <c r="A377" s="68">
        <v>377</v>
      </c>
      <c r="B377" s="68"/>
      <c r="C377" s="85">
        <f>B5A0VA</f>
        <v>2.1000057980615688E-2</v>
      </c>
      <c r="D377" s="68">
        <v>5</v>
      </c>
      <c r="E377" s="97">
        <v>-0.22600000000000001</v>
      </c>
      <c r="F377" s="97">
        <v>13.5</v>
      </c>
      <c r="G377" s="97">
        <v>1</v>
      </c>
      <c r="H377" s="68"/>
      <c r="I377" s="69">
        <f t="shared" ref="I377:I383" si="197">0.1*D377/(5*0.02)</f>
        <v>5</v>
      </c>
      <c r="J377" s="155">
        <f t="shared" ref="J377:J383" si="198">E377*G377</f>
        <v>-0.22600000000000001</v>
      </c>
      <c r="K377" s="70">
        <f t="shared" ref="K377:K383" si="199">100*RADIANS(G377*F377/60)</f>
        <v>0.3926990816987242</v>
      </c>
      <c r="L377" s="68"/>
    </row>
    <row r="378" spans="1:15" x14ac:dyDescent="0.2">
      <c r="A378" s="68">
        <v>378</v>
      </c>
      <c r="B378" s="68"/>
      <c r="C378" s="85">
        <f t="shared" ref="C378:C383" si="200">B5A0VA</f>
        <v>2.1000057980615688E-2</v>
      </c>
      <c r="D378" s="68">
        <v>10</v>
      </c>
      <c r="E378" s="97">
        <v>-0.183</v>
      </c>
      <c r="F378" s="97">
        <v>10.199999999999999</v>
      </c>
      <c r="G378" s="97">
        <v>1</v>
      </c>
      <c r="H378" s="68"/>
      <c r="I378" s="69">
        <f t="shared" si="197"/>
        <v>10</v>
      </c>
      <c r="J378" s="155">
        <f t="shared" si="198"/>
        <v>-0.183</v>
      </c>
      <c r="K378" s="70">
        <f t="shared" si="199"/>
        <v>0.29670597283903599</v>
      </c>
      <c r="L378" s="68"/>
    </row>
    <row r="379" spans="1:15" x14ac:dyDescent="0.2">
      <c r="A379" s="68">
        <v>379</v>
      </c>
      <c r="B379" s="68"/>
      <c r="C379" s="85">
        <f t="shared" si="200"/>
        <v>2.1000057980615688E-2</v>
      </c>
      <c r="D379" s="68">
        <v>20</v>
      </c>
      <c r="E379" s="97">
        <v>-0.157</v>
      </c>
      <c r="F379" s="97">
        <v>8.3000000000000007</v>
      </c>
      <c r="G379" s="97">
        <v>1</v>
      </c>
      <c r="H379" s="68"/>
      <c r="I379" s="69">
        <f t="shared" si="197"/>
        <v>20</v>
      </c>
      <c r="J379" s="155">
        <f t="shared" si="198"/>
        <v>-0.157</v>
      </c>
      <c r="K379" s="70">
        <f t="shared" si="199"/>
        <v>0.24143721319254893</v>
      </c>
      <c r="L379" s="68"/>
    </row>
    <row r="380" spans="1:15" x14ac:dyDescent="0.2">
      <c r="A380" s="68">
        <v>380</v>
      </c>
      <c r="B380" s="68"/>
      <c r="C380" s="85">
        <f t="shared" si="200"/>
        <v>2.1000057980615688E-2</v>
      </c>
      <c r="D380" s="68">
        <v>40</v>
      </c>
      <c r="E380" s="97">
        <v>-0.13700000000000001</v>
      </c>
      <c r="F380" s="97">
        <v>7</v>
      </c>
      <c r="G380" s="97">
        <v>1</v>
      </c>
      <c r="H380" s="68"/>
      <c r="I380" s="69">
        <f t="shared" si="197"/>
        <v>40</v>
      </c>
      <c r="J380" s="155">
        <f t="shared" si="198"/>
        <v>-0.13700000000000001</v>
      </c>
      <c r="K380" s="70">
        <f t="shared" si="199"/>
        <v>0.20362174606600511</v>
      </c>
      <c r="L380" s="68"/>
    </row>
    <row r="381" spans="1:15" x14ac:dyDescent="0.2">
      <c r="A381" s="68">
        <v>381</v>
      </c>
      <c r="B381" s="68"/>
      <c r="C381" s="85">
        <f t="shared" si="200"/>
        <v>2.1000057980615688E-2</v>
      </c>
      <c r="D381" s="68">
        <v>60</v>
      </c>
      <c r="E381" s="97">
        <v>-0.1295</v>
      </c>
      <c r="F381" s="97">
        <v>6.55</v>
      </c>
      <c r="G381" s="97">
        <v>1</v>
      </c>
      <c r="H381" s="68"/>
      <c r="I381" s="69">
        <f t="shared" si="197"/>
        <v>60</v>
      </c>
      <c r="J381" s="155">
        <f t="shared" si="198"/>
        <v>-0.1295</v>
      </c>
      <c r="K381" s="70">
        <f t="shared" si="199"/>
        <v>0.19053177667604765</v>
      </c>
      <c r="L381" s="68"/>
    </row>
    <row r="382" spans="1:15" x14ac:dyDescent="0.2">
      <c r="A382" s="68">
        <v>382</v>
      </c>
      <c r="B382" s="68"/>
      <c r="C382" s="85">
        <f t="shared" si="200"/>
        <v>2.1000057980615688E-2</v>
      </c>
      <c r="D382" s="68">
        <v>100</v>
      </c>
      <c r="E382" s="97">
        <v>-0.1205</v>
      </c>
      <c r="F382" s="97">
        <v>6.05</v>
      </c>
      <c r="G382" s="97">
        <v>1</v>
      </c>
      <c r="H382" s="68"/>
      <c r="I382" s="69">
        <f t="shared" si="197"/>
        <v>100</v>
      </c>
      <c r="J382" s="155">
        <f t="shared" si="198"/>
        <v>-0.1205</v>
      </c>
      <c r="K382" s="70">
        <f t="shared" si="199"/>
        <v>0.17598736624276154</v>
      </c>
      <c r="L382" s="68"/>
    </row>
    <row r="383" spans="1:15" x14ac:dyDescent="0.2">
      <c r="A383" s="68">
        <v>383</v>
      </c>
      <c r="B383" s="68"/>
      <c r="C383" s="85">
        <f t="shared" si="200"/>
        <v>2.1000057980615688E-2</v>
      </c>
      <c r="D383" s="68">
        <v>120</v>
      </c>
      <c r="E383" s="97">
        <v>-0.11799999999999999</v>
      </c>
      <c r="F383" s="97">
        <v>5.9</v>
      </c>
      <c r="G383" s="97">
        <v>1</v>
      </c>
      <c r="H383" s="68"/>
      <c r="I383" s="69">
        <f t="shared" si="197"/>
        <v>120</v>
      </c>
      <c r="J383" s="155">
        <f t="shared" si="198"/>
        <v>-0.11799999999999999</v>
      </c>
      <c r="K383" s="70">
        <f t="shared" si="199"/>
        <v>0.17162404311277576</v>
      </c>
      <c r="L383" s="68"/>
    </row>
    <row r="384" spans="1:15" x14ac:dyDescent="0.2">
      <c r="A384" s="68">
        <v>384</v>
      </c>
      <c r="B384" s="68"/>
      <c r="C384" s="85"/>
      <c r="D384" s="68"/>
      <c r="E384" s="68"/>
      <c r="F384" s="68"/>
      <c r="G384" s="68"/>
      <c r="H384" s="68"/>
      <c r="I384" s="69"/>
      <c r="J384" s="155"/>
      <c r="K384" s="70"/>
      <c r="L384" s="68"/>
    </row>
    <row r="385" spans="1:15" x14ac:dyDescent="0.2">
      <c r="A385" s="68">
        <v>385</v>
      </c>
      <c r="B385" s="96" t="str">
        <f>O390&amp;"/5 Range, "&amp;O391&amp;" turns @ "&amp;O394&amp;"VA burden, vs "&amp;O393&amp;" AT, "&amp;O392&amp;" range, 2 Stage CT"</f>
        <v>200/5 Range, 1 turns @ 5VA burden, vs 120 AT, 200 range, 2 Stage CT</v>
      </c>
      <c r="C385" s="68"/>
      <c r="D385" s="68"/>
      <c r="E385" s="68"/>
      <c r="F385" s="68"/>
    </row>
    <row r="386" spans="1:15" x14ac:dyDescent="0.2">
      <c r="A386" s="68">
        <v>386</v>
      </c>
      <c r="B386" s="96" t="s">
        <v>491</v>
      </c>
      <c r="C386" s="98" t="s">
        <v>121</v>
      </c>
      <c r="D386" s="68"/>
      <c r="E386" s="68"/>
      <c r="F386" s="68"/>
      <c r="G386" s="68"/>
      <c r="H386" s="68"/>
      <c r="I386" s="68"/>
    </row>
    <row r="387" spans="1:15" x14ac:dyDescent="0.2">
      <c r="A387" s="68">
        <v>387</v>
      </c>
      <c r="B387" s="108">
        <v>42611</v>
      </c>
      <c r="C387" s="85">
        <f t="shared" ref="C387:C393" si="201">B5A5.0VA</f>
        <v>0.21600059637204713</v>
      </c>
      <c r="D387" s="68">
        <v>5</v>
      </c>
      <c r="E387" s="97">
        <v>-0.34399999999999997</v>
      </c>
      <c r="F387" s="97">
        <v>18</v>
      </c>
      <c r="G387" s="97">
        <v>2</v>
      </c>
      <c r="H387" s="68"/>
      <c r="I387" s="69">
        <f t="shared" ref="I387:I393" si="202">0.1*D387/(5*0.02)</f>
        <v>5</v>
      </c>
      <c r="J387" s="70">
        <f t="shared" ref="J387:J393" si="203">E387*G387</f>
        <v>-0.68799999999999994</v>
      </c>
      <c r="K387" s="70">
        <f t="shared" ref="K387:K393" si="204">100*RADIANS(G387*F387/60)</f>
        <v>1.0471975511965976</v>
      </c>
    </row>
    <row r="388" spans="1:15" x14ac:dyDescent="0.2">
      <c r="A388" s="68">
        <v>388</v>
      </c>
      <c r="B388" s="68"/>
      <c r="C388" s="85">
        <f t="shared" si="201"/>
        <v>0.21600059637204713</v>
      </c>
      <c r="D388" s="68">
        <v>10</v>
      </c>
      <c r="E388" s="97">
        <v>-0.307</v>
      </c>
      <c r="F388" s="97">
        <v>15.6</v>
      </c>
      <c r="G388" s="97">
        <v>2</v>
      </c>
      <c r="H388" s="68"/>
      <c r="I388" s="69">
        <f t="shared" si="202"/>
        <v>10</v>
      </c>
      <c r="J388" s="70">
        <f t="shared" si="203"/>
        <v>-0.61399999999999999</v>
      </c>
      <c r="K388" s="70">
        <f t="shared" si="204"/>
        <v>0.90757121103705141</v>
      </c>
    </row>
    <row r="389" spans="1:15" x14ac:dyDescent="0.2">
      <c r="A389" s="68">
        <v>389</v>
      </c>
      <c r="B389" s="98" t="s">
        <v>500</v>
      </c>
      <c r="C389" s="85">
        <f t="shared" si="201"/>
        <v>0.21600059637204713</v>
      </c>
      <c r="D389" s="68">
        <v>20</v>
      </c>
      <c r="E389" s="97">
        <v>-0.27900000000000003</v>
      </c>
      <c r="F389" s="97">
        <v>13.6</v>
      </c>
      <c r="G389" s="97">
        <v>2</v>
      </c>
      <c r="H389" s="68"/>
      <c r="I389" s="69">
        <f t="shared" si="202"/>
        <v>20</v>
      </c>
      <c r="J389" s="70">
        <f t="shared" si="203"/>
        <v>-0.55800000000000005</v>
      </c>
      <c r="K389" s="70">
        <f t="shared" si="204"/>
        <v>0.79121592757076276</v>
      </c>
      <c r="L389" s="68"/>
    </row>
    <row r="390" spans="1:15" x14ac:dyDescent="0.2">
      <c r="A390" s="68">
        <v>390</v>
      </c>
      <c r="B390" s="68"/>
      <c r="C390" s="85">
        <f t="shared" si="201"/>
        <v>0.21600059637204713</v>
      </c>
      <c r="D390" s="68">
        <v>40</v>
      </c>
      <c r="E390" s="97">
        <v>-0.254</v>
      </c>
      <c r="F390" s="97">
        <v>12.2</v>
      </c>
      <c r="G390" s="97">
        <v>2</v>
      </c>
      <c r="H390" s="68"/>
      <c r="I390" s="69">
        <f t="shared" si="202"/>
        <v>40</v>
      </c>
      <c r="J390" s="155">
        <f t="shared" si="203"/>
        <v>-0.50800000000000001</v>
      </c>
      <c r="K390" s="70">
        <f t="shared" si="204"/>
        <v>0.70976722914436063</v>
      </c>
      <c r="L390" s="68"/>
      <c r="N390" s="261" t="s">
        <v>364</v>
      </c>
      <c r="O390" s="97">
        <v>200</v>
      </c>
    </row>
    <row r="391" spans="1:15" x14ac:dyDescent="0.2">
      <c r="A391" s="68">
        <v>391</v>
      </c>
      <c r="B391" s="68"/>
      <c r="C391" s="85">
        <f t="shared" si="201"/>
        <v>0.21600059637204713</v>
      </c>
      <c r="D391" s="68">
        <v>60</v>
      </c>
      <c r="E391" s="97">
        <v>-0.248</v>
      </c>
      <c r="F391" s="97">
        <v>11</v>
      </c>
      <c r="G391" s="97">
        <v>2</v>
      </c>
      <c r="H391" s="68"/>
      <c r="I391" s="69">
        <f t="shared" si="202"/>
        <v>60</v>
      </c>
      <c r="J391" s="155">
        <f t="shared" si="203"/>
        <v>-0.496</v>
      </c>
      <c r="K391" s="70">
        <f t="shared" si="204"/>
        <v>0.63995405906458747</v>
      </c>
      <c r="L391" s="68"/>
      <c r="N391" s="261" t="s">
        <v>365</v>
      </c>
      <c r="O391" s="97">
        <v>1</v>
      </c>
    </row>
    <row r="392" spans="1:15" x14ac:dyDescent="0.2">
      <c r="A392" s="68">
        <v>392</v>
      </c>
      <c r="B392" s="68"/>
      <c r="C392" s="85">
        <f t="shared" si="201"/>
        <v>0.21600059637204713</v>
      </c>
      <c r="D392" s="68">
        <v>100</v>
      </c>
      <c r="E392" s="97">
        <v>-0.23799999999999999</v>
      </c>
      <c r="F392" s="97">
        <v>9</v>
      </c>
      <c r="G392" s="97">
        <v>2</v>
      </c>
      <c r="H392" s="68"/>
      <c r="I392" s="69">
        <f t="shared" si="202"/>
        <v>100</v>
      </c>
      <c r="J392" s="155">
        <f t="shared" si="203"/>
        <v>-0.47599999999999998</v>
      </c>
      <c r="K392" s="70">
        <f t="shared" si="204"/>
        <v>0.52359877559829882</v>
      </c>
      <c r="L392" s="68"/>
      <c r="N392" s="261" t="s">
        <v>366</v>
      </c>
      <c r="O392" s="97">
        <v>200</v>
      </c>
    </row>
    <row r="393" spans="1:15" x14ac:dyDescent="0.2">
      <c r="A393" s="68">
        <v>393</v>
      </c>
      <c r="B393" s="68"/>
      <c r="C393" s="85">
        <f t="shared" si="201"/>
        <v>0.21600059637204713</v>
      </c>
      <c r="D393" s="68">
        <v>120</v>
      </c>
      <c r="E393" s="97">
        <v>-0.23100000000000001</v>
      </c>
      <c r="F393" s="97">
        <v>8.3000000000000007</v>
      </c>
      <c r="G393" s="97">
        <v>2</v>
      </c>
      <c r="H393" s="68"/>
      <c r="I393" s="69">
        <f t="shared" si="202"/>
        <v>120</v>
      </c>
      <c r="J393" s="155">
        <f t="shared" si="203"/>
        <v>-0.46200000000000002</v>
      </c>
      <c r="K393" s="70">
        <f t="shared" si="204"/>
        <v>0.48287442638509787</v>
      </c>
      <c r="L393" s="68"/>
      <c r="N393" s="261" t="s">
        <v>367</v>
      </c>
      <c r="O393" s="97">
        <v>120</v>
      </c>
    </row>
    <row r="394" spans="1:15" x14ac:dyDescent="0.2">
      <c r="A394" s="68">
        <v>394</v>
      </c>
      <c r="B394" s="68"/>
      <c r="C394" s="68"/>
      <c r="D394" s="68"/>
      <c r="E394" s="68"/>
      <c r="F394" s="68"/>
      <c r="G394" s="125"/>
      <c r="H394" s="68"/>
      <c r="I394" s="68"/>
      <c r="J394" s="23"/>
      <c r="K394" s="68"/>
      <c r="L394" s="68"/>
      <c r="O394" s="370">
        <v>5</v>
      </c>
    </row>
    <row r="395" spans="1:15" x14ac:dyDescent="0.2">
      <c r="A395" s="68">
        <v>395</v>
      </c>
      <c r="B395" s="68"/>
      <c r="C395" s="85">
        <f>B5A0VA</f>
        <v>2.1000057980615688E-2</v>
      </c>
      <c r="D395" s="68">
        <v>5</v>
      </c>
      <c r="E395" s="97">
        <v>-0.224</v>
      </c>
      <c r="F395" s="97">
        <v>13.7</v>
      </c>
      <c r="G395" s="97">
        <v>1</v>
      </c>
      <c r="H395" s="68"/>
      <c r="I395" s="69">
        <f t="shared" ref="I395:I401" si="205">0.1*D395/(5*0.02)</f>
        <v>5</v>
      </c>
      <c r="J395" s="155">
        <f t="shared" ref="J395:J401" si="206">E395*G395</f>
        <v>-0.224</v>
      </c>
      <c r="K395" s="70">
        <f t="shared" ref="K395:K401" si="207">100*RADIANS(G395*F395/60)</f>
        <v>0.39851684587203862</v>
      </c>
      <c r="L395" s="68"/>
    </row>
    <row r="396" spans="1:15" x14ac:dyDescent="0.2">
      <c r="A396" s="68">
        <v>396</v>
      </c>
      <c r="B396" s="68"/>
      <c r="C396" s="85">
        <f t="shared" ref="C396:C401" si="208">B5A0VA</f>
        <v>2.1000057980615688E-2</v>
      </c>
      <c r="D396" s="68">
        <v>10</v>
      </c>
      <c r="E396" s="97">
        <v>-0.183</v>
      </c>
      <c r="F396" s="97">
        <v>10.25</v>
      </c>
      <c r="G396" s="97">
        <v>1</v>
      </c>
      <c r="H396" s="68"/>
      <c r="I396" s="69">
        <f t="shared" si="205"/>
        <v>10</v>
      </c>
      <c r="J396" s="155">
        <f t="shared" si="206"/>
        <v>-0.183</v>
      </c>
      <c r="K396" s="70">
        <f t="shared" si="207"/>
        <v>0.29816041388236464</v>
      </c>
      <c r="L396" s="68"/>
    </row>
    <row r="397" spans="1:15" x14ac:dyDescent="0.2">
      <c r="A397" s="68">
        <v>397</v>
      </c>
      <c r="B397" s="68"/>
      <c r="C397" s="85">
        <f t="shared" si="208"/>
        <v>2.1000057980615688E-2</v>
      </c>
      <c r="D397" s="68">
        <v>20</v>
      </c>
      <c r="E397" s="97">
        <v>-0.156</v>
      </c>
      <c r="F397" s="97">
        <v>8.25</v>
      </c>
      <c r="G397" s="97">
        <v>1</v>
      </c>
      <c r="H397" s="68"/>
      <c r="I397" s="69">
        <f t="shared" si="205"/>
        <v>20</v>
      </c>
      <c r="J397" s="155">
        <f t="shared" si="206"/>
        <v>-0.156</v>
      </c>
      <c r="K397" s="70">
        <f t="shared" si="207"/>
        <v>0.23998277214922034</v>
      </c>
      <c r="L397" s="68"/>
    </row>
    <row r="398" spans="1:15" x14ac:dyDescent="0.2">
      <c r="A398" s="68">
        <v>398</v>
      </c>
      <c r="B398" s="68"/>
      <c r="C398" s="85">
        <f t="shared" si="208"/>
        <v>2.1000057980615688E-2</v>
      </c>
      <c r="D398" s="68">
        <v>40</v>
      </c>
      <c r="E398" s="97">
        <v>-0.13800000000000001</v>
      </c>
      <c r="F398" s="97">
        <v>7.05</v>
      </c>
      <c r="G398" s="97">
        <v>1</v>
      </c>
      <c r="H398" s="68"/>
      <c r="I398" s="69">
        <f t="shared" si="205"/>
        <v>40</v>
      </c>
      <c r="J398" s="155">
        <f t="shared" si="206"/>
        <v>-0.13800000000000001</v>
      </c>
      <c r="K398" s="70">
        <f t="shared" si="207"/>
        <v>0.2050761871093337</v>
      </c>
      <c r="L398" s="68"/>
    </row>
    <row r="399" spans="1:15" x14ac:dyDescent="0.2">
      <c r="A399" s="68">
        <v>399</v>
      </c>
      <c r="B399" s="68"/>
      <c r="C399" s="85">
        <f t="shared" si="208"/>
        <v>2.1000057980615688E-2</v>
      </c>
      <c r="D399" s="68">
        <v>60</v>
      </c>
      <c r="E399" s="97">
        <v>-0.13</v>
      </c>
      <c r="F399" s="97">
        <v>6.55</v>
      </c>
      <c r="G399" s="97">
        <v>1</v>
      </c>
      <c r="H399" s="68"/>
      <c r="I399" s="69">
        <f t="shared" si="205"/>
        <v>60</v>
      </c>
      <c r="J399" s="155">
        <f t="shared" si="206"/>
        <v>-0.13</v>
      </c>
      <c r="K399" s="70">
        <f t="shared" si="207"/>
        <v>0.19053177667604765</v>
      </c>
      <c r="L399" s="68"/>
    </row>
    <row r="400" spans="1:15" x14ac:dyDescent="0.2">
      <c r="A400" s="68">
        <v>400</v>
      </c>
      <c r="B400" s="68"/>
      <c r="C400" s="85">
        <f t="shared" si="208"/>
        <v>2.1000057980615688E-2</v>
      </c>
      <c r="D400" s="68">
        <v>100</v>
      </c>
      <c r="E400" s="97">
        <v>-0.121</v>
      </c>
      <c r="F400" s="97">
        <v>6</v>
      </c>
      <c r="G400" s="97">
        <v>1</v>
      </c>
      <c r="H400" s="68"/>
      <c r="I400" s="69">
        <f t="shared" si="205"/>
        <v>100</v>
      </c>
      <c r="J400" s="155">
        <f t="shared" si="206"/>
        <v>-0.121</v>
      </c>
      <c r="K400" s="70">
        <f t="shared" si="207"/>
        <v>0.17453292519943295</v>
      </c>
      <c r="L400" s="68"/>
    </row>
    <row r="401" spans="1:15" x14ac:dyDescent="0.2">
      <c r="A401" s="68">
        <v>401</v>
      </c>
      <c r="B401" s="68"/>
      <c r="C401" s="85">
        <f t="shared" si="208"/>
        <v>2.1000057980615688E-2</v>
      </c>
      <c r="D401" s="68">
        <v>120</v>
      </c>
      <c r="E401" s="97">
        <v>-0.11899999999999999</v>
      </c>
      <c r="F401" s="97">
        <v>5.9</v>
      </c>
      <c r="G401" s="97">
        <v>1</v>
      </c>
      <c r="H401" s="68"/>
      <c r="I401" s="69">
        <f t="shared" si="205"/>
        <v>120</v>
      </c>
      <c r="J401" s="155">
        <f t="shared" si="206"/>
        <v>-0.11899999999999999</v>
      </c>
      <c r="K401" s="70">
        <f t="shared" si="207"/>
        <v>0.17162404311277576</v>
      </c>
      <c r="L401" s="68"/>
    </row>
    <row r="402" spans="1:15" x14ac:dyDescent="0.2">
      <c r="A402" s="68">
        <v>402</v>
      </c>
      <c r="B402" s="68"/>
      <c r="C402" s="85"/>
      <c r="D402" s="68"/>
      <c r="E402" s="68"/>
      <c r="F402" s="68"/>
      <c r="G402" s="68"/>
      <c r="H402" s="68"/>
      <c r="I402" s="69"/>
      <c r="J402" s="155"/>
      <c r="K402" s="70"/>
      <c r="L402" s="68"/>
    </row>
    <row r="403" spans="1:15" x14ac:dyDescent="0.2">
      <c r="A403" s="68">
        <v>403</v>
      </c>
      <c r="B403" s="96" t="str">
        <f>O408&amp;"/5 Range, "&amp;O409&amp;" turns @ "&amp;O412&amp;"VA burden, vs "&amp;O411&amp;" AT, "&amp;O410&amp;" range, 2 Stage CT"</f>
        <v>200/5 Range, 1 turns @ 1VA burden, vs 120 AT, 200 range, 2 Stage CT</v>
      </c>
      <c r="C403" s="68"/>
      <c r="D403" s="68"/>
      <c r="E403" s="68"/>
      <c r="F403" s="68"/>
      <c r="G403" s="68"/>
      <c r="H403" s="68"/>
      <c r="I403" s="98"/>
    </row>
    <row r="404" spans="1:15" x14ac:dyDescent="0.2">
      <c r="A404" s="68">
        <v>404</v>
      </c>
      <c r="B404" s="96" t="s">
        <v>491</v>
      </c>
      <c r="C404" s="98" t="s">
        <v>121</v>
      </c>
      <c r="D404" s="68"/>
      <c r="E404" s="68"/>
      <c r="F404" s="68"/>
      <c r="G404" s="68"/>
      <c r="H404" s="68"/>
      <c r="I404" s="68"/>
    </row>
    <row r="405" spans="1:15" x14ac:dyDescent="0.2">
      <c r="A405" s="68">
        <v>405</v>
      </c>
      <c r="B405" s="108">
        <v>42611</v>
      </c>
      <c r="C405" s="85">
        <f t="shared" ref="C405:C411" si="209">B5A5.0VA</f>
        <v>0.21600059637204713</v>
      </c>
      <c r="D405" s="68">
        <v>5</v>
      </c>
      <c r="E405" s="97">
        <v>-0.32800000000000001</v>
      </c>
      <c r="F405" s="97">
        <v>18.399999999999999</v>
      </c>
      <c r="G405" s="97">
        <v>1</v>
      </c>
      <c r="H405" s="68"/>
      <c r="I405" s="69">
        <f t="shared" ref="I405:I411" si="210">0.1*D405/(5*0.02)</f>
        <v>5</v>
      </c>
      <c r="J405" s="70">
        <f t="shared" ref="J405:J411" si="211">E405*G405</f>
        <v>-0.32800000000000001</v>
      </c>
      <c r="K405" s="70">
        <f t="shared" ref="K405:K411" si="212">100*RADIANS(G405*F405/60)</f>
        <v>0.53523430394492766</v>
      </c>
    </row>
    <row r="406" spans="1:15" x14ac:dyDescent="0.2">
      <c r="A406" s="68">
        <v>406</v>
      </c>
      <c r="B406" s="68"/>
      <c r="C406" s="85">
        <f t="shared" si="209"/>
        <v>0.21600059637204713</v>
      </c>
      <c r="D406" s="68">
        <v>10</v>
      </c>
      <c r="E406" s="97">
        <v>-0.27900000000000003</v>
      </c>
      <c r="F406" s="97">
        <v>14.9</v>
      </c>
      <c r="G406" s="97">
        <v>1</v>
      </c>
      <c r="H406" s="68"/>
      <c r="I406" s="69">
        <f t="shared" si="210"/>
        <v>10</v>
      </c>
      <c r="J406" s="70">
        <f t="shared" si="211"/>
        <v>-0.27900000000000003</v>
      </c>
      <c r="K406" s="70">
        <f t="shared" si="212"/>
        <v>0.4334234309119252</v>
      </c>
    </row>
    <row r="407" spans="1:15" x14ac:dyDescent="0.2">
      <c r="A407" s="68">
        <v>407</v>
      </c>
      <c r="B407" s="98" t="s">
        <v>494</v>
      </c>
      <c r="C407" s="85">
        <f t="shared" si="209"/>
        <v>0.21600059637204713</v>
      </c>
      <c r="D407" s="68">
        <v>20</v>
      </c>
      <c r="E407" s="97">
        <v>-0.24099999999999999</v>
      </c>
      <c r="F407" s="97">
        <v>12.4</v>
      </c>
      <c r="G407" s="97">
        <v>1</v>
      </c>
      <c r="H407" s="68"/>
      <c r="I407" s="69">
        <f t="shared" si="210"/>
        <v>20</v>
      </c>
      <c r="J407" s="70">
        <f t="shared" si="211"/>
        <v>-0.24099999999999999</v>
      </c>
      <c r="K407" s="70">
        <f t="shared" si="212"/>
        <v>0.36070137874549479</v>
      </c>
      <c r="L407" s="68"/>
    </row>
    <row r="408" spans="1:15" x14ac:dyDescent="0.2">
      <c r="A408" s="68">
        <v>408</v>
      </c>
      <c r="B408" s="68"/>
      <c r="C408" s="85">
        <f t="shared" si="209"/>
        <v>0.21600059637204713</v>
      </c>
      <c r="D408" s="68">
        <v>40</v>
      </c>
      <c r="E408" s="97">
        <v>-0.218</v>
      </c>
      <c r="F408" s="97">
        <v>10.8</v>
      </c>
      <c r="G408" s="97">
        <v>1</v>
      </c>
      <c r="H408" s="68"/>
      <c r="I408" s="69">
        <f t="shared" si="210"/>
        <v>40</v>
      </c>
      <c r="J408" s="155">
        <f t="shared" si="211"/>
        <v>-0.218</v>
      </c>
      <c r="K408" s="70">
        <f t="shared" si="212"/>
        <v>0.31415926535897937</v>
      </c>
      <c r="L408" s="68"/>
      <c r="N408" s="261" t="s">
        <v>364</v>
      </c>
      <c r="O408" s="97">
        <v>200</v>
      </c>
    </row>
    <row r="409" spans="1:15" x14ac:dyDescent="0.2">
      <c r="A409" s="68">
        <v>409</v>
      </c>
      <c r="B409" s="68"/>
      <c r="C409" s="85">
        <f t="shared" si="209"/>
        <v>0.21600059637204713</v>
      </c>
      <c r="D409" s="68">
        <v>60</v>
      </c>
      <c r="E409" s="97">
        <v>-0.20599999999999999</v>
      </c>
      <c r="F409" s="97">
        <v>10.1</v>
      </c>
      <c r="G409" s="97">
        <v>1</v>
      </c>
      <c r="H409" s="68"/>
      <c r="I409" s="69">
        <f t="shared" si="210"/>
        <v>60</v>
      </c>
      <c r="J409" s="155">
        <f t="shared" si="211"/>
        <v>-0.20599999999999999</v>
      </c>
      <c r="K409" s="70">
        <f t="shared" si="212"/>
        <v>0.29379709075237881</v>
      </c>
      <c r="L409" s="68"/>
      <c r="N409" s="261" t="s">
        <v>365</v>
      </c>
      <c r="O409" s="97">
        <v>1</v>
      </c>
    </row>
    <row r="410" spans="1:15" x14ac:dyDescent="0.2">
      <c r="A410" s="68">
        <v>410</v>
      </c>
      <c r="B410" s="68"/>
      <c r="C410" s="85">
        <f t="shared" si="209"/>
        <v>0.21600059637204713</v>
      </c>
      <c r="D410" s="68">
        <v>100</v>
      </c>
      <c r="E410" s="97">
        <v>-0.192</v>
      </c>
      <c r="F410" s="97">
        <v>9.3000000000000007</v>
      </c>
      <c r="G410" s="97">
        <v>1</v>
      </c>
      <c r="H410" s="68"/>
      <c r="I410" s="69">
        <f t="shared" si="210"/>
        <v>100</v>
      </c>
      <c r="J410" s="155">
        <f t="shared" si="211"/>
        <v>-0.192</v>
      </c>
      <c r="K410" s="70">
        <f t="shared" si="212"/>
        <v>0.27052603405912107</v>
      </c>
      <c r="L410" s="68"/>
      <c r="N410" s="261" t="s">
        <v>366</v>
      </c>
      <c r="O410" s="97">
        <v>200</v>
      </c>
    </row>
    <row r="411" spans="1:15" x14ac:dyDescent="0.2">
      <c r="A411" s="68">
        <v>411</v>
      </c>
      <c r="B411" s="68"/>
      <c r="C411" s="85">
        <f t="shared" si="209"/>
        <v>0.21600059637204713</v>
      </c>
      <c r="D411" s="68">
        <v>120</v>
      </c>
      <c r="E411" s="97">
        <v>-0.19</v>
      </c>
      <c r="F411" s="97">
        <v>8.9499999999999993</v>
      </c>
      <c r="G411" s="97">
        <v>1</v>
      </c>
      <c r="H411" s="68"/>
      <c r="I411" s="69">
        <f t="shared" si="210"/>
        <v>120</v>
      </c>
      <c r="J411" s="155">
        <f t="shared" si="211"/>
        <v>-0.19</v>
      </c>
      <c r="K411" s="70">
        <f t="shared" si="212"/>
        <v>0.26034494675582076</v>
      </c>
      <c r="L411" s="68"/>
      <c r="N411" s="261" t="s">
        <v>367</v>
      </c>
      <c r="O411" s="97">
        <v>120</v>
      </c>
    </row>
    <row r="412" spans="1:15" x14ac:dyDescent="0.2">
      <c r="A412" s="68">
        <v>412</v>
      </c>
      <c r="B412" s="68"/>
      <c r="C412" s="68"/>
      <c r="D412" s="68"/>
      <c r="E412" s="68"/>
      <c r="F412" s="68"/>
      <c r="G412" s="125"/>
      <c r="H412" s="68"/>
      <c r="I412" s="68"/>
      <c r="J412" s="23"/>
      <c r="K412" s="68"/>
      <c r="L412" s="68"/>
      <c r="O412" s="370">
        <v>1</v>
      </c>
    </row>
    <row r="413" spans="1:15" x14ac:dyDescent="0.2">
      <c r="A413" s="68">
        <v>413</v>
      </c>
      <c r="B413" s="68"/>
      <c r="C413" s="85">
        <f>B5A0VA</f>
        <v>2.1000057980615688E-2</v>
      </c>
      <c r="D413" s="68">
        <v>5</v>
      </c>
      <c r="E413" s="97">
        <v>-0.22700000000000001</v>
      </c>
      <c r="F413" s="97">
        <v>13.55</v>
      </c>
      <c r="G413" s="97">
        <v>1</v>
      </c>
      <c r="H413" s="68"/>
      <c r="I413" s="69">
        <f t="shared" ref="I413:I419" si="213">0.1*D413/(5*0.02)</f>
        <v>5</v>
      </c>
      <c r="J413" s="155">
        <f t="shared" ref="J413:J419" si="214">E413*G413</f>
        <v>-0.22700000000000001</v>
      </c>
      <c r="K413" s="70">
        <f t="shared" ref="K413:K419" si="215">100*RADIANS(G413*F413/60)</f>
        <v>0.39415352274205279</v>
      </c>
      <c r="L413" s="68"/>
    </row>
    <row r="414" spans="1:15" x14ac:dyDescent="0.2">
      <c r="A414" s="68">
        <v>414</v>
      </c>
      <c r="B414" s="68"/>
      <c r="C414" s="85">
        <f t="shared" ref="C414:C419" si="216">B5A0VA</f>
        <v>2.1000057980615688E-2</v>
      </c>
      <c r="D414" s="68">
        <v>10</v>
      </c>
      <c r="E414" s="97">
        <v>-0.186</v>
      </c>
      <c r="F414" s="97">
        <v>10.3</v>
      </c>
      <c r="G414" s="97">
        <v>1</v>
      </c>
      <c r="H414" s="68"/>
      <c r="I414" s="69">
        <f t="shared" si="213"/>
        <v>10</v>
      </c>
      <c r="J414" s="155">
        <f t="shared" si="214"/>
        <v>-0.186</v>
      </c>
      <c r="K414" s="70">
        <f t="shared" si="215"/>
        <v>0.29961485492569329</v>
      </c>
      <c r="L414" s="68"/>
    </row>
    <row r="415" spans="1:15" x14ac:dyDescent="0.2">
      <c r="A415" s="68">
        <v>415</v>
      </c>
      <c r="B415" s="68"/>
      <c r="C415" s="85">
        <f t="shared" si="216"/>
        <v>2.1000057980615688E-2</v>
      </c>
      <c r="D415" s="68">
        <v>20</v>
      </c>
      <c r="E415" s="97">
        <v>-0.157</v>
      </c>
      <c r="F415" s="97">
        <v>8.3000000000000007</v>
      </c>
      <c r="G415" s="97">
        <v>1</v>
      </c>
      <c r="H415" s="68"/>
      <c r="I415" s="69">
        <f t="shared" si="213"/>
        <v>20</v>
      </c>
      <c r="J415" s="155">
        <f t="shared" si="214"/>
        <v>-0.157</v>
      </c>
      <c r="K415" s="70">
        <f t="shared" si="215"/>
        <v>0.24143721319254893</v>
      </c>
      <c r="L415" s="68"/>
    </row>
    <row r="416" spans="1:15" x14ac:dyDescent="0.2">
      <c r="A416" s="68">
        <v>416</v>
      </c>
      <c r="B416" s="68"/>
      <c r="C416" s="85">
        <f t="shared" si="216"/>
        <v>2.1000057980615688E-2</v>
      </c>
      <c r="D416" s="68">
        <v>40</v>
      </c>
      <c r="E416" s="97">
        <v>-0.13800000000000001</v>
      </c>
      <c r="F416" s="97">
        <v>7.05</v>
      </c>
      <c r="G416" s="97">
        <v>1</v>
      </c>
      <c r="H416" s="68"/>
      <c r="I416" s="69">
        <f t="shared" si="213"/>
        <v>40</v>
      </c>
      <c r="J416" s="155">
        <f t="shared" si="214"/>
        <v>-0.13800000000000001</v>
      </c>
      <c r="K416" s="70">
        <f t="shared" si="215"/>
        <v>0.2050761871093337</v>
      </c>
      <c r="L416" s="68"/>
    </row>
    <row r="417" spans="1:15" x14ac:dyDescent="0.2">
      <c r="A417" s="68">
        <v>417</v>
      </c>
      <c r="B417" s="68"/>
      <c r="C417" s="85">
        <f t="shared" si="216"/>
        <v>2.1000057980615688E-2</v>
      </c>
      <c r="D417" s="68">
        <v>60</v>
      </c>
      <c r="E417" s="97">
        <v>-0.13</v>
      </c>
      <c r="F417" s="97">
        <v>6.55</v>
      </c>
      <c r="G417" s="97">
        <v>1</v>
      </c>
      <c r="H417" s="68"/>
      <c r="I417" s="69">
        <f t="shared" si="213"/>
        <v>60</v>
      </c>
      <c r="J417" s="155">
        <f t="shared" si="214"/>
        <v>-0.13</v>
      </c>
      <c r="K417" s="70">
        <f t="shared" si="215"/>
        <v>0.19053177667604765</v>
      </c>
      <c r="L417" s="68"/>
    </row>
    <row r="418" spans="1:15" x14ac:dyDescent="0.2">
      <c r="A418" s="68">
        <v>418</v>
      </c>
      <c r="B418" s="68"/>
      <c r="C418" s="85">
        <f t="shared" si="216"/>
        <v>2.1000057980615688E-2</v>
      </c>
      <c r="D418" s="68">
        <v>100</v>
      </c>
      <c r="E418" s="97">
        <v>-0.121</v>
      </c>
      <c r="F418" s="97">
        <v>6</v>
      </c>
      <c r="G418" s="97">
        <v>1</v>
      </c>
      <c r="H418" s="68"/>
      <c r="I418" s="69">
        <f t="shared" si="213"/>
        <v>100</v>
      </c>
      <c r="J418" s="155">
        <f t="shared" si="214"/>
        <v>-0.121</v>
      </c>
      <c r="K418" s="70">
        <f t="shared" si="215"/>
        <v>0.17453292519943295</v>
      </c>
      <c r="L418" s="68"/>
    </row>
    <row r="419" spans="1:15" x14ac:dyDescent="0.2">
      <c r="A419" s="68">
        <v>419</v>
      </c>
      <c r="B419" s="68"/>
      <c r="C419" s="85">
        <f t="shared" si="216"/>
        <v>2.1000057980615688E-2</v>
      </c>
      <c r="D419" s="68">
        <v>120</v>
      </c>
      <c r="E419" s="97">
        <v>-0.11899999999999999</v>
      </c>
      <c r="F419" s="97">
        <v>5.9</v>
      </c>
      <c r="G419" s="97">
        <v>1</v>
      </c>
      <c r="H419" s="68"/>
      <c r="I419" s="69">
        <f t="shared" si="213"/>
        <v>120</v>
      </c>
      <c r="J419" s="155">
        <f t="shared" si="214"/>
        <v>-0.11899999999999999</v>
      </c>
      <c r="K419" s="70">
        <f t="shared" si="215"/>
        <v>0.17162404311277576</v>
      </c>
      <c r="L419" s="68"/>
    </row>
    <row r="420" spans="1:15" x14ac:dyDescent="0.2">
      <c r="A420" s="68">
        <v>420</v>
      </c>
      <c r="B420" s="68"/>
      <c r="C420" s="85"/>
      <c r="D420" s="68"/>
      <c r="E420" s="68"/>
      <c r="F420" s="68"/>
      <c r="G420" s="68"/>
      <c r="H420" s="68"/>
      <c r="I420" s="68"/>
      <c r="J420" s="155"/>
      <c r="K420" s="70"/>
      <c r="L420" s="68"/>
    </row>
    <row r="421" spans="1:15" x14ac:dyDescent="0.2">
      <c r="A421" s="68">
        <v>421</v>
      </c>
      <c r="B421" s="96" t="str">
        <f>O426&amp;"/5 Range, "&amp;O427&amp;" turns @ "&amp;O430&amp;"VA burden, vs "&amp;O429&amp;" AT, "&amp;O428&amp;" range, 2 Stage CT"</f>
        <v>200/5 Range, 1 turns @ 5VA burden, vs 120 AT, 200 range, 2 Stage CT</v>
      </c>
      <c r="C421" s="68"/>
      <c r="D421" s="68"/>
      <c r="E421" s="68"/>
      <c r="F421" s="68"/>
      <c r="G421" s="68"/>
      <c r="H421" s="68"/>
      <c r="I421" s="98"/>
    </row>
    <row r="422" spans="1:15" x14ac:dyDescent="0.2">
      <c r="A422" s="68">
        <v>422</v>
      </c>
      <c r="B422" s="96" t="s">
        <v>491</v>
      </c>
      <c r="C422" s="98" t="s">
        <v>121</v>
      </c>
      <c r="D422" s="68"/>
      <c r="E422" s="68"/>
      <c r="F422" s="68"/>
      <c r="G422" s="68"/>
      <c r="H422" s="68"/>
      <c r="I422" s="68"/>
    </row>
    <row r="423" spans="1:15" x14ac:dyDescent="0.2">
      <c r="A423" s="68">
        <v>423</v>
      </c>
      <c r="B423" s="108">
        <v>42613</v>
      </c>
      <c r="C423" s="85">
        <f t="shared" ref="C423:C429" si="217">B5A5.0VA</f>
        <v>0.21600059637204713</v>
      </c>
      <c r="D423" s="68">
        <v>5</v>
      </c>
      <c r="E423" s="97">
        <v>-0.34699999999999998</v>
      </c>
      <c r="F423" s="97">
        <v>18.100000000000001</v>
      </c>
      <c r="G423" s="97">
        <v>2</v>
      </c>
      <c r="H423" s="68"/>
      <c r="I423" s="69">
        <f t="shared" ref="I423:I429" si="218">0.1*D423/(5*0.02)</f>
        <v>5</v>
      </c>
      <c r="J423" s="70">
        <f t="shared" ref="J423:J429" si="219">E423*G423</f>
        <v>-0.69399999999999995</v>
      </c>
      <c r="K423" s="70">
        <f t="shared" ref="K423:K429" si="220">100*RADIANS(G423*F423/60)</f>
        <v>1.0530153153699122</v>
      </c>
    </row>
    <row r="424" spans="1:15" x14ac:dyDescent="0.2">
      <c r="A424" s="68">
        <v>424</v>
      </c>
      <c r="B424" s="68"/>
      <c r="C424" s="85">
        <f t="shared" si="217"/>
        <v>0.21600059637204713</v>
      </c>
      <c r="D424" s="68">
        <v>10</v>
      </c>
      <c r="E424" s="97">
        <v>-0.308</v>
      </c>
      <c r="F424" s="97">
        <v>15.6</v>
      </c>
      <c r="G424" s="97">
        <v>2</v>
      </c>
      <c r="H424" s="68"/>
      <c r="I424" s="69">
        <f t="shared" si="218"/>
        <v>10</v>
      </c>
      <c r="J424" s="70">
        <f t="shared" si="219"/>
        <v>-0.61599999999999999</v>
      </c>
      <c r="K424" s="70">
        <f t="shared" si="220"/>
        <v>0.90757121103705141</v>
      </c>
    </row>
    <row r="425" spans="1:15" x14ac:dyDescent="0.2">
      <c r="A425" s="68">
        <v>425</v>
      </c>
      <c r="B425" s="98" t="s">
        <v>500</v>
      </c>
      <c r="C425" s="85">
        <f t="shared" si="217"/>
        <v>0.21600059637204713</v>
      </c>
      <c r="D425" s="68">
        <v>20</v>
      </c>
      <c r="E425" s="97">
        <v>-0.27900000000000003</v>
      </c>
      <c r="F425" s="97">
        <v>13.7</v>
      </c>
      <c r="G425" s="97">
        <v>2</v>
      </c>
      <c r="H425" s="68"/>
      <c r="I425" s="69">
        <f t="shared" si="218"/>
        <v>20</v>
      </c>
      <c r="J425" s="70">
        <f t="shared" si="219"/>
        <v>-0.55800000000000005</v>
      </c>
      <c r="K425" s="70">
        <f t="shared" si="220"/>
        <v>0.79703369174407723</v>
      </c>
      <c r="L425" s="68"/>
    </row>
    <row r="426" spans="1:15" x14ac:dyDescent="0.2">
      <c r="A426" s="68">
        <v>426</v>
      </c>
      <c r="B426" s="68"/>
      <c r="C426" s="85">
        <f t="shared" si="217"/>
        <v>0.21600059637204713</v>
      </c>
      <c r="D426" s="68">
        <v>40</v>
      </c>
      <c r="E426" s="97">
        <v>-0.254</v>
      </c>
      <c r="F426" s="97">
        <v>12.25</v>
      </c>
      <c r="G426" s="97">
        <v>2</v>
      </c>
      <c r="H426" s="68"/>
      <c r="I426" s="69">
        <f t="shared" si="218"/>
        <v>40</v>
      </c>
      <c r="J426" s="155">
        <f t="shared" si="219"/>
        <v>-0.50800000000000001</v>
      </c>
      <c r="K426" s="70">
        <f t="shared" si="220"/>
        <v>0.71267611123101793</v>
      </c>
      <c r="L426" s="68"/>
      <c r="N426" s="261" t="s">
        <v>364</v>
      </c>
      <c r="O426" s="97">
        <v>200</v>
      </c>
    </row>
    <row r="427" spans="1:15" x14ac:dyDescent="0.2">
      <c r="A427" s="68">
        <v>427</v>
      </c>
      <c r="B427" s="68"/>
      <c r="C427" s="85">
        <f t="shared" si="217"/>
        <v>0.21600059637204713</v>
      </c>
      <c r="D427" s="68">
        <v>60</v>
      </c>
      <c r="E427" s="97">
        <v>-0.2495</v>
      </c>
      <c r="F427" s="97">
        <v>11.05</v>
      </c>
      <c r="G427" s="97">
        <v>2</v>
      </c>
      <c r="H427" s="68"/>
      <c r="I427" s="69">
        <f t="shared" si="218"/>
        <v>60</v>
      </c>
      <c r="J427" s="155">
        <f t="shared" si="219"/>
        <v>-0.499</v>
      </c>
      <c r="K427" s="70">
        <f t="shared" si="220"/>
        <v>0.64286294115124476</v>
      </c>
      <c r="L427" s="68"/>
      <c r="N427" s="261" t="s">
        <v>365</v>
      </c>
      <c r="O427" s="97">
        <v>1</v>
      </c>
    </row>
    <row r="428" spans="1:15" x14ac:dyDescent="0.2">
      <c r="A428" s="68">
        <v>428</v>
      </c>
      <c r="B428" s="68"/>
      <c r="C428" s="85">
        <f t="shared" si="217"/>
        <v>0.21600059637204713</v>
      </c>
      <c r="D428" s="68">
        <v>100</v>
      </c>
      <c r="E428" s="97">
        <v>-0.23899999999999999</v>
      </c>
      <c r="F428" s="97">
        <v>9.0500000000000007</v>
      </c>
      <c r="G428" s="97">
        <v>2</v>
      </c>
      <c r="H428" s="68"/>
      <c r="I428" s="69">
        <f t="shared" si="218"/>
        <v>100</v>
      </c>
      <c r="J428" s="155">
        <f t="shared" si="219"/>
        <v>-0.47799999999999998</v>
      </c>
      <c r="K428" s="70">
        <f t="shared" si="220"/>
        <v>0.52650765768495611</v>
      </c>
      <c r="L428" s="68"/>
      <c r="N428" s="261" t="s">
        <v>366</v>
      </c>
      <c r="O428" s="97">
        <v>200</v>
      </c>
    </row>
    <row r="429" spans="1:15" x14ac:dyDescent="0.2">
      <c r="A429" s="68">
        <v>429</v>
      </c>
      <c r="B429" s="68"/>
      <c r="C429" s="85">
        <f t="shared" si="217"/>
        <v>0.21600059637204713</v>
      </c>
      <c r="D429" s="68">
        <v>120</v>
      </c>
      <c r="E429" s="97">
        <v>-0.23100000000000001</v>
      </c>
      <c r="F429" s="97">
        <v>8.3000000000000007</v>
      </c>
      <c r="G429" s="97">
        <v>2</v>
      </c>
      <c r="H429" s="68"/>
      <c r="I429" s="69">
        <f t="shared" si="218"/>
        <v>120</v>
      </c>
      <c r="J429" s="155">
        <f t="shared" si="219"/>
        <v>-0.46200000000000002</v>
      </c>
      <c r="K429" s="70">
        <f t="shared" si="220"/>
        <v>0.48287442638509787</v>
      </c>
      <c r="L429" s="68"/>
      <c r="N429" s="261" t="s">
        <v>367</v>
      </c>
      <c r="O429" s="97">
        <v>120</v>
      </c>
    </row>
    <row r="430" spans="1:15" x14ac:dyDescent="0.2">
      <c r="A430" s="68">
        <v>430</v>
      </c>
      <c r="B430" s="68"/>
      <c r="C430" s="68"/>
      <c r="D430" s="68"/>
      <c r="E430" s="68"/>
      <c r="F430" s="68"/>
      <c r="G430" s="125"/>
      <c r="H430" s="68"/>
      <c r="I430" s="68"/>
      <c r="J430" s="23"/>
      <c r="K430" s="68"/>
      <c r="L430" s="68"/>
      <c r="O430" s="370">
        <v>5</v>
      </c>
    </row>
    <row r="431" spans="1:15" x14ac:dyDescent="0.2">
      <c r="A431" s="68">
        <v>431</v>
      </c>
      <c r="B431" s="68"/>
      <c r="C431" s="85">
        <f>B5A0VA</f>
        <v>2.1000057980615688E-2</v>
      </c>
      <c r="D431" s="68">
        <v>5</v>
      </c>
      <c r="E431" s="97">
        <v>-0.22500000000000001</v>
      </c>
      <c r="F431" s="97">
        <v>13.6</v>
      </c>
      <c r="G431" s="97">
        <v>1</v>
      </c>
      <c r="H431" s="68"/>
      <c r="I431" s="69">
        <f t="shared" ref="I431:I437" si="221">0.1*D431/(5*0.02)</f>
        <v>5</v>
      </c>
      <c r="J431" s="155">
        <f t="shared" ref="J431:J437" si="222">E431*G431</f>
        <v>-0.22500000000000001</v>
      </c>
      <c r="K431" s="70">
        <f t="shared" ref="K431:K437" si="223">100*RADIANS(G431*F431/60)</f>
        <v>0.39560796378538138</v>
      </c>
      <c r="L431" s="68"/>
    </row>
    <row r="432" spans="1:15" x14ac:dyDescent="0.2">
      <c r="A432" s="68">
        <v>432</v>
      </c>
      <c r="B432" s="68"/>
      <c r="C432" s="85">
        <f t="shared" ref="C432:C437" si="224">B5A0VA</f>
        <v>2.1000057980615688E-2</v>
      </c>
      <c r="D432" s="68">
        <v>10</v>
      </c>
      <c r="E432" s="97">
        <v>-0.184</v>
      </c>
      <c r="F432" s="97">
        <v>10.3</v>
      </c>
      <c r="G432" s="97">
        <v>1</v>
      </c>
      <c r="H432" s="68"/>
      <c r="I432" s="69">
        <f t="shared" si="221"/>
        <v>10</v>
      </c>
      <c r="J432" s="155">
        <f t="shared" si="222"/>
        <v>-0.184</v>
      </c>
      <c r="K432" s="70">
        <f t="shared" si="223"/>
        <v>0.29961485492569329</v>
      </c>
      <c r="L432" s="68"/>
    </row>
    <row r="433" spans="1:15" x14ac:dyDescent="0.2">
      <c r="A433" s="68">
        <v>433</v>
      </c>
      <c r="B433" s="68"/>
      <c r="C433" s="85">
        <f t="shared" si="224"/>
        <v>2.1000057980615688E-2</v>
      </c>
      <c r="D433" s="68">
        <v>20</v>
      </c>
      <c r="E433" s="97">
        <v>-0.157</v>
      </c>
      <c r="F433" s="97">
        <v>8.3000000000000007</v>
      </c>
      <c r="G433" s="97">
        <v>1</v>
      </c>
      <c r="H433" s="68"/>
      <c r="I433" s="69">
        <f t="shared" si="221"/>
        <v>20</v>
      </c>
      <c r="J433" s="155">
        <f t="shared" si="222"/>
        <v>-0.157</v>
      </c>
      <c r="K433" s="70">
        <f t="shared" si="223"/>
        <v>0.24143721319254893</v>
      </c>
      <c r="L433" s="68"/>
    </row>
    <row r="434" spans="1:15" x14ac:dyDescent="0.2">
      <c r="A434" s="68">
        <v>434</v>
      </c>
      <c r="B434" s="68"/>
      <c r="C434" s="85">
        <f t="shared" si="224"/>
        <v>2.1000057980615688E-2</v>
      </c>
      <c r="D434" s="68">
        <v>40</v>
      </c>
      <c r="E434" s="97">
        <v>-0.13800000000000001</v>
      </c>
      <c r="F434" s="97">
        <v>7.05</v>
      </c>
      <c r="G434" s="97">
        <v>1</v>
      </c>
      <c r="H434" s="68"/>
      <c r="I434" s="69">
        <f t="shared" si="221"/>
        <v>40</v>
      </c>
      <c r="J434" s="155">
        <f t="shared" si="222"/>
        <v>-0.13800000000000001</v>
      </c>
      <c r="K434" s="70">
        <f t="shared" si="223"/>
        <v>0.2050761871093337</v>
      </c>
      <c r="L434" s="68"/>
    </row>
    <row r="435" spans="1:15" x14ac:dyDescent="0.2">
      <c r="A435" s="68">
        <v>435</v>
      </c>
      <c r="B435" s="68"/>
      <c r="C435" s="85">
        <f t="shared" si="224"/>
        <v>2.1000057980615688E-2</v>
      </c>
      <c r="D435" s="68">
        <v>60</v>
      </c>
      <c r="E435" s="97">
        <v>-0.1295</v>
      </c>
      <c r="F435" s="97">
        <v>6.55</v>
      </c>
      <c r="G435" s="97">
        <v>1</v>
      </c>
      <c r="H435" s="68"/>
      <c r="I435" s="69">
        <f t="shared" si="221"/>
        <v>60</v>
      </c>
      <c r="J435" s="155">
        <f t="shared" si="222"/>
        <v>-0.1295</v>
      </c>
      <c r="K435" s="70">
        <f t="shared" si="223"/>
        <v>0.19053177667604765</v>
      </c>
      <c r="L435" s="68"/>
    </row>
    <row r="436" spans="1:15" x14ac:dyDescent="0.2">
      <c r="A436" s="68">
        <v>436</v>
      </c>
      <c r="B436" s="68"/>
      <c r="C436" s="85">
        <f t="shared" si="224"/>
        <v>2.1000057980615688E-2</v>
      </c>
      <c r="D436" s="68">
        <v>100</v>
      </c>
      <c r="E436" s="97">
        <v>-0.121</v>
      </c>
      <c r="F436" s="97">
        <v>6.05</v>
      </c>
      <c r="G436" s="97">
        <v>1</v>
      </c>
      <c r="H436" s="68"/>
      <c r="I436" s="69">
        <f t="shared" si="221"/>
        <v>100</v>
      </c>
      <c r="J436" s="155">
        <f t="shared" si="222"/>
        <v>-0.121</v>
      </c>
      <c r="K436" s="70">
        <f t="shared" si="223"/>
        <v>0.17598736624276154</v>
      </c>
      <c r="L436" s="68"/>
    </row>
    <row r="437" spans="1:15" x14ac:dyDescent="0.2">
      <c r="A437" s="68">
        <v>437</v>
      </c>
      <c r="B437" s="68"/>
      <c r="C437" s="85">
        <f t="shared" si="224"/>
        <v>2.1000057980615688E-2</v>
      </c>
      <c r="D437" s="68">
        <v>120</v>
      </c>
      <c r="E437" s="97">
        <v>-0.11899999999999999</v>
      </c>
      <c r="F437" s="97">
        <v>5.9</v>
      </c>
      <c r="G437" s="97">
        <v>1</v>
      </c>
      <c r="H437" s="68"/>
      <c r="I437" s="69">
        <f t="shared" si="221"/>
        <v>120</v>
      </c>
      <c r="J437" s="155">
        <f t="shared" si="222"/>
        <v>-0.11899999999999999</v>
      </c>
      <c r="K437" s="70">
        <f t="shared" si="223"/>
        <v>0.17162404311277576</v>
      </c>
      <c r="L437" s="68"/>
    </row>
    <row r="438" spans="1:15" x14ac:dyDescent="0.2">
      <c r="A438" s="68">
        <v>438</v>
      </c>
      <c r="B438" s="68"/>
      <c r="C438" s="85"/>
      <c r="D438" s="68"/>
      <c r="E438" s="68"/>
      <c r="F438" s="68"/>
      <c r="G438" s="68"/>
      <c r="H438" s="68"/>
      <c r="I438" s="69"/>
      <c r="J438" s="155"/>
      <c r="K438" s="70"/>
      <c r="L438" s="68"/>
    </row>
    <row r="439" spans="1:15" x14ac:dyDescent="0.2">
      <c r="A439" s="68">
        <v>439</v>
      </c>
      <c r="B439" s="96" t="str">
        <f>O444&amp;"/5 Range, "&amp;O445&amp;" turns @ "&amp;O448&amp;"VA burden, vs "&amp;O447&amp;" AT, "&amp;O446&amp;" range, 2 Stage CT"</f>
        <v>200/5 Range, 1 turns @ 1VA burden, vs 120 AT, 200 range, 2 Stage CT</v>
      </c>
      <c r="C439" s="68"/>
      <c r="D439" s="68"/>
      <c r="E439" s="68"/>
      <c r="F439" s="68"/>
    </row>
    <row r="440" spans="1:15" x14ac:dyDescent="0.2">
      <c r="A440" s="68">
        <v>440</v>
      </c>
      <c r="B440" s="96" t="s">
        <v>491</v>
      </c>
      <c r="C440" s="98" t="s">
        <v>121</v>
      </c>
      <c r="D440" s="68"/>
      <c r="E440" s="68"/>
      <c r="F440" s="68"/>
      <c r="G440" s="68"/>
      <c r="H440" s="68"/>
      <c r="I440" s="68"/>
    </row>
    <row r="441" spans="1:15" x14ac:dyDescent="0.2">
      <c r="A441" s="68">
        <v>441</v>
      </c>
      <c r="B441" s="108">
        <v>42613</v>
      </c>
      <c r="C441" s="85">
        <f t="shared" ref="C441:C447" si="225">B5A5.0VA</f>
        <v>0.21600059637204713</v>
      </c>
      <c r="D441" s="68">
        <v>5</v>
      </c>
      <c r="E441" s="97">
        <v>-0.32900000000000001</v>
      </c>
      <c r="F441" s="97">
        <v>18.7</v>
      </c>
      <c r="G441" s="97">
        <v>1</v>
      </c>
      <c r="H441" s="68"/>
      <c r="I441" s="69">
        <f t="shared" ref="I441:I447" si="226">0.1*D441/(5*0.02)</f>
        <v>5</v>
      </c>
      <c r="J441" s="70">
        <f t="shared" ref="J441:J447" si="227">E441*G441</f>
        <v>-0.32900000000000001</v>
      </c>
      <c r="K441" s="70">
        <f t="shared" ref="K441:K447" si="228">100*RADIANS(G441*F441/60)</f>
        <v>0.54396095020489932</v>
      </c>
    </row>
    <row r="442" spans="1:15" x14ac:dyDescent="0.2">
      <c r="A442" s="68">
        <v>442</v>
      </c>
      <c r="B442" s="68"/>
      <c r="C442" s="85">
        <f t="shared" si="225"/>
        <v>0.21600059637204713</v>
      </c>
      <c r="D442" s="68">
        <v>10</v>
      </c>
      <c r="E442" s="97">
        <v>-0.27800000000000002</v>
      </c>
      <c r="F442" s="97">
        <v>15</v>
      </c>
      <c r="G442" s="97">
        <v>1</v>
      </c>
      <c r="H442" s="68"/>
      <c r="I442" s="69">
        <f t="shared" si="226"/>
        <v>10</v>
      </c>
      <c r="J442" s="70">
        <f t="shared" si="227"/>
        <v>-0.27800000000000002</v>
      </c>
      <c r="K442" s="70">
        <f t="shared" si="228"/>
        <v>0.43633231299858238</v>
      </c>
    </row>
    <row r="443" spans="1:15" x14ac:dyDescent="0.2">
      <c r="A443" s="68">
        <v>443</v>
      </c>
      <c r="B443" s="98" t="s">
        <v>494</v>
      </c>
      <c r="C443" s="85">
        <f t="shared" si="225"/>
        <v>0.21600059637204713</v>
      </c>
      <c r="D443" s="68">
        <v>20</v>
      </c>
      <c r="E443" s="97">
        <v>-0.24</v>
      </c>
      <c r="F443" s="97">
        <v>12.5</v>
      </c>
      <c r="G443" s="97">
        <v>1</v>
      </c>
      <c r="H443" s="68"/>
      <c r="I443" s="69">
        <f t="shared" si="226"/>
        <v>20</v>
      </c>
      <c r="J443" s="70">
        <f t="shared" si="227"/>
        <v>-0.24</v>
      </c>
      <c r="K443" s="70">
        <f t="shared" si="228"/>
        <v>0.36361026083215198</v>
      </c>
      <c r="L443" s="68"/>
    </row>
    <row r="444" spans="1:15" x14ac:dyDescent="0.2">
      <c r="A444" s="68">
        <v>444</v>
      </c>
      <c r="B444" s="68"/>
      <c r="C444" s="85">
        <f t="shared" si="225"/>
        <v>0.21600059637204713</v>
      </c>
      <c r="D444" s="68">
        <v>40</v>
      </c>
      <c r="E444" s="97">
        <v>-0.218</v>
      </c>
      <c r="F444" s="97">
        <v>10.9</v>
      </c>
      <c r="G444" s="97">
        <v>1</v>
      </c>
      <c r="H444" s="68"/>
      <c r="I444" s="69">
        <f t="shared" si="226"/>
        <v>40</v>
      </c>
      <c r="J444" s="155">
        <f t="shared" si="227"/>
        <v>-0.218</v>
      </c>
      <c r="K444" s="70">
        <f t="shared" si="228"/>
        <v>0.31706814744563655</v>
      </c>
      <c r="L444" s="68"/>
      <c r="N444" s="261" t="s">
        <v>364</v>
      </c>
      <c r="O444" s="97">
        <v>200</v>
      </c>
    </row>
    <row r="445" spans="1:15" x14ac:dyDescent="0.2">
      <c r="A445" s="68">
        <v>445</v>
      </c>
      <c r="B445" s="68"/>
      <c r="C445" s="85">
        <f t="shared" si="225"/>
        <v>0.21600059637204713</v>
      </c>
      <c r="D445" s="68">
        <v>60</v>
      </c>
      <c r="E445" s="97">
        <v>-0.20599999999999999</v>
      </c>
      <c r="F445" s="97">
        <v>10.1</v>
      </c>
      <c r="G445" s="97">
        <v>1</v>
      </c>
      <c r="H445" s="68"/>
      <c r="I445" s="69">
        <f t="shared" si="226"/>
        <v>60</v>
      </c>
      <c r="J445" s="155">
        <f t="shared" si="227"/>
        <v>-0.20599999999999999</v>
      </c>
      <c r="K445" s="70">
        <f t="shared" si="228"/>
        <v>0.29379709075237881</v>
      </c>
      <c r="L445" s="68"/>
      <c r="N445" s="261" t="s">
        <v>365</v>
      </c>
      <c r="O445" s="97">
        <v>1</v>
      </c>
    </row>
    <row r="446" spans="1:15" x14ac:dyDescent="0.2">
      <c r="A446" s="68">
        <v>446</v>
      </c>
      <c r="B446" s="68"/>
      <c r="C446" s="85">
        <f t="shared" si="225"/>
        <v>0.21600059637204713</v>
      </c>
      <c r="D446" s="68">
        <v>100</v>
      </c>
      <c r="E446" s="97">
        <v>-0.193</v>
      </c>
      <c r="F446" s="97">
        <v>9.3000000000000007</v>
      </c>
      <c r="G446" s="97">
        <v>1</v>
      </c>
      <c r="H446" s="68"/>
      <c r="I446" s="69">
        <f t="shared" si="226"/>
        <v>100</v>
      </c>
      <c r="J446" s="155">
        <f t="shared" si="227"/>
        <v>-0.193</v>
      </c>
      <c r="K446" s="70">
        <f t="shared" si="228"/>
        <v>0.27052603405912107</v>
      </c>
      <c r="L446" s="68"/>
      <c r="N446" s="261" t="s">
        <v>366</v>
      </c>
      <c r="O446" s="97">
        <v>200</v>
      </c>
    </row>
    <row r="447" spans="1:15" x14ac:dyDescent="0.2">
      <c r="A447" s="68">
        <v>447</v>
      </c>
      <c r="B447" s="68"/>
      <c r="C447" s="85">
        <f t="shared" si="225"/>
        <v>0.21600059637204713</v>
      </c>
      <c r="D447" s="68">
        <v>120</v>
      </c>
      <c r="E447" s="97">
        <v>-0.19</v>
      </c>
      <c r="F447" s="97">
        <v>9</v>
      </c>
      <c r="G447" s="97">
        <v>1</v>
      </c>
      <c r="H447" s="68"/>
      <c r="I447" s="69">
        <f t="shared" si="226"/>
        <v>120</v>
      </c>
      <c r="J447" s="155">
        <f t="shared" si="227"/>
        <v>-0.19</v>
      </c>
      <c r="K447" s="70">
        <f t="shared" si="228"/>
        <v>0.26179938779914941</v>
      </c>
      <c r="L447" s="68"/>
      <c r="N447" s="261" t="s">
        <v>367</v>
      </c>
      <c r="O447" s="97">
        <v>120</v>
      </c>
    </row>
    <row r="448" spans="1:15" x14ac:dyDescent="0.2">
      <c r="A448" s="68">
        <v>448</v>
      </c>
      <c r="B448" s="68"/>
      <c r="C448" s="68"/>
      <c r="D448" s="68"/>
      <c r="E448" s="68"/>
      <c r="F448" s="68"/>
      <c r="G448" s="125"/>
      <c r="H448" s="68"/>
      <c r="I448" s="68"/>
      <c r="J448" s="23"/>
      <c r="K448" s="68"/>
      <c r="L448" s="68"/>
      <c r="O448" s="370">
        <v>1</v>
      </c>
    </row>
    <row r="449" spans="1:15" x14ac:dyDescent="0.2">
      <c r="A449" s="68">
        <v>449</v>
      </c>
      <c r="B449" s="68"/>
      <c r="C449" s="85">
        <f>B5A0VA</f>
        <v>2.1000057980615688E-2</v>
      </c>
      <c r="D449" s="68">
        <v>5</v>
      </c>
      <c r="E449" s="97">
        <v>-0.223</v>
      </c>
      <c r="F449" s="97">
        <v>13.6</v>
      </c>
      <c r="G449" s="97">
        <v>1</v>
      </c>
      <c r="H449" s="68"/>
      <c r="I449" s="69">
        <f t="shared" ref="I449:I455" si="229">0.1*D449/(5*0.02)</f>
        <v>5</v>
      </c>
      <c r="J449" s="155">
        <f t="shared" ref="J449:J455" si="230">E449*G449</f>
        <v>-0.223</v>
      </c>
      <c r="K449" s="70">
        <f t="shared" ref="K449:K455" si="231">100*RADIANS(G449*F449/60)</f>
        <v>0.39560796378538138</v>
      </c>
      <c r="L449" s="68"/>
    </row>
    <row r="450" spans="1:15" x14ac:dyDescent="0.2">
      <c r="A450" s="68">
        <v>450</v>
      </c>
      <c r="B450" s="68"/>
      <c r="C450" s="85">
        <f t="shared" ref="C450:C455" si="232">B5A0VA</f>
        <v>2.1000057980615688E-2</v>
      </c>
      <c r="D450" s="68">
        <v>10</v>
      </c>
      <c r="E450" s="97">
        <v>-0.184</v>
      </c>
      <c r="F450" s="97">
        <v>10.25</v>
      </c>
      <c r="G450" s="97">
        <v>1</v>
      </c>
      <c r="H450" s="68"/>
      <c r="I450" s="69">
        <f t="shared" si="229"/>
        <v>10</v>
      </c>
      <c r="J450" s="155">
        <f t="shared" si="230"/>
        <v>-0.184</v>
      </c>
      <c r="K450" s="70">
        <f t="shared" si="231"/>
        <v>0.29816041388236464</v>
      </c>
      <c r="L450" s="68"/>
    </row>
    <row r="451" spans="1:15" x14ac:dyDescent="0.2">
      <c r="A451" s="68">
        <v>451</v>
      </c>
      <c r="B451" s="68"/>
      <c r="C451" s="85">
        <f t="shared" si="232"/>
        <v>2.1000057980615688E-2</v>
      </c>
      <c r="D451" s="68">
        <v>20</v>
      </c>
      <c r="E451" s="97">
        <v>-0.158</v>
      </c>
      <c r="F451" s="97">
        <v>8.25</v>
      </c>
      <c r="G451" s="97">
        <v>1</v>
      </c>
      <c r="H451" s="68"/>
      <c r="I451" s="69">
        <f t="shared" si="229"/>
        <v>20</v>
      </c>
      <c r="J451" s="155">
        <f t="shared" si="230"/>
        <v>-0.158</v>
      </c>
      <c r="K451" s="70">
        <f t="shared" si="231"/>
        <v>0.23998277214922034</v>
      </c>
      <c r="L451" s="68"/>
    </row>
    <row r="452" spans="1:15" x14ac:dyDescent="0.2">
      <c r="A452" s="68">
        <v>452</v>
      </c>
      <c r="B452" s="68"/>
      <c r="C452" s="85">
        <f t="shared" si="232"/>
        <v>2.1000057980615688E-2</v>
      </c>
      <c r="D452" s="68">
        <v>40</v>
      </c>
      <c r="E452" s="97">
        <v>-0.13800000000000001</v>
      </c>
      <c r="F452" s="97">
        <v>7.05</v>
      </c>
      <c r="G452" s="97">
        <v>1</v>
      </c>
      <c r="H452" s="68"/>
      <c r="I452" s="69">
        <f t="shared" si="229"/>
        <v>40</v>
      </c>
      <c r="J452" s="155">
        <f t="shared" si="230"/>
        <v>-0.13800000000000001</v>
      </c>
      <c r="K452" s="70">
        <f t="shared" si="231"/>
        <v>0.2050761871093337</v>
      </c>
      <c r="L452" s="68"/>
    </row>
    <row r="453" spans="1:15" x14ac:dyDescent="0.2">
      <c r="A453" s="68">
        <v>453</v>
      </c>
      <c r="B453" s="68"/>
      <c r="C453" s="85">
        <f t="shared" si="232"/>
        <v>2.1000057980615688E-2</v>
      </c>
      <c r="D453" s="68">
        <v>60</v>
      </c>
      <c r="E453" s="97">
        <v>-0.13</v>
      </c>
      <c r="F453" s="97">
        <v>6.55</v>
      </c>
      <c r="G453" s="97">
        <v>1</v>
      </c>
      <c r="H453" s="68"/>
      <c r="I453" s="69">
        <f t="shared" si="229"/>
        <v>60</v>
      </c>
      <c r="J453" s="155">
        <f t="shared" si="230"/>
        <v>-0.13</v>
      </c>
      <c r="K453" s="70">
        <f t="shared" si="231"/>
        <v>0.19053177667604765</v>
      </c>
      <c r="L453" s="68"/>
    </row>
    <row r="454" spans="1:15" x14ac:dyDescent="0.2">
      <c r="A454" s="68">
        <v>454</v>
      </c>
      <c r="B454" s="68"/>
      <c r="C454" s="85">
        <f t="shared" si="232"/>
        <v>2.1000057980615688E-2</v>
      </c>
      <c r="D454" s="68">
        <v>100</v>
      </c>
      <c r="E454" s="97">
        <v>-0.121</v>
      </c>
      <c r="F454" s="97">
        <v>6</v>
      </c>
      <c r="G454" s="97">
        <v>1</v>
      </c>
      <c r="H454" s="68"/>
      <c r="I454" s="69">
        <f t="shared" si="229"/>
        <v>100</v>
      </c>
      <c r="J454" s="155">
        <f t="shared" si="230"/>
        <v>-0.121</v>
      </c>
      <c r="K454" s="70">
        <f t="shared" si="231"/>
        <v>0.17453292519943295</v>
      </c>
      <c r="L454" s="68"/>
    </row>
    <row r="455" spans="1:15" x14ac:dyDescent="0.2">
      <c r="A455" s="68">
        <v>455</v>
      </c>
      <c r="B455" s="68"/>
      <c r="C455" s="85">
        <f t="shared" si="232"/>
        <v>2.1000057980615688E-2</v>
      </c>
      <c r="D455" s="68">
        <v>120</v>
      </c>
      <c r="E455" s="97">
        <v>-0.11899999999999999</v>
      </c>
      <c r="F455" s="97">
        <v>5.8</v>
      </c>
      <c r="G455" s="97">
        <v>1</v>
      </c>
      <c r="H455" s="68"/>
      <c r="I455" s="69">
        <f t="shared" si="229"/>
        <v>120</v>
      </c>
      <c r="J455" s="155">
        <f t="shared" si="230"/>
        <v>-0.11899999999999999</v>
      </c>
      <c r="K455" s="70">
        <f t="shared" si="231"/>
        <v>0.16871516102611853</v>
      </c>
      <c r="L455" s="68"/>
    </row>
    <row r="456" spans="1:15" x14ac:dyDescent="0.2">
      <c r="A456" s="68">
        <v>456</v>
      </c>
      <c r="B456" s="68"/>
      <c r="C456" s="85"/>
      <c r="D456" s="68"/>
      <c r="E456" s="68"/>
      <c r="F456" s="68"/>
      <c r="G456" s="68"/>
      <c r="H456" s="68"/>
      <c r="I456" s="69"/>
      <c r="J456" s="155"/>
      <c r="K456" s="70"/>
      <c r="L456" s="68"/>
    </row>
    <row r="457" spans="1:15" x14ac:dyDescent="0.2">
      <c r="A457" s="68">
        <v>457</v>
      </c>
      <c r="B457" s="96" t="str">
        <f>O462&amp;"/5 Range, "&amp;O463&amp;" turns @ "&amp;O466&amp;"VA burden, vs "&amp;O465&amp;" AT, "&amp;O464&amp;" range, 2 Stage CT"</f>
        <v>200/5 Range, 1 turns @ 5VA burden, vs 120 AT, 200 range, 2 Stage CT</v>
      </c>
      <c r="C457" s="68"/>
      <c r="D457" s="68"/>
      <c r="E457" s="68"/>
      <c r="F457" s="68"/>
      <c r="G457" s="68"/>
      <c r="H457" s="68"/>
      <c r="I457" s="98"/>
    </row>
    <row r="458" spans="1:15" x14ac:dyDescent="0.2">
      <c r="A458" s="68">
        <v>458</v>
      </c>
      <c r="B458" s="96" t="s">
        <v>491</v>
      </c>
      <c r="C458" s="98" t="s">
        <v>121</v>
      </c>
      <c r="D458" s="68"/>
      <c r="E458" s="68"/>
      <c r="F458" s="68"/>
      <c r="G458" s="68"/>
      <c r="H458" s="68"/>
      <c r="I458" s="68"/>
    </row>
    <row r="459" spans="1:15" x14ac:dyDescent="0.2">
      <c r="A459" s="68">
        <v>459</v>
      </c>
      <c r="B459" s="108">
        <v>42613</v>
      </c>
      <c r="C459" s="85">
        <f t="shared" ref="C459:C465" si="233">B5A5.0VA</f>
        <v>0.21600059637204713</v>
      </c>
      <c r="D459" s="68">
        <v>5</v>
      </c>
      <c r="E459" s="97">
        <v>-0.108</v>
      </c>
      <c r="F459" s="97">
        <v>1.75</v>
      </c>
      <c r="G459" s="97">
        <v>10</v>
      </c>
      <c r="H459" s="68"/>
      <c r="I459" s="69">
        <f t="shared" ref="I459:I465" si="234">0.1*D459/(5*0.02)</f>
        <v>5</v>
      </c>
      <c r="J459" s="70">
        <f t="shared" ref="J459:J465" si="235">E459*G459</f>
        <v>-1.08</v>
      </c>
      <c r="K459" s="70">
        <f t="shared" ref="K459:K465" si="236">100*RADIANS(G459*F459/60)</f>
        <v>0.50905436516501279</v>
      </c>
    </row>
    <row r="460" spans="1:15" x14ac:dyDescent="0.2">
      <c r="A460" s="68">
        <v>460</v>
      </c>
      <c r="B460" s="68"/>
      <c r="C460" s="85">
        <f t="shared" si="233"/>
        <v>0.21600059637204713</v>
      </c>
      <c r="D460" s="68">
        <v>10</v>
      </c>
      <c r="E460" s="97">
        <v>-0.47299999999999998</v>
      </c>
      <c r="F460" s="97">
        <v>7.5</v>
      </c>
      <c r="G460" s="97">
        <v>2</v>
      </c>
      <c r="H460" s="68"/>
      <c r="I460" s="69">
        <f t="shared" si="234"/>
        <v>10</v>
      </c>
      <c r="J460" s="70">
        <f t="shared" si="235"/>
        <v>-0.94599999999999995</v>
      </c>
      <c r="K460" s="70">
        <f t="shared" si="236"/>
        <v>0.43633231299858238</v>
      </c>
    </row>
    <row r="461" spans="1:15" x14ac:dyDescent="0.2">
      <c r="A461" s="68">
        <v>461</v>
      </c>
      <c r="B461" s="98" t="s">
        <v>505</v>
      </c>
      <c r="C461" s="85">
        <f t="shared" si="233"/>
        <v>0.21600059637204713</v>
      </c>
      <c r="D461" s="68">
        <v>20</v>
      </c>
      <c r="E461" s="97">
        <v>-0.42199999999999999</v>
      </c>
      <c r="F461" s="97">
        <v>6.45</v>
      </c>
      <c r="G461" s="97">
        <v>2</v>
      </c>
      <c r="H461" s="68"/>
      <c r="I461" s="69">
        <f t="shared" si="234"/>
        <v>20</v>
      </c>
      <c r="J461" s="70">
        <f t="shared" si="235"/>
        <v>-0.84399999999999997</v>
      </c>
      <c r="K461" s="70">
        <f t="shared" si="236"/>
        <v>0.37524578917878082</v>
      </c>
      <c r="L461" s="68"/>
    </row>
    <row r="462" spans="1:15" x14ac:dyDescent="0.2">
      <c r="A462" s="68">
        <v>462</v>
      </c>
      <c r="C462" s="85">
        <f t="shared" si="233"/>
        <v>0.21600059637204713</v>
      </c>
      <c r="D462" s="68">
        <v>40</v>
      </c>
      <c r="E462" s="97">
        <v>-0.38300000000000001</v>
      </c>
      <c r="F462" s="97">
        <v>5.7</v>
      </c>
      <c r="G462" s="97">
        <v>2</v>
      </c>
      <c r="H462" s="68"/>
      <c r="I462" s="69">
        <f t="shared" si="234"/>
        <v>40</v>
      </c>
      <c r="J462" s="155">
        <f t="shared" si="235"/>
        <v>-0.76600000000000001</v>
      </c>
      <c r="K462" s="70">
        <f t="shared" si="236"/>
        <v>0.33161255787892263</v>
      </c>
      <c r="L462" s="68"/>
      <c r="N462" s="261" t="s">
        <v>364</v>
      </c>
      <c r="O462" s="97">
        <v>200</v>
      </c>
    </row>
    <row r="463" spans="1:15" x14ac:dyDescent="0.2">
      <c r="A463" s="68">
        <v>463</v>
      </c>
      <c r="B463" s="68"/>
      <c r="C463" s="85">
        <f t="shared" si="233"/>
        <v>0.21600059637204713</v>
      </c>
      <c r="D463" s="68">
        <v>60</v>
      </c>
      <c r="E463" s="97">
        <v>-0.36099999999999999</v>
      </c>
      <c r="F463" s="97">
        <v>4.9000000000000004</v>
      </c>
      <c r="G463" s="97">
        <v>2</v>
      </c>
      <c r="H463" s="68"/>
      <c r="I463" s="69">
        <f t="shared" si="234"/>
        <v>60</v>
      </c>
      <c r="J463" s="155">
        <f t="shared" si="235"/>
        <v>-0.72199999999999998</v>
      </c>
      <c r="K463" s="70">
        <f t="shared" si="236"/>
        <v>0.2850704444924072</v>
      </c>
      <c r="L463" s="68"/>
      <c r="N463" s="261" t="s">
        <v>365</v>
      </c>
      <c r="O463" s="97">
        <v>1</v>
      </c>
    </row>
    <row r="464" spans="1:15" x14ac:dyDescent="0.2">
      <c r="A464" s="68">
        <v>464</v>
      </c>
      <c r="B464" s="68"/>
      <c r="C464" s="85">
        <f t="shared" si="233"/>
        <v>0.21600059637204713</v>
      </c>
      <c r="D464" s="68">
        <v>100</v>
      </c>
      <c r="E464" s="97">
        <v>-0.32800000000000001</v>
      </c>
      <c r="F464" s="97">
        <v>3.45</v>
      </c>
      <c r="G464" s="97">
        <v>2</v>
      </c>
      <c r="H464" s="68"/>
      <c r="I464" s="69">
        <f t="shared" si="234"/>
        <v>100</v>
      </c>
      <c r="J464" s="155">
        <f t="shared" si="235"/>
        <v>-0.65600000000000003</v>
      </c>
      <c r="K464" s="70">
        <f t="shared" si="236"/>
        <v>0.2007128639793479</v>
      </c>
      <c r="L464" s="68"/>
      <c r="N464" s="261" t="s">
        <v>366</v>
      </c>
      <c r="O464" s="97">
        <v>200</v>
      </c>
    </row>
    <row r="465" spans="1:24" x14ac:dyDescent="0.2">
      <c r="A465" s="68">
        <v>465</v>
      </c>
      <c r="B465" s="68"/>
      <c r="C465" s="85">
        <f t="shared" si="233"/>
        <v>0.21600059637204713</v>
      </c>
      <c r="D465" s="68">
        <v>120</v>
      </c>
      <c r="E465" s="97">
        <v>-0.312</v>
      </c>
      <c r="F465" s="97">
        <v>3</v>
      </c>
      <c r="G465" s="97">
        <v>2</v>
      </c>
      <c r="H465" s="68"/>
      <c r="I465" s="69">
        <f t="shared" si="234"/>
        <v>120</v>
      </c>
      <c r="J465" s="155">
        <f t="shared" si="235"/>
        <v>-0.624</v>
      </c>
      <c r="K465" s="70">
        <f t="shared" si="236"/>
        <v>0.17453292519943295</v>
      </c>
      <c r="L465" s="68"/>
      <c r="N465" s="261" t="s">
        <v>367</v>
      </c>
      <c r="O465" s="97">
        <v>120</v>
      </c>
    </row>
    <row r="466" spans="1:24" x14ac:dyDescent="0.2">
      <c r="A466" s="68">
        <v>466</v>
      </c>
      <c r="B466" s="68"/>
      <c r="C466" s="68"/>
      <c r="D466" s="68"/>
      <c r="E466" s="68"/>
      <c r="F466" s="68"/>
      <c r="G466" s="125"/>
      <c r="H466" s="68"/>
      <c r="I466" s="68"/>
      <c r="J466" s="23"/>
      <c r="K466" s="68"/>
      <c r="L466" s="68"/>
      <c r="O466" s="370">
        <v>5</v>
      </c>
    </row>
    <row r="467" spans="1:24" x14ac:dyDescent="0.2">
      <c r="A467" s="68">
        <v>467</v>
      </c>
      <c r="B467" s="68"/>
      <c r="C467" s="85">
        <f>B5A0VA</f>
        <v>2.1000057980615688E-2</v>
      </c>
      <c r="D467" s="68">
        <v>5</v>
      </c>
      <c r="E467" s="97">
        <v>-0.224</v>
      </c>
      <c r="F467" s="97">
        <v>13.5</v>
      </c>
      <c r="G467" s="97">
        <v>1</v>
      </c>
      <c r="H467" s="68"/>
      <c r="I467" s="69">
        <f t="shared" ref="I467:I473" si="237">0.1*D467/(5*0.02)</f>
        <v>5</v>
      </c>
      <c r="J467" s="155">
        <f t="shared" ref="J467:J473" si="238">E467*G467</f>
        <v>-0.224</v>
      </c>
      <c r="K467" s="70">
        <f t="shared" ref="K467:K473" si="239">100*RADIANS(G467*F467/60)</f>
        <v>0.3926990816987242</v>
      </c>
      <c r="L467" s="68"/>
    </row>
    <row r="468" spans="1:24" x14ac:dyDescent="0.2">
      <c r="A468" s="68">
        <v>468</v>
      </c>
      <c r="B468" s="68"/>
      <c r="C468" s="85">
        <f t="shared" ref="C468:C473" si="240">B5A0VA</f>
        <v>2.1000057980615688E-2</v>
      </c>
      <c r="D468" s="68">
        <v>10</v>
      </c>
      <c r="E468" s="97">
        <v>-0.185</v>
      </c>
      <c r="F468" s="97">
        <v>10.3</v>
      </c>
      <c r="G468" s="97">
        <v>1</v>
      </c>
      <c r="H468" s="68"/>
      <c r="I468" s="69">
        <f t="shared" si="237"/>
        <v>10</v>
      </c>
      <c r="J468" s="155">
        <f t="shared" si="238"/>
        <v>-0.185</v>
      </c>
      <c r="K468" s="70">
        <f t="shared" si="239"/>
        <v>0.29961485492569329</v>
      </c>
      <c r="L468" s="68"/>
    </row>
    <row r="469" spans="1:24" x14ac:dyDescent="0.2">
      <c r="A469" s="68">
        <v>469</v>
      </c>
      <c r="B469" s="68"/>
      <c r="C469" s="85">
        <f t="shared" si="240"/>
        <v>2.1000057980615688E-2</v>
      </c>
      <c r="D469" s="68">
        <v>20</v>
      </c>
      <c r="E469" s="97">
        <v>-0.155</v>
      </c>
      <c r="F469" s="97">
        <v>8.1999999999999993</v>
      </c>
      <c r="G469" s="97">
        <v>1</v>
      </c>
      <c r="H469" s="68"/>
      <c r="I469" s="69">
        <f t="shared" si="237"/>
        <v>20</v>
      </c>
      <c r="J469" s="155">
        <f t="shared" si="238"/>
        <v>-0.155</v>
      </c>
      <c r="K469" s="70">
        <f t="shared" si="239"/>
        <v>0.23852833110589172</v>
      </c>
      <c r="L469" s="68"/>
    </row>
    <row r="470" spans="1:24" x14ac:dyDescent="0.2">
      <c r="A470" s="68">
        <v>470</v>
      </c>
      <c r="B470" s="68"/>
      <c r="C470" s="85">
        <f t="shared" si="240"/>
        <v>2.1000057980615688E-2</v>
      </c>
      <c r="D470" s="68">
        <v>40</v>
      </c>
      <c r="E470" s="97">
        <v>-0.13800000000000001</v>
      </c>
      <c r="F470" s="97">
        <v>7.05</v>
      </c>
      <c r="G470" s="97">
        <v>1</v>
      </c>
      <c r="H470" s="68"/>
      <c r="I470" s="69">
        <f t="shared" si="237"/>
        <v>40</v>
      </c>
      <c r="J470" s="155">
        <f t="shared" si="238"/>
        <v>-0.13800000000000001</v>
      </c>
      <c r="K470" s="70">
        <f t="shared" si="239"/>
        <v>0.2050761871093337</v>
      </c>
      <c r="L470" s="68"/>
    </row>
    <row r="471" spans="1:24" x14ac:dyDescent="0.2">
      <c r="A471" s="68">
        <v>471</v>
      </c>
      <c r="B471" s="68"/>
      <c r="C471" s="85">
        <f t="shared" si="240"/>
        <v>2.1000057980615688E-2</v>
      </c>
      <c r="D471" s="68">
        <v>60</v>
      </c>
      <c r="E471" s="97">
        <v>-0.1295</v>
      </c>
      <c r="F471" s="97">
        <v>6.5</v>
      </c>
      <c r="G471" s="97">
        <v>1</v>
      </c>
      <c r="H471" s="68"/>
      <c r="I471" s="69">
        <f t="shared" si="237"/>
        <v>60</v>
      </c>
      <c r="J471" s="155">
        <f t="shared" si="238"/>
        <v>-0.1295</v>
      </c>
      <c r="K471" s="70">
        <f t="shared" si="239"/>
        <v>0.18907733563271903</v>
      </c>
      <c r="L471" s="68"/>
    </row>
    <row r="472" spans="1:24" x14ac:dyDescent="0.2">
      <c r="A472" s="68">
        <v>472</v>
      </c>
      <c r="B472" s="68"/>
      <c r="C472" s="85">
        <f t="shared" si="240"/>
        <v>2.1000057980615688E-2</v>
      </c>
      <c r="D472" s="68">
        <v>100</v>
      </c>
      <c r="E472" s="97">
        <v>-0.121</v>
      </c>
      <c r="F472" s="97">
        <v>6.05</v>
      </c>
      <c r="G472" s="97">
        <v>1</v>
      </c>
      <c r="H472" s="68"/>
      <c r="I472" s="69">
        <f t="shared" si="237"/>
        <v>100</v>
      </c>
      <c r="J472" s="155">
        <f t="shared" si="238"/>
        <v>-0.121</v>
      </c>
      <c r="K472" s="70">
        <f t="shared" si="239"/>
        <v>0.17598736624276154</v>
      </c>
      <c r="L472" s="68"/>
    </row>
    <row r="473" spans="1:24" x14ac:dyDescent="0.2">
      <c r="A473" s="68">
        <v>473</v>
      </c>
      <c r="B473" s="68"/>
      <c r="C473" s="85">
        <f t="shared" si="240"/>
        <v>2.1000057980615688E-2</v>
      </c>
      <c r="D473" s="68">
        <v>120</v>
      </c>
      <c r="E473" s="97">
        <v>-0.11899999999999999</v>
      </c>
      <c r="F473" s="97">
        <v>5.9</v>
      </c>
      <c r="G473" s="97">
        <v>1</v>
      </c>
      <c r="H473" s="68"/>
      <c r="I473" s="69">
        <f t="shared" si="237"/>
        <v>120</v>
      </c>
      <c r="J473" s="155">
        <f t="shared" si="238"/>
        <v>-0.11899999999999999</v>
      </c>
      <c r="K473" s="70">
        <f t="shared" si="239"/>
        <v>0.17162404311277576</v>
      </c>
      <c r="L473" s="68"/>
    </row>
    <row r="474" spans="1:24" x14ac:dyDescent="0.2">
      <c r="A474" s="68"/>
      <c r="B474" s="68"/>
      <c r="C474" s="85"/>
      <c r="D474" s="68"/>
      <c r="E474" s="68"/>
      <c r="F474" s="68"/>
      <c r="G474" s="68"/>
      <c r="H474" s="68"/>
      <c r="I474" s="68"/>
      <c r="J474" s="155"/>
      <c r="K474" s="70"/>
      <c r="L474" s="68"/>
    </row>
    <row r="475" spans="1:24" x14ac:dyDescent="0.2">
      <c r="A475" s="68"/>
      <c r="B475" s="68"/>
      <c r="C475" s="85"/>
      <c r="D475" s="85"/>
      <c r="E475" s="85"/>
      <c r="F475" s="85"/>
      <c r="G475" s="85"/>
      <c r="H475" s="85"/>
      <c r="I475" s="69"/>
      <c r="J475" s="155"/>
      <c r="K475" s="70"/>
      <c r="L475" s="68"/>
    </row>
    <row r="476" spans="1:24" x14ac:dyDescent="0.2">
      <c r="A476" s="68"/>
      <c r="B476" s="68"/>
      <c r="C476" s="85"/>
      <c r="D476" s="68"/>
      <c r="E476" s="68"/>
      <c r="F476" s="68"/>
      <c r="G476" s="68"/>
      <c r="H476" s="68"/>
      <c r="I476" s="69"/>
      <c r="J476" s="155"/>
      <c r="K476" s="70"/>
      <c r="L476" s="68"/>
    </row>
    <row r="478" spans="1:24" x14ac:dyDescent="0.2">
      <c r="B478" s="1" t="s">
        <v>431</v>
      </c>
      <c r="W478" s="487" t="s">
        <v>502</v>
      </c>
      <c r="X478" s="487" t="s">
        <v>463</v>
      </c>
    </row>
    <row r="479" spans="1:24" x14ac:dyDescent="0.2">
      <c r="B479" s="475" t="s">
        <v>447</v>
      </c>
      <c r="W479" s="415">
        <v>99.999343704289274</v>
      </c>
      <c r="X479" s="409">
        <v>11.1</v>
      </c>
    </row>
    <row r="480" spans="1:24" x14ac:dyDescent="0.2">
      <c r="B480" s="108">
        <v>42566</v>
      </c>
      <c r="C480" s="68"/>
      <c r="D480" s="158" t="s">
        <v>321</v>
      </c>
      <c r="E480" s="68"/>
      <c r="F480" s="68"/>
      <c r="G480" s="158" t="s">
        <v>341</v>
      </c>
      <c r="H480" s="68"/>
      <c r="I480" s="68"/>
      <c r="J480" s="68"/>
      <c r="K480" s="68"/>
      <c r="M480" s="371" t="s">
        <v>374</v>
      </c>
      <c r="N480" s="372"/>
      <c r="O480" s="531">
        <f>W481</f>
        <v>100.00030939795144</v>
      </c>
      <c r="P480" s="394" t="s">
        <v>479</v>
      </c>
      <c r="Q480" s="394" t="s">
        <v>503</v>
      </c>
      <c r="U480" s="46" t="s">
        <v>462</v>
      </c>
      <c r="W480" s="409" t="s">
        <v>464</v>
      </c>
    </row>
    <row r="481" spans="1:29" x14ac:dyDescent="0.2">
      <c r="A481" s="261" t="s">
        <v>458</v>
      </c>
      <c r="B481" s="86" t="s">
        <v>435</v>
      </c>
      <c r="C481" s="76"/>
      <c r="D481" s="76"/>
      <c r="E481" s="86">
        <v>-0.26700000000000002</v>
      </c>
      <c r="F481" s="86">
        <v>9.8000000000000007</v>
      </c>
      <c r="G481" s="86">
        <v>2</v>
      </c>
      <c r="H481" s="76"/>
      <c r="I481" s="105">
        <f>0.1*D481/(5*0.02)</f>
        <v>0</v>
      </c>
      <c r="J481" s="106">
        <f>E481*G481</f>
        <v>-0.53400000000000003</v>
      </c>
      <c r="K481" s="106">
        <f>100*RADIANS(G481*F481/60)</f>
        <v>0.57014088898481441</v>
      </c>
      <c r="L481" s="76"/>
      <c r="M481" s="7" t="s">
        <v>434</v>
      </c>
      <c r="N481" s="157">
        <f>-O480*(J482-J481)/100</f>
        <v>0.25800079824671474</v>
      </c>
      <c r="O481" s="157">
        <f>-O480*(K482-K481)/100</f>
        <v>5.8177821733577592E-3</v>
      </c>
      <c r="P481" s="528">
        <f>25*SQRT(N481^2+O481^2)</f>
        <v>6.4516595968284909</v>
      </c>
      <c r="Q481" s="29">
        <f>N481/SQRT(N481^2+O481^2)</f>
        <v>0.99974585753696177</v>
      </c>
      <c r="R481" s="250" t="s">
        <v>238</v>
      </c>
      <c r="S481" s="250"/>
      <c r="U481">
        <v>20.87</v>
      </c>
      <c r="W481" s="526">
        <f>$W$479*(1+$X$479*0.000001*(U481-20))</f>
        <v>100.00030939795144</v>
      </c>
      <c r="X481" s="524">
        <f>$W$479+((V481-20)*$X$479)/100</f>
        <v>97.779343704289275</v>
      </c>
    </row>
    <row r="482" spans="1:29" x14ac:dyDescent="0.2">
      <c r="A482" s="261"/>
      <c r="B482" s="87" t="s">
        <v>436</v>
      </c>
      <c r="C482" s="80"/>
      <c r="D482" s="80"/>
      <c r="E482" s="87">
        <v>-0.39600000000000002</v>
      </c>
      <c r="F482" s="87">
        <v>9.6999999999999993</v>
      </c>
      <c r="G482" s="87">
        <v>2</v>
      </c>
      <c r="H482" s="80"/>
      <c r="I482" s="107">
        <f>0.1*D482/(5*0.02)</f>
        <v>0</v>
      </c>
      <c r="J482" s="84">
        <f>E482*G482</f>
        <v>-0.79200000000000004</v>
      </c>
      <c r="K482" s="84">
        <f>100*RADIANS(G482*F482/60)</f>
        <v>0.56432312481149982</v>
      </c>
      <c r="L482" s="80"/>
      <c r="M482" s="7" t="s">
        <v>44</v>
      </c>
      <c r="N482" s="157">
        <f>-O480*(J484-J483)/100</f>
        <v>2.1000064973569793E-2</v>
      </c>
      <c r="O482" s="157">
        <f>-O480*(K484-K483)/100</f>
        <v>1.4544455433393843E-3</v>
      </c>
      <c r="P482" s="529">
        <f>25*SQRT(N482^2+O482^2)</f>
        <v>0.52625928776405739</v>
      </c>
      <c r="Q482" s="29">
        <f>N482/SQRT(N482^2+O482^2)</f>
        <v>0.99761018293823178</v>
      </c>
      <c r="R482" s="97" t="s">
        <v>439</v>
      </c>
      <c r="S482" s="97"/>
      <c r="T482" s="97"/>
    </row>
    <row r="483" spans="1:29" x14ac:dyDescent="0.2">
      <c r="A483" s="261"/>
      <c r="B483" s="87" t="s">
        <v>432</v>
      </c>
      <c r="C483" s="80"/>
      <c r="D483" s="80"/>
      <c r="E483" s="87">
        <v>-0.121</v>
      </c>
      <c r="F483" s="87">
        <v>6.05</v>
      </c>
      <c r="G483" s="87">
        <v>1</v>
      </c>
      <c r="H483" s="80"/>
      <c r="I483" s="107">
        <f>0.1*D483/(5*0.02)</f>
        <v>0</v>
      </c>
      <c r="J483" s="84">
        <f>E483*G483</f>
        <v>-0.121</v>
      </c>
      <c r="K483" s="84">
        <f>100*RADIANS(G483*F483/60)</f>
        <v>0.17598736624276154</v>
      </c>
      <c r="L483" s="80"/>
      <c r="P483" s="36"/>
      <c r="Q483" s="252"/>
      <c r="R483" s="251"/>
      <c r="S483" s="251"/>
    </row>
    <row r="484" spans="1:29" x14ac:dyDescent="0.2">
      <c r="A484" s="261"/>
      <c r="B484" s="476" t="s">
        <v>433</v>
      </c>
      <c r="C484" s="82"/>
      <c r="D484" s="82"/>
      <c r="E484" s="476">
        <v>-0.14199999999999999</v>
      </c>
      <c r="F484" s="476">
        <v>6</v>
      </c>
      <c r="G484" s="476">
        <v>1</v>
      </c>
      <c r="H484" s="82"/>
      <c r="I484" s="477">
        <f>0.1*D484/(5*0.02)</f>
        <v>0</v>
      </c>
      <c r="J484" s="478">
        <f>E484*G484</f>
        <v>-0.14199999999999999</v>
      </c>
      <c r="K484" s="478">
        <f>100*RADIANS(G484*F484/60)</f>
        <v>0.17453292519943295</v>
      </c>
      <c r="L484" s="82"/>
      <c r="M484" s="38"/>
      <c r="N484" s="38"/>
      <c r="O484" s="38"/>
      <c r="P484" s="40"/>
      <c r="Q484" s="29"/>
      <c r="R484" s="251"/>
      <c r="S484" s="251"/>
    </row>
    <row r="485" spans="1:29" x14ac:dyDescent="0.2">
      <c r="A485" s="261"/>
      <c r="B485" s="108">
        <v>42566</v>
      </c>
      <c r="C485" s="68"/>
      <c r="D485" s="158" t="s">
        <v>321</v>
      </c>
      <c r="E485" s="68"/>
      <c r="F485" s="68"/>
      <c r="G485" s="158" t="s">
        <v>341</v>
      </c>
      <c r="H485" s="68"/>
      <c r="I485" s="68"/>
      <c r="J485" s="68"/>
      <c r="K485" s="68"/>
      <c r="M485" s="479" t="s">
        <v>374</v>
      </c>
      <c r="N485" s="476"/>
      <c r="O485" s="480">
        <f>W486</f>
        <v>100.00027609816998</v>
      </c>
      <c r="P485" s="530" t="s">
        <v>479</v>
      </c>
      <c r="Q485" s="34"/>
      <c r="R485" s="29"/>
      <c r="S485" s="29"/>
      <c r="T485" s="29"/>
    </row>
    <row r="486" spans="1:29" x14ac:dyDescent="0.2">
      <c r="A486" s="261" t="s">
        <v>425</v>
      </c>
      <c r="B486" s="86" t="s">
        <v>453</v>
      </c>
      <c r="C486" s="76"/>
      <c r="D486" s="76"/>
      <c r="E486" s="86">
        <v>-0.23599999999999999</v>
      </c>
      <c r="F486" s="86">
        <v>9.0500000000000007</v>
      </c>
      <c r="G486" s="86">
        <v>2</v>
      </c>
      <c r="H486" s="76"/>
      <c r="I486" s="105">
        <f>0.1*D486/(5*0.02)</f>
        <v>0</v>
      </c>
      <c r="J486" s="106">
        <f>E486*G486</f>
        <v>-0.47199999999999998</v>
      </c>
      <c r="K486" s="106">
        <f>100*RADIANS(G486*F486/60)</f>
        <v>0.52650765768495611</v>
      </c>
      <c r="L486" s="76"/>
      <c r="M486" s="7" t="s">
        <v>157</v>
      </c>
      <c r="N486" s="157">
        <f>-O485*(J487-J486)/100</f>
        <v>0.21600059637204713</v>
      </c>
      <c r="O486" s="157">
        <f>-O485*(K487-K486)/100</f>
        <v>2.9088901180275017E-3</v>
      </c>
      <c r="P486" s="528">
        <f>25*SQRT(N486^2+O486^2)</f>
        <v>5.4005045640892879</v>
      </c>
      <c r="Q486" s="29">
        <f>N486/SQRT(N486^2+O486^2)</f>
        <v>0.99990933165923679</v>
      </c>
      <c r="R486" s="250" t="s">
        <v>238</v>
      </c>
      <c r="S486" s="250"/>
      <c r="U486">
        <v>20.84</v>
      </c>
      <c r="W486" s="526">
        <f>$W$479*(1+$X$479*0.000001*(U486-20))</f>
        <v>100.00027609816998</v>
      </c>
    </row>
    <row r="487" spans="1:29" x14ac:dyDescent="0.2">
      <c r="A487" s="261"/>
      <c r="B487" s="87" t="s">
        <v>454</v>
      </c>
      <c r="C487" s="80"/>
      <c r="D487" s="80"/>
      <c r="E487" s="87">
        <v>-0.34399999999999997</v>
      </c>
      <c r="F487" s="87">
        <v>9</v>
      </c>
      <c r="G487" s="87">
        <v>2</v>
      </c>
      <c r="H487" s="80"/>
      <c r="I487" s="107">
        <f>0.1*D487/(5*0.02)</f>
        <v>0</v>
      </c>
      <c r="J487" s="84">
        <f>E487*G487</f>
        <v>-0.68799999999999994</v>
      </c>
      <c r="K487" s="84">
        <f>100*RADIANS(G487*F487/60)</f>
        <v>0.52359877559829882</v>
      </c>
      <c r="L487" s="80"/>
      <c r="M487" s="7" t="s">
        <v>44</v>
      </c>
      <c r="N487" s="157">
        <f>-O485*(J489-J488)/100</f>
        <v>2.1000057980615688E-2</v>
      </c>
      <c r="O487" s="157">
        <f>-O485*(K489-K488)/100</f>
        <v>0</v>
      </c>
      <c r="P487" s="529">
        <f>25*SQRT(N487^2+O487^2)</f>
        <v>0.52500144951539218</v>
      </c>
      <c r="Q487" s="29">
        <f>N487/SQRT(N487^2+O487^2)</f>
        <v>1</v>
      </c>
      <c r="R487" s="97" t="s">
        <v>439</v>
      </c>
      <c r="S487" s="97"/>
      <c r="T487" s="97"/>
    </row>
    <row r="488" spans="1:29" x14ac:dyDescent="0.2">
      <c r="A488" s="261"/>
      <c r="B488" s="87" t="s">
        <v>427</v>
      </c>
      <c r="C488" s="80"/>
      <c r="D488" s="80"/>
      <c r="E488" s="87">
        <v>-0.121</v>
      </c>
      <c r="F488" s="87">
        <v>6</v>
      </c>
      <c r="G488" s="87">
        <v>1</v>
      </c>
      <c r="H488" s="80"/>
      <c r="I488" s="107">
        <f>0.1*D488/(5*0.02)</f>
        <v>0</v>
      </c>
      <c r="J488" s="84">
        <f>E488*G488</f>
        <v>-0.121</v>
      </c>
      <c r="K488" s="84">
        <f>100*RADIANS(G488*F488/60)</f>
        <v>0.17453292519943295</v>
      </c>
      <c r="L488" s="80"/>
      <c r="P488" s="36"/>
      <c r="Q488" s="34"/>
      <c r="R488" s="251"/>
      <c r="S488" s="251"/>
      <c r="Z488" s="386">
        <f>B485</f>
        <v>42566</v>
      </c>
      <c r="AA488" s="29">
        <f>N486</f>
        <v>0.21600059637204713</v>
      </c>
    </row>
    <row r="489" spans="1:29" x14ac:dyDescent="0.2">
      <c r="A489" s="261"/>
      <c r="B489" s="476" t="s">
        <v>428</v>
      </c>
      <c r="C489" s="82"/>
      <c r="D489" s="82"/>
      <c r="E489" s="476">
        <v>-0.14199999999999999</v>
      </c>
      <c r="F489" s="476">
        <v>6</v>
      </c>
      <c r="G489" s="476">
        <v>1</v>
      </c>
      <c r="H489" s="82"/>
      <c r="I489" s="477">
        <f>0.1*D489/(5*0.02)</f>
        <v>0</v>
      </c>
      <c r="J489" s="478">
        <f>E489*G489</f>
        <v>-0.14199999999999999</v>
      </c>
      <c r="K489" s="478">
        <f>100*RADIANS(G489*F489/60)</f>
        <v>0.17453292519943295</v>
      </c>
      <c r="L489" s="82"/>
      <c r="M489" s="38"/>
      <c r="N489" s="38"/>
      <c r="O489" s="38"/>
      <c r="P489" s="40"/>
      <c r="Q489" s="34"/>
      <c r="R489" s="251"/>
      <c r="S489" s="251"/>
      <c r="Z489" s="386">
        <f>B507</f>
        <v>42569</v>
      </c>
      <c r="AA489" s="29">
        <f>N508</f>
        <v>0.21599839059452361</v>
      </c>
    </row>
    <row r="490" spans="1:29" x14ac:dyDescent="0.2">
      <c r="A490" s="261"/>
      <c r="B490" s="108">
        <v>42566</v>
      </c>
      <c r="C490" s="68"/>
      <c r="D490" s="158" t="s">
        <v>321</v>
      </c>
      <c r="E490" s="68"/>
      <c r="F490" s="68"/>
      <c r="G490" s="158" t="s">
        <v>341</v>
      </c>
      <c r="H490" s="68"/>
      <c r="I490" s="68"/>
      <c r="J490" s="68"/>
      <c r="K490" s="68"/>
      <c r="M490" s="479" t="s">
        <v>374</v>
      </c>
      <c r="N490" s="476"/>
      <c r="O490" s="480">
        <f>W491</f>
        <v>100.00020949860708</v>
      </c>
      <c r="P490" s="530" t="s">
        <v>479</v>
      </c>
      <c r="Q490" s="42"/>
      <c r="Z490" s="386">
        <f>B528</f>
        <v>42614</v>
      </c>
      <c r="AA490" s="29">
        <f>N529</f>
        <v>0.21799839989046227</v>
      </c>
    </row>
    <row r="491" spans="1:29" x14ac:dyDescent="0.2">
      <c r="A491" s="261" t="s">
        <v>459</v>
      </c>
      <c r="B491" s="86" t="s">
        <v>440</v>
      </c>
      <c r="C491" s="76"/>
      <c r="D491" s="76"/>
      <c r="E491" s="86">
        <v>-0.20100000000000001</v>
      </c>
      <c r="F491" s="86">
        <v>8.15</v>
      </c>
      <c r="G491" s="86">
        <v>2</v>
      </c>
      <c r="H491" s="76"/>
      <c r="I491" s="105">
        <f>0.1*D491/(5*0.02)</f>
        <v>0</v>
      </c>
      <c r="J491" s="106">
        <f>E491*G491</f>
        <v>-0.40200000000000002</v>
      </c>
      <c r="K491" s="106">
        <f>100*RADIANS(G491*F491/60)</f>
        <v>0.47414778012512615</v>
      </c>
      <c r="L491" s="76"/>
      <c r="M491" s="7" t="s">
        <v>444</v>
      </c>
      <c r="N491" s="157">
        <f>-O490*(J492-J491)/100</f>
        <v>0.18000037709749267</v>
      </c>
      <c r="O491" s="157">
        <f>-O490*(K492-K491)/100</f>
        <v>2.9088881807246914E-3</v>
      </c>
      <c r="P491" s="528">
        <f>25*SQRT(N491^2+O491^2)</f>
        <v>4.5005970010716023</v>
      </c>
      <c r="Q491" s="29">
        <f>N491/SQRT(N491^2+O491^2)</f>
        <v>0.99986944540154432</v>
      </c>
      <c r="R491" s="250" t="s">
        <v>238</v>
      </c>
      <c r="S491" s="250"/>
      <c r="U491">
        <v>20.78</v>
      </c>
      <c r="W491" s="526">
        <f>$W$479*(1+$X$479*0.000001*(U491-20))</f>
        <v>100.00020949860708</v>
      </c>
      <c r="Z491" s="386">
        <f>B535</f>
        <v>42614</v>
      </c>
      <c r="AA491" s="29">
        <f>N536</f>
        <v>0.21799999999999997</v>
      </c>
      <c r="AB491" s="4"/>
    </row>
    <row r="492" spans="1:29" x14ac:dyDescent="0.2">
      <c r="A492" s="261"/>
      <c r="B492" s="87" t="s">
        <v>441</v>
      </c>
      <c r="C492" s="80"/>
      <c r="D492" s="80"/>
      <c r="E492" s="87">
        <v>-0.29099999999999998</v>
      </c>
      <c r="F492" s="87">
        <v>8.1</v>
      </c>
      <c r="G492" s="87">
        <v>2</v>
      </c>
      <c r="H492" s="80"/>
      <c r="I492" s="107">
        <f>0.1*D492/(5*0.02)</f>
        <v>0</v>
      </c>
      <c r="J492" s="84">
        <f>E492*G492</f>
        <v>-0.58199999999999996</v>
      </c>
      <c r="K492" s="84">
        <f>100*RADIANS(G492*F492/60)</f>
        <v>0.47123889803846891</v>
      </c>
      <c r="L492" s="80"/>
      <c r="M492" s="7" t="s">
        <v>44</v>
      </c>
      <c r="N492" s="157">
        <f>-O490*(J494-J493)/100</f>
        <v>2.1000043994707479E-2</v>
      </c>
      <c r="O492" s="157">
        <f>-O490*(K494-K493)/100</f>
        <v>0</v>
      </c>
      <c r="P492" s="529">
        <f>25*SQRT(N492^2+O492^2)</f>
        <v>0.52500109986768695</v>
      </c>
      <c r="Q492" s="29">
        <f>N492/SQRT(N492^2+O492^2)</f>
        <v>1</v>
      </c>
      <c r="R492" s="97" t="s">
        <v>439</v>
      </c>
      <c r="S492" s="97"/>
      <c r="T492" s="97"/>
      <c r="Z492" s="4"/>
      <c r="AA492" s="29"/>
      <c r="AB492" s="4"/>
    </row>
    <row r="493" spans="1:29" x14ac:dyDescent="0.2">
      <c r="A493" s="261"/>
      <c r="B493" s="87" t="s">
        <v>427</v>
      </c>
      <c r="C493" s="80"/>
      <c r="D493" s="80"/>
      <c r="E493" s="87">
        <v>-0.121</v>
      </c>
      <c r="F493" s="87">
        <v>6</v>
      </c>
      <c r="G493" s="87">
        <v>1</v>
      </c>
      <c r="H493" s="80"/>
      <c r="I493" s="107">
        <f>0.1*D493/(5*0.02)</f>
        <v>0</v>
      </c>
      <c r="J493" s="84">
        <f>E493*G493</f>
        <v>-0.121</v>
      </c>
      <c r="K493" s="84">
        <f>100*RADIANS(G493*F493/60)</f>
        <v>0.17453292519943295</v>
      </c>
      <c r="L493" s="80"/>
      <c r="P493" s="36"/>
      <c r="Q493" s="252"/>
      <c r="R493" s="251"/>
      <c r="S493" s="251"/>
      <c r="Z493" s="4"/>
      <c r="AA493" s="29"/>
      <c r="AB493" s="4"/>
    </row>
    <row r="494" spans="1:29" x14ac:dyDescent="0.2">
      <c r="A494" s="261"/>
      <c r="B494" s="476" t="s">
        <v>428</v>
      </c>
      <c r="C494" s="82"/>
      <c r="D494" s="82"/>
      <c r="E494" s="476">
        <v>-0.14199999999999999</v>
      </c>
      <c r="F494" s="476">
        <v>6</v>
      </c>
      <c r="G494" s="476">
        <v>1</v>
      </c>
      <c r="H494" s="82"/>
      <c r="I494" s="477">
        <f>0.1*D494/(5*0.02)</f>
        <v>0</v>
      </c>
      <c r="J494" s="478">
        <f>E494*G494</f>
        <v>-0.14199999999999999</v>
      </c>
      <c r="K494" s="478">
        <f>100*RADIANS(G494*F494/60)</f>
        <v>0.17453292519943295</v>
      </c>
      <c r="L494" s="82"/>
      <c r="M494" s="38"/>
      <c r="N494" s="38"/>
      <c r="O494" s="38"/>
      <c r="P494" s="40"/>
      <c r="Q494" s="29"/>
      <c r="R494" s="251"/>
      <c r="S494" s="251"/>
      <c r="Z494" s="386">
        <f>B521</f>
        <v>42592</v>
      </c>
      <c r="AA494" s="29">
        <f>N522</f>
        <v>0.16999873333828244</v>
      </c>
      <c r="AB494" s="4"/>
    </row>
    <row r="495" spans="1:29" x14ac:dyDescent="0.2">
      <c r="A495" s="261"/>
      <c r="B495" s="108">
        <v>42566</v>
      </c>
      <c r="C495" s="68"/>
      <c r="D495" s="158" t="s">
        <v>321</v>
      </c>
      <c r="E495" s="68"/>
      <c r="F495" s="68"/>
      <c r="G495" s="158" t="s">
        <v>341</v>
      </c>
      <c r="H495" s="68"/>
      <c r="I495" s="68"/>
      <c r="J495" s="68"/>
      <c r="K495" s="68"/>
      <c r="M495" s="479" t="s">
        <v>374</v>
      </c>
      <c r="N495" s="476"/>
      <c r="O495" s="480">
        <f>W496</f>
        <v>100.00017619882561</v>
      </c>
      <c r="P495" s="530" t="s">
        <v>479</v>
      </c>
      <c r="Q495" s="34"/>
      <c r="R495" s="29"/>
      <c r="S495" s="29"/>
      <c r="T495" s="29"/>
      <c r="Z495" s="386">
        <f>B542</f>
        <v>42614</v>
      </c>
      <c r="AA495" s="29">
        <f>N543</f>
        <v>0.16599887369736194</v>
      </c>
      <c r="AB495" s="4"/>
    </row>
    <row r="496" spans="1:29" x14ac:dyDescent="0.2">
      <c r="A496" s="261" t="s">
        <v>460</v>
      </c>
      <c r="B496" s="86" t="s">
        <v>456</v>
      </c>
      <c r="C496" s="76"/>
      <c r="D496" s="76"/>
      <c r="E496" s="86">
        <v>-0.26400000000000001</v>
      </c>
      <c r="F496" s="86">
        <v>12.1</v>
      </c>
      <c r="G496" s="86">
        <v>1</v>
      </c>
      <c r="H496" s="76"/>
      <c r="I496" s="105">
        <f>0.1*D496/(5*0.02)</f>
        <v>0</v>
      </c>
      <c r="J496" s="106">
        <f>E496*G496</f>
        <v>-0.26400000000000001</v>
      </c>
      <c r="K496" s="106">
        <f>100*RADIANS(G496*F496/60)</f>
        <v>0.35197473248552308</v>
      </c>
      <c r="L496" s="76"/>
      <c r="M496" s="7" t="s">
        <v>455</v>
      </c>
      <c r="N496" s="157">
        <f>-O495*(J497-J496)/100</f>
        <v>0.10100017796081386</v>
      </c>
      <c r="O496" s="157">
        <f>-O495*(K497-K496)/100</f>
        <v>0</v>
      </c>
      <c r="P496" s="528">
        <f>25*SQRT(N496^2+O496^2)</f>
        <v>2.5250044490203463</v>
      </c>
      <c r="Q496" s="29">
        <f>N496/SQRT(N496^2+O496^2)</f>
        <v>1</v>
      </c>
      <c r="R496" s="250" t="s">
        <v>238</v>
      </c>
      <c r="S496" s="250"/>
      <c r="U496">
        <v>20.75</v>
      </c>
      <c r="W496" s="526">
        <f>$W$479*(1+$X$479*0.000001*(U496-20))</f>
        <v>100.00017619882561</v>
      </c>
      <c r="AB496" s="4"/>
      <c r="AC496" s="4"/>
    </row>
    <row r="497" spans="1:23" x14ac:dyDescent="0.2">
      <c r="A497" s="261"/>
      <c r="B497" s="87" t="s">
        <v>457</v>
      </c>
      <c r="C497" s="80"/>
      <c r="D497" s="80"/>
      <c r="E497" s="87">
        <v>-0.36499999999999999</v>
      </c>
      <c r="F497" s="87">
        <v>12.1</v>
      </c>
      <c r="G497" s="87">
        <v>1</v>
      </c>
      <c r="H497" s="80"/>
      <c r="I497" s="107">
        <f>0.1*D497/(5*0.02)</f>
        <v>0</v>
      </c>
      <c r="J497" s="84">
        <f>E497*G497</f>
        <v>-0.36499999999999999</v>
      </c>
      <c r="K497" s="84">
        <f>100*RADIANS(G497*F497/60)</f>
        <v>0.35197473248552308</v>
      </c>
      <c r="L497" s="80"/>
      <c r="M497" s="7" t="s">
        <v>44</v>
      </c>
      <c r="N497" s="157">
        <f>-O495*(J499-J498)/100</f>
        <v>2.1000037001753367E-2</v>
      </c>
      <c r="O497" s="157">
        <f>-O495*(K499-K498)/100</f>
        <v>0</v>
      </c>
      <c r="P497" s="529">
        <f>25*SQRT(N497^2+O497^2)</f>
        <v>0.52500092504383422</v>
      </c>
      <c r="Q497" s="29">
        <f>N497/SQRT(N497^2+O497^2)</f>
        <v>1</v>
      </c>
      <c r="R497" s="97" t="s">
        <v>439</v>
      </c>
      <c r="S497" s="97"/>
      <c r="T497" s="97"/>
    </row>
    <row r="498" spans="1:23" x14ac:dyDescent="0.2">
      <c r="A498" s="261"/>
      <c r="B498" s="87" t="s">
        <v>427</v>
      </c>
      <c r="C498" s="80"/>
      <c r="D498" s="80"/>
      <c r="E498" s="87">
        <v>-0.121</v>
      </c>
      <c r="F498" s="87">
        <v>6</v>
      </c>
      <c r="G498" s="87">
        <v>1</v>
      </c>
      <c r="H498" s="80"/>
      <c r="I498" s="107">
        <f>0.1*D498/(5*0.02)</f>
        <v>0</v>
      </c>
      <c r="J498" s="84">
        <f>E498*G498</f>
        <v>-0.121</v>
      </c>
      <c r="K498" s="84">
        <f>100*RADIANS(G498*F498/60)</f>
        <v>0.17453292519943295</v>
      </c>
      <c r="L498" s="80"/>
      <c r="P498" s="36"/>
      <c r="Q498" s="34"/>
      <c r="R498" s="251"/>
      <c r="S498" s="251"/>
    </row>
    <row r="499" spans="1:23" x14ac:dyDescent="0.2">
      <c r="A499" s="261"/>
      <c r="B499" s="476" t="s">
        <v>428</v>
      </c>
      <c r="C499" s="82"/>
      <c r="D499" s="82"/>
      <c r="E499" s="476">
        <v>-0.14199999999999999</v>
      </c>
      <c r="F499" s="476">
        <v>6</v>
      </c>
      <c r="G499" s="476">
        <v>1</v>
      </c>
      <c r="H499" s="82"/>
      <c r="I499" s="477">
        <f>0.1*D499/(5*0.02)</f>
        <v>0</v>
      </c>
      <c r="J499" s="478">
        <f>E499*G499</f>
        <v>-0.14199999999999999</v>
      </c>
      <c r="K499" s="478">
        <f>100*RADIANS(G499*F499/60)</f>
        <v>0.17453292519943295</v>
      </c>
      <c r="L499" s="82"/>
      <c r="M499" s="38"/>
      <c r="N499" s="38"/>
      <c r="O499" s="38"/>
      <c r="P499" s="40"/>
      <c r="Q499" s="34"/>
      <c r="R499" s="251"/>
      <c r="S499" s="251"/>
    </row>
    <row r="500" spans="1:23" x14ac:dyDescent="0.2">
      <c r="A500" s="261"/>
      <c r="B500" s="108">
        <v>42566</v>
      </c>
      <c r="C500" s="68"/>
      <c r="D500" s="158" t="s">
        <v>321</v>
      </c>
      <c r="E500" s="68"/>
      <c r="F500" s="68"/>
      <c r="G500" s="158" t="s">
        <v>341</v>
      </c>
      <c r="H500" s="68"/>
      <c r="I500" s="68"/>
      <c r="J500" s="68"/>
      <c r="K500" s="68"/>
      <c r="M500" s="479" t="s">
        <v>374</v>
      </c>
      <c r="N500" s="476"/>
      <c r="O500" s="480">
        <f>W501</f>
        <v>100.00016509889845</v>
      </c>
      <c r="P500" s="530" t="s">
        <v>479</v>
      </c>
      <c r="Q500" s="42"/>
    </row>
    <row r="501" spans="1:23" x14ac:dyDescent="0.2">
      <c r="A501" s="261" t="s">
        <v>461</v>
      </c>
      <c r="B501" s="86" t="s">
        <v>442</v>
      </c>
      <c r="C501" s="76"/>
      <c r="D501" s="76"/>
      <c r="E501" s="86">
        <v>-0.191</v>
      </c>
      <c r="F501" s="86">
        <v>9.15</v>
      </c>
      <c r="G501" s="86">
        <v>1</v>
      </c>
      <c r="H501" s="76"/>
      <c r="I501" s="105">
        <f>0.1*D501/(5*0.02)</f>
        <v>0</v>
      </c>
      <c r="J501" s="106">
        <f>E501*G501</f>
        <v>-0.191</v>
      </c>
      <c r="K501" s="106">
        <f>100*RADIANS(G501*F501/60)</f>
        <v>0.26616271092913524</v>
      </c>
      <c r="L501" s="76"/>
      <c r="M501" s="7" t="s">
        <v>445</v>
      </c>
      <c r="N501" s="157">
        <f>-O500*(J502-J501)/100</f>
        <v>6.1000100710328055E-2</v>
      </c>
      <c r="O501" s="157">
        <f>-O500*(K502-K501)/100</f>
        <v>1.4544434445947327E-3</v>
      </c>
      <c r="P501" s="528">
        <f>25*SQRT(N501^2+O501^2)</f>
        <v>1.5254359402322688</v>
      </c>
      <c r="Q501" s="29">
        <f>N501/SQRT(N501^2+O501^2)</f>
        <v>0.99971586976375981</v>
      </c>
      <c r="R501" s="250" t="s">
        <v>238</v>
      </c>
      <c r="S501" s="250"/>
      <c r="U501">
        <v>20.74</v>
      </c>
      <c r="W501" s="526">
        <f>$W$479*(1+$X$479*0.000001*(U501-20))</f>
        <v>100.00016509889845</v>
      </c>
    </row>
    <row r="502" spans="1:23" x14ac:dyDescent="0.2">
      <c r="A502" s="261"/>
      <c r="B502" s="87" t="s">
        <v>443</v>
      </c>
      <c r="C502" s="80"/>
      <c r="D502" s="80"/>
      <c r="E502" s="87">
        <v>-0.252</v>
      </c>
      <c r="F502" s="87">
        <v>9.1</v>
      </c>
      <c r="G502" s="87">
        <v>1</v>
      </c>
      <c r="H502" s="80"/>
      <c r="I502" s="107">
        <f>0.1*D502/(5*0.02)</f>
        <v>0</v>
      </c>
      <c r="J502" s="84">
        <f>E502*G502</f>
        <v>-0.252</v>
      </c>
      <c r="K502" s="84">
        <f>100*RADIANS(G502*F502/60)</f>
        <v>0.26470826988580665</v>
      </c>
      <c r="L502" s="80"/>
      <c r="M502" s="7" t="s">
        <v>44</v>
      </c>
      <c r="N502" s="157">
        <f>-O500*(J504-J503)/100</f>
        <v>2.1000034670768667E-2</v>
      </c>
      <c r="O502" s="157">
        <f>-O500*(K504-K503)/100</f>
        <v>0</v>
      </c>
      <c r="P502" s="529">
        <f>25*SQRT(N502^2+O502^2)</f>
        <v>0.52500086676921665</v>
      </c>
      <c r="Q502" s="29">
        <f>N502/SQRT(N502^2+O502^2)</f>
        <v>1</v>
      </c>
      <c r="R502" s="97" t="s">
        <v>439</v>
      </c>
      <c r="S502" s="97"/>
      <c r="T502" s="97"/>
    </row>
    <row r="503" spans="1:23" x14ac:dyDescent="0.2">
      <c r="A503" s="261"/>
      <c r="B503" s="87" t="s">
        <v>427</v>
      </c>
      <c r="C503" s="80"/>
      <c r="D503" s="80"/>
      <c r="E503" s="87">
        <v>-0.121</v>
      </c>
      <c r="F503" s="87">
        <v>6</v>
      </c>
      <c r="G503" s="87">
        <v>1</v>
      </c>
      <c r="H503" s="80"/>
      <c r="I503" s="107">
        <f>0.1*D503/(5*0.02)</f>
        <v>0</v>
      </c>
      <c r="J503" s="84">
        <f>E503*G503</f>
        <v>-0.121</v>
      </c>
      <c r="K503" s="84">
        <f>100*RADIANS(G503*F503/60)</f>
        <v>0.17453292519943295</v>
      </c>
      <c r="L503" s="80"/>
      <c r="P503" s="36"/>
      <c r="Q503" s="252"/>
      <c r="R503" s="251"/>
      <c r="S503" s="251"/>
    </row>
    <row r="504" spans="1:23" x14ac:dyDescent="0.2">
      <c r="A504" s="261"/>
      <c r="B504" s="476" t="s">
        <v>428</v>
      </c>
      <c r="C504" s="82"/>
      <c r="D504" s="82"/>
      <c r="E504" s="476">
        <v>-0.14199999999999999</v>
      </c>
      <c r="F504" s="476">
        <v>6</v>
      </c>
      <c r="G504" s="476">
        <v>1</v>
      </c>
      <c r="H504" s="82"/>
      <c r="I504" s="477">
        <f>0.1*D504/(5*0.02)</f>
        <v>0</v>
      </c>
      <c r="J504" s="478">
        <f>E504*G504</f>
        <v>-0.14199999999999999</v>
      </c>
      <c r="K504" s="478">
        <f>100*RADIANS(G504*F504/60)</f>
        <v>0.17453292519943295</v>
      </c>
      <c r="L504" s="82"/>
      <c r="M504" s="38"/>
      <c r="N504" s="38"/>
      <c r="O504" s="38"/>
      <c r="P504" s="40"/>
      <c r="Q504" s="29"/>
      <c r="R504" s="251"/>
      <c r="S504" s="251"/>
    </row>
    <row r="505" spans="1:23" x14ac:dyDescent="0.2">
      <c r="Q505" s="34"/>
      <c r="R505" s="29"/>
      <c r="S505" s="29"/>
      <c r="T505" s="29"/>
    </row>
    <row r="506" spans="1:23" x14ac:dyDescent="0.2">
      <c r="B506" s="489" t="s">
        <v>465</v>
      </c>
    </row>
    <row r="507" spans="1:23" x14ac:dyDescent="0.2">
      <c r="A507" s="261"/>
      <c r="B507" s="108">
        <v>42569</v>
      </c>
      <c r="C507" s="68"/>
      <c r="D507" s="158" t="s">
        <v>321</v>
      </c>
      <c r="E507" s="68"/>
      <c r="F507" s="68"/>
      <c r="G507" s="158" t="s">
        <v>341</v>
      </c>
      <c r="H507" s="68"/>
      <c r="I507" s="68"/>
      <c r="J507" s="68"/>
      <c r="K507" s="68"/>
      <c r="M507" s="479" t="s">
        <v>374</v>
      </c>
      <c r="N507" s="476"/>
      <c r="O507" s="480">
        <f>W508</f>
        <v>99.99925490487206</v>
      </c>
      <c r="P507" s="530" t="s">
        <v>479</v>
      </c>
      <c r="Q507" s="34"/>
      <c r="R507" s="29"/>
      <c r="S507" s="29"/>
      <c r="T507" s="29"/>
    </row>
    <row r="508" spans="1:23" x14ac:dyDescent="0.2">
      <c r="A508" s="261" t="s">
        <v>425</v>
      </c>
      <c r="B508" s="86" t="s">
        <v>453</v>
      </c>
      <c r="C508" s="76"/>
      <c r="D508" s="76"/>
      <c r="E508" s="86">
        <v>-0.23599999999999999</v>
      </c>
      <c r="F508" s="86">
        <v>9.0500000000000007</v>
      </c>
      <c r="G508" s="86">
        <v>2</v>
      </c>
      <c r="H508" s="76"/>
      <c r="I508" s="105">
        <f>0.1*D508/(5*0.02)</f>
        <v>0</v>
      </c>
      <c r="J508" s="106">
        <f>E508*G508</f>
        <v>-0.47199999999999998</v>
      </c>
      <c r="K508" s="106">
        <f>100*RADIANS(G508*F508/60)</f>
        <v>0.52650765768495611</v>
      </c>
      <c r="L508" s="76"/>
      <c r="M508" s="7" t="s">
        <v>157</v>
      </c>
      <c r="N508" s="157">
        <f>-O507*(J509-J508)/100</f>
        <v>0.21599839059452361</v>
      </c>
      <c r="O508" s="157">
        <f>-O507*(K509-K508)/100</f>
        <v>2.9088604127185886E-3</v>
      </c>
      <c r="P508" s="528">
        <f>25*SQRT(N508^2+O508^2)</f>
        <v>5.4004494146508923</v>
      </c>
      <c r="Q508" s="29">
        <f>N508/SQRT(N508^2+O508^2)</f>
        <v>0.99990933165923679</v>
      </c>
      <c r="R508" s="250" t="s">
        <v>238</v>
      </c>
      <c r="S508" s="250"/>
      <c r="U508">
        <v>19.920000000000002</v>
      </c>
      <c r="W508" s="526">
        <f>$W$479*(1+$X$479*0.000001*(U508-20))</f>
        <v>99.99925490487206</v>
      </c>
    </row>
    <row r="509" spans="1:23" x14ac:dyDescent="0.2">
      <c r="A509" s="261"/>
      <c r="B509" s="87" t="s">
        <v>454</v>
      </c>
      <c r="C509" s="80"/>
      <c r="D509" s="80"/>
      <c r="E509" s="87">
        <v>-0.34399999999999997</v>
      </c>
      <c r="F509" s="87">
        <v>9</v>
      </c>
      <c r="G509" s="87">
        <v>2</v>
      </c>
      <c r="H509" s="80"/>
      <c r="I509" s="107">
        <f>0.1*D509/(5*0.02)</f>
        <v>0</v>
      </c>
      <c r="J509" s="84">
        <f>E509*G509</f>
        <v>-0.68799999999999994</v>
      </c>
      <c r="K509" s="84">
        <f>100*RADIANS(G509*F509/60)</f>
        <v>0.52359877559829882</v>
      </c>
      <c r="L509" s="80"/>
      <c r="M509" s="7" t="s">
        <v>44</v>
      </c>
      <c r="N509" s="157">
        <f>-O507*(J511-J510)/100</f>
        <v>2.0999843530023123E-2</v>
      </c>
      <c r="O509" s="157">
        <f>-O507*(K511-K510)/100</f>
        <v>1.4544302063592388E-3</v>
      </c>
      <c r="P509" s="529">
        <f>25*SQRT(N509^2+O509^2)</f>
        <v>0.52625373841345791</v>
      </c>
      <c r="Q509" s="29">
        <f>N509/SQRT(N509^2+O509^2)</f>
        <v>0.99761018293823178</v>
      </c>
      <c r="R509" s="97" t="s">
        <v>439</v>
      </c>
      <c r="S509" s="97"/>
      <c r="T509" s="97"/>
    </row>
    <row r="510" spans="1:23" x14ac:dyDescent="0.2">
      <c r="A510" s="261"/>
      <c r="B510" s="87" t="s">
        <v>427</v>
      </c>
      <c r="C510" s="80"/>
      <c r="D510" s="80"/>
      <c r="E510" s="87">
        <v>-0.121</v>
      </c>
      <c r="F510" s="87">
        <v>6.05</v>
      </c>
      <c r="G510" s="87">
        <v>1</v>
      </c>
      <c r="H510" s="80"/>
      <c r="I510" s="107">
        <f>0.1*D510/(5*0.02)</f>
        <v>0</v>
      </c>
      <c r="J510" s="84">
        <f>E510*G510</f>
        <v>-0.121</v>
      </c>
      <c r="K510" s="84">
        <f>100*RADIANS(G510*F510/60)</f>
        <v>0.17598736624276154</v>
      </c>
      <c r="L510" s="80"/>
      <c r="P510" s="36"/>
      <c r="Q510" s="34"/>
      <c r="R510" s="251"/>
      <c r="S510" s="251"/>
    </row>
    <row r="511" spans="1:23" x14ac:dyDescent="0.2">
      <c r="A511" s="261"/>
      <c r="B511" s="476" t="s">
        <v>428</v>
      </c>
      <c r="C511" s="82"/>
      <c r="D511" s="82"/>
      <c r="E511" s="476">
        <v>-0.14199999999999999</v>
      </c>
      <c r="F511" s="476">
        <v>6</v>
      </c>
      <c r="G511" s="476">
        <v>1</v>
      </c>
      <c r="H511" s="82"/>
      <c r="I511" s="477">
        <f>0.1*D511/(5*0.02)</f>
        <v>0</v>
      </c>
      <c r="J511" s="478">
        <f>E511*G511</f>
        <v>-0.14199999999999999</v>
      </c>
      <c r="K511" s="478">
        <f>100*RADIANS(G511*F511/60)</f>
        <v>0.17453292519943295</v>
      </c>
      <c r="L511" s="82"/>
      <c r="M511" s="38"/>
      <c r="N511" s="38"/>
      <c r="O511" s="38"/>
      <c r="P511" s="40"/>
      <c r="Q511" s="34"/>
      <c r="R511" s="251"/>
      <c r="S511" s="251"/>
    </row>
    <row r="513" spans="1:23" x14ac:dyDescent="0.2">
      <c r="B513" s="489" t="s">
        <v>484</v>
      </c>
    </row>
    <row r="514" spans="1:23" x14ac:dyDescent="0.2">
      <c r="A514" s="261"/>
      <c r="B514" s="108">
        <v>42572</v>
      </c>
      <c r="C514" s="68"/>
      <c r="D514" s="158" t="s">
        <v>321</v>
      </c>
      <c r="E514" s="68"/>
      <c r="F514" s="68"/>
      <c r="G514" s="158" t="s">
        <v>341</v>
      </c>
      <c r="H514" s="68"/>
      <c r="I514" s="68"/>
      <c r="J514" s="68"/>
      <c r="K514" s="68"/>
      <c r="M514" s="479" t="s">
        <v>374</v>
      </c>
      <c r="N514" s="476"/>
      <c r="O514" s="480">
        <f>W515</f>
        <v>99.99925490487206</v>
      </c>
      <c r="P514" s="530" t="s">
        <v>479</v>
      </c>
      <c r="Q514" s="34"/>
      <c r="R514" s="29"/>
      <c r="S514" s="29"/>
      <c r="T514" s="29"/>
    </row>
    <row r="515" spans="1:23" x14ac:dyDescent="0.2">
      <c r="A515" s="261" t="s">
        <v>425</v>
      </c>
      <c r="B515" s="86" t="s">
        <v>453</v>
      </c>
      <c r="C515" s="76"/>
      <c r="D515" s="76"/>
      <c r="E515" s="86">
        <v>-0.307</v>
      </c>
      <c r="F515" s="86">
        <v>2.5499999999999998</v>
      </c>
      <c r="G515" s="86">
        <v>2</v>
      </c>
      <c r="H515" s="76"/>
      <c r="I515" s="105">
        <f>0.1*D515/(5*0.02)</f>
        <v>0</v>
      </c>
      <c r="J515" s="106">
        <f>E515*G515</f>
        <v>-0.61399999999999999</v>
      </c>
      <c r="K515" s="106">
        <f>100*RADIANS(G515*F515/60)</f>
        <v>0.148352986419518</v>
      </c>
      <c r="L515" s="76"/>
      <c r="M515" s="7" t="s">
        <v>157</v>
      </c>
      <c r="N515" s="157">
        <f>-O514*(J516-J515)/100</f>
        <v>0.1399989568668209</v>
      </c>
      <c r="O515" s="157">
        <f>-O514*(K516-K515)/100</f>
        <v>0.1265354279532552</v>
      </c>
      <c r="P515" s="528">
        <f>25*SQRT(N515^2+O515^2)</f>
        <v>4.7177141214728806</v>
      </c>
      <c r="Q515" s="29">
        <f>N515/SQRT(N515^2+O515^2)</f>
        <v>0.74187918800341013</v>
      </c>
      <c r="R515" s="250" t="s">
        <v>238</v>
      </c>
      <c r="S515" s="250"/>
      <c r="U515">
        <v>19.920000000000002</v>
      </c>
      <c r="W515" s="526">
        <f>$W$479*(1+$X$479*0.000001*(U515-20))</f>
        <v>99.99925490487206</v>
      </c>
    </row>
    <row r="516" spans="1:23" x14ac:dyDescent="0.2">
      <c r="A516" s="261"/>
      <c r="B516" s="87" t="s">
        <v>454</v>
      </c>
      <c r="C516" s="80"/>
      <c r="D516" s="80"/>
      <c r="E516" s="87">
        <v>-0.377</v>
      </c>
      <c r="F516" s="87">
        <v>0.375</v>
      </c>
      <c r="G516" s="87">
        <v>2</v>
      </c>
      <c r="H516" s="80"/>
      <c r="I516" s="107">
        <f>0.1*D516/(5*0.02)</f>
        <v>0</v>
      </c>
      <c r="J516" s="84">
        <f>E516*G516</f>
        <v>-0.754</v>
      </c>
      <c r="K516" s="84">
        <f>100*RADIANS(G516*F516/60)</f>
        <v>2.1816615649929118E-2</v>
      </c>
      <c r="L516" s="80"/>
      <c r="M516" s="7" t="s">
        <v>44</v>
      </c>
      <c r="N516" s="157">
        <f>-O514*(J518-J517)/100</f>
        <v>2.1999836079071845E-2</v>
      </c>
      <c r="O516" s="157">
        <f>-O514*(K518-K517)/100</f>
        <v>1.4544302063592388E-3</v>
      </c>
      <c r="P516" s="529">
        <f>25*SQRT(N516^2+O516^2)</f>
        <v>0.55119651369271272</v>
      </c>
      <c r="Q516" s="29">
        <f>N516/SQRT(N516^2+O516^2)</f>
        <v>0.99782180821886335</v>
      </c>
      <c r="R516" s="97" t="s">
        <v>439</v>
      </c>
      <c r="S516" s="97"/>
      <c r="T516" s="97"/>
    </row>
    <row r="517" spans="1:23" x14ac:dyDescent="0.2">
      <c r="A517" s="261"/>
      <c r="B517" s="87" t="s">
        <v>427</v>
      </c>
      <c r="C517" s="80"/>
      <c r="D517" s="80"/>
      <c r="E517" s="87">
        <v>-0.121</v>
      </c>
      <c r="F517" s="87">
        <v>6.05</v>
      </c>
      <c r="G517" s="87">
        <v>1</v>
      </c>
      <c r="H517" s="80"/>
      <c r="I517" s="107">
        <f>0.1*D517/(5*0.02)</f>
        <v>0</v>
      </c>
      <c r="J517" s="84">
        <f>E517*G517</f>
        <v>-0.121</v>
      </c>
      <c r="K517" s="84">
        <f>100*RADIANS(G517*F517/60)</f>
        <v>0.17598736624276154</v>
      </c>
      <c r="L517" s="80"/>
      <c r="P517" s="36"/>
      <c r="Q517" s="34"/>
      <c r="R517" s="251"/>
      <c r="S517" s="251"/>
    </row>
    <row r="518" spans="1:23" x14ac:dyDescent="0.2">
      <c r="A518" s="261"/>
      <c r="B518" s="476" t="s">
        <v>428</v>
      </c>
      <c r="C518" s="82"/>
      <c r="D518" s="82"/>
      <c r="E518" s="476">
        <v>-0.14299999999999999</v>
      </c>
      <c r="F518" s="476">
        <v>6</v>
      </c>
      <c r="G518" s="476">
        <v>1</v>
      </c>
      <c r="H518" s="82"/>
      <c r="I518" s="477">
        <f>0.1*D518/(5*0.02)</f>
        <v>0</v>
      </c>
      <c r="J518" s="478">
        <f>E518*G518</f>
        <v>-0.14299999999999999</v>
      </c>
      <c r="K518" s="478">
        <f>100*RADIANS(G518*F518/60)</f>
        <v>0.17453292519943295</v>
      </c>
      <c r="L518" s="82"/>
      <c r="M518" s="38"/>
      <c r="N518" s="38"/>
      <c r="O518" s="38"/>
      <c r="P518" s="40"/>
      <c r="Q518" s="34"/>
      <c r="R518" s="251"/>
      <c r="S518" s="251"/>
    </row>
    <row r="520" spans="1:23" x14ac:dyDescent="0.2">
      <c r="B520" s="489" t="s">
        <v>504</v>
      </c>
    </row>
    <row r="521" spans="1:23" x14ac:dyDescent="0.2">
      <c r="A521" s="261"/>
      <c r="B521" s="108">
        <v>42592</v>
      </c>
      <c r="C521" s="68"/>
      <c r="D521" s="158" t="s">
        <v>321</v>
      </c>
      <c r="E521" s="68"/>
      <c r="F521" s="68"/>
      <c r="G521" s="158" t="s">
        <v>341</v>
      </c>
      <c r="H521" s="68"/>
      <c r="I521" s="68"/>
      <c r="J521" s="68"/>
      <c r="K521" s="68"/>
      <c r="M521" s="479" t="s">
        <v>374</v>
      </c>
      <c r="N521" s="476"/>
      <c r="O521" s="480">
        <f>W522</f>
        <v>99.99925490487206</v>
      </c>
      <c r="P521" s="530" t="s">
        <v>479</v>
      </c>
      <c r="Q521" s="34"/>
      <c r="R521" s="29"/>
      <c r="S521" s="29"/>
      <c r="T521" s="29"/>
    </row>
    <row r="522" spans="1:23" x14ac:dyDescent="0.2">
      <c r="A522" s="261" t="s">
        <v>425</v>
      </c>
      <c r="B522" s="86" t="s">
        <v>453</v>
      </c>
      <c r="C522" s="76"/>
      <c r="D522" s="76"/>
      <c r="E522" s="86">
        <v>-0.32700000000000001</v>
      </c>
      <c r="F522" s="86">
        <v>3.55</v>
      </c>
      <c r="G522" s="86">
        <v>2</v>
      </c>
      <c r="H522" s="76"/>
      <c r="I522" s="105">
        <f>0.1*D522/(5*0.02)</f>
        <v>0</v>
      </c>
      <c r="J522" s="106">
        <f>E522*G522</f>
        <v>-0.65400000000000003</v>
      </c>
      <c r="K522" s="106">
        <f>100*RADIANS(G522*F522/60)</f>
        <v>0.20653062815266235</v>
      </c>
      <c r="L522" s="76"/>
      <c r="M522" s="7" t="s">
        <v>157</v>
      </c>
      <c r="N522" s="157">
        <f>-O521*(J523-J522)/100</f>
        <v>0.16999873333828244</v>
      </c>
      <c r="O522" s="157">
        <f>-O521*(K523-K522)/100</f>
        <v>0.12508099774689599</v>
      </c>
      <c r="P522" s="528">
        <f>25*SQRT(N522^2+O522^2)</f>
        <v>5.2764112646511139</v>
      </c>
      <c r="Q522" s="29">
        <f>N522/SQRT(N522^2+O522^2)</f>
        <v>0.80546570771110593</v>
      </c>
      <c r="R522" s="250" t="s">
        <v>238</v>
      </c>
      <c r="S522" s="250"/>
      <c r="U522">
        <v>19.920000000000002</v>
      </c>
      <c r="W522" s="526">
        <f>$W$479*(1+$X$479*0.000001*(U522-20))</f>
        <v>99.99925490487206</v>
      </c>
    </row>
    <row r="523" spans="1:23" x14ac:dyDescent="0.2">
      <c r="A523" s="261"/>
      <c r="B523" s="87" t="s">
        <v>454</v>
      </c>
      <c r="C523" s="80"/>
      <c r="D523" s="80"/>
      <c r="E523" s="87">
        <v>-0.41199999999999998</v>
      </c>
      <c r="F523" s="87">
        <v>1.4</v>
      </c>
      <c r="G523" s="87">
        <v>2</v>
      </c>
      <c r="H523" s="80"/>
      <c r="I523" s="107">
        <f>0.1*D523/(5*0.02)</f>
        <v>0</v>
      </c>
      <c r="J523" s="84">
        <f>E523*G523</f>
        <v>-0.82399999999999995</v>
      </c>
      <c r="K523" s="84">
        <f>100*RADIANS(G523*F523/60)</f>
        <v>8.1448698426402039E-2</v>
      </c>
      <c r="L523" s="80"/>
      <c r="M523" s="7" t="s">
        <v>44</v>
      </c>
      <c r="N523" s="157">
        <f>-O521*(J525-J524)/100</f>
        <v>1.9999850980974402E-2</v>
      </c>
      <c r="O523" s="157">
        <f>-O521*(K525-K524)/100</f>
        <v>1.4544302063592388E-3</v>
      </c>
      <c r="P523" s="529">
        <f>25*SQRT(N523^2+O523^2)</f>
        <v>0.50131664549860167</v>
      </c>
      <c r="Q523" s="29">
        <f>N523/SQRT(N523^2+O523^2)</f>
        <v>0.99736619363011902</v>
      </c>
      <c r="R523" s="97" t="s">
        <v>439</v>
      </c>
      <c r="S523" s="97"/>
      <c r="T523" s="97"/>
    </row>
    <row r="524" spans="1:23" x14ac:dyDescent="0.2">
      <c r="A524" s="261"/>
      <c r="B524" s="87" t="s">
        <v>427</v>
      </c>
      <c r="C524" s="80"/>
      <c r="D524" s="80"/>
      <c r="E524" s="87">
        <v>-0.121</v>
      </c>
      <c r="F524" s="87">
        <v>6.05</v>
      </c>
      <c r="G524" s="87">
        <v>1</v>
      </c>
      <c r="H524" s="80"/>
      <c r="I524" s="107">
        <f>0.1*D524/(5*0.02)</f>
        <v>0</v>
      </c>
      <c r="J524" s="84">
        <f>E524*G524</f>
        <v>-0.121</v>
      </c>
      <c r="K524" s="84">
        <f>100*RADIANS(G524*F524/60)</f>
        <v>0.17598736624276154</v>
      </c>
      <c r="L524" s="80"/>
      <c r="P524" s="36"/>
      <c r="Q524" s="34"/>
      <c r="R524" s="251"/>
      <c r="S524" s="251"/>
    </row>
    <row r="525" spans="1:23" x14ac:dyDescent="0.2">
      <c r="A525" s="261"/>
      <c r="B525" s="476" t="s">
        <v>428</v>
      </c>
      <c r="C525" s="82"/>
      <c r="D525" s="82"/>
      <c r="E525" s="476">
        <v>-0.14099999999999999</v>
      </c>
      <c r="F525" s="476">
        <v>6</v>
      </c>
      <c r="G525" s="476">
        <v>1</v>
      </c>
      <c r="H525" s="82"/>
      <c r="I525" s="477">
        <f>0.1*D525/(5*0.02)</f>
        <v>0</v>
      </c>
      <c r="J525" s="478">
        <f>E525*G525</f>
        <v>-0.14099999999999999</v>
      </c>
      <c r="K525" s="478">
        <f>100*RADIANS(G525*F525/60)</f>
        <v>0.17453292519943295</v>
      </c>
      <c r="L525" s="82"/>
      <c r="M525" s="38"/>
      <c r="N525" s="38"/>
      <c r="O525" s="38"/>
      <c r="P525" s="40"/>
      <c r="Q525" s="34"/>
      <c r="R525" s="251"/>
      <c r="S525" s="251"/>
    </row>
    <row r="527" spans="1:23" x14ac:dyDescent="0.2">
      <c r="B527" s="489" t="s">
        <v>507</v>
      </c>
    </row>
    <row r="528" spans="1:23" x14ac:dyDescent="0.2">
      <c r="A528" s="261"/>
      <c r="B528" s="108">
        <v>42614</v>
      </c>
      <c r="C528" s="68"/>
      <c r="D528" s="158" t="s">
        <v>321</v>
      </c>
      <c r="E528" s="68"/>
      <c r="F528" s="68"/>
      <c r="G528" s="158" t="s">
        <v>341</v>
      </c>
      <c r="H528" s="68"/>
      <c r="I528" s="68"/>
      <c r="J528" s="68"/>
      <c r="K528" s="68"/>
      <c r="M528" s="479" t="s">
        <v>374</v>
      </c>
      <c r="N528" s="476"/>
      <c r="O528" s="480">
        <f>W529</f>
        <v>99.99926600479921</v>
      </c>
      <c r="P528" s="530" t="s">
        <v>479</v>
      </c>
      <c r="Q528" s="34"/>
      <c r="R528" s="29"/>
      <c r="S528" s="29"/>
      <c r="T528" s="29"/>
    </row>
    <row r="529" spans="1:23" x14ac:dyDescent="0.2">
      <c r="A529" s="261" t="s">
        <v>425</v>
      </c>
      <c r="B529" s="86" t="s">
        <v>453</v>
      </c>
      <c r="C529" s="76"/>
      <c r="D529" s="76"/>
      <c r="E529" s="86">
        <v>-0.23899999999999999</v>
      </c>
      <c r="F529" s="86">
        <v>9.0500000000000007</v>
      </c>
      <c r="G529" s="86">
        <v>2</v>
      </c>
      <c r="H529" s="76"/>
      <c r="I529" s="105">
        <f>0.1*D529/(5*0.02)</f>
        <v>0</v>
      </c>
      <c r="J529" s="106">
        <f>E529*G529</f>
        <v>-0.47799999999999998</v>
      </c>
      <c r="K529" s="106">
        <f>100*RADIANS(G529*F529/60)</f>
        <v>0.52650765768495611</v>
      </c>
      <c r="L529" s="76"/>
      <c r="M529" s="7" t="s">
        <v>157</v>
      </c>
      <c r="N529" s="157">
        <f>-O528*(J530-J529)/100</f>
        <v>0.21799839989046227</v>
      </c>
      <c r="O529" s="157">
        <f>-O528*(K530-K529)/100</f>
        <v>2.9088607356023812E-3</v>
      </c>
      <c r="P529" s="528">
        <f>25*SQRT(N529^2+O529^2)</f>
        <v>5.4504451553050366</v>
      </c>
      <c r="Q529" s="29">
        <f>N529/SQRT(N529^2+O529^2)</f>
        <v>0.99991098744604234</v>
      </c>
      <c r="R529" s="250" t="s">
        <v>238</v>
      </c>
      <c r="S529" s="250"/>
      <c r="U529">
        <v>19.93</v>
      </c>
      <c r="W529" s="526">
        <f>$W$479*(1+$X$479*0.000001*(U529-20))</f>
        <v>99.99926600479921</v>
      </c>
    </row>
    <row r="530" spans="1:23" x14ac:dyDescent="0.2">
      <c r="A530" s="261"/>
      <c r="B530" s="87" t="s">
        <v>454</v>
      </c>
      <c r="C530" s="80"/>
      <c r="D530" s="80"/>
      <c r="E530" s="87">
        <v>-0.34799999999999998</v>
      </c>
      <c r="F530" s="87">
        <v>9</v>
      </c>
      <c r="G530" s="87">
        <v>2</v>
      </c>
      <c r="H530" s="80"/>
      <c r="I530" s="107">
        <f>0.1*D530/(5*0.02)</f>
        <v>0</v>
      </c>
      <c r="J530" s="84">
        <f>E530*G530</f>
        <v>-0.69599999999999995</v>
      </c>
      <c r="K530" s="84">
        <f>100*RADIANS(G530*F530/60)</f>
        <v>0.52359877559829882</v>
      </c>
      <c r="L530" s="80"/>
      <c r="M530" s="7" t="s">
        <v>44</v>
      </c>
      <c r="N530" s="157">
        <f>-O528*(J532-J531)/100</f>
        <v>1.999985320095983E-2</v>
      </c>
      <c r="O530" s="157">
        <f>-O528*(K532-K531)/100</f>
        <v>0</v>
      </c>
      <c r="P530" s="529">
        <f>25*SQRT(N530^2+O530^2)</f>
        <v>0.49999633002399574</v>
      </c>
      <c r="Q530" s="29">
        <f>N530/SQRT(N530^2+O530^2)</f>
        <v>1</v>
      </c>
      <c r="R530" s="97" t="s">
        <v>439</v>
      </c>
      <c r="S530" s="97"/>
      <c r="T530" s="97"/>
    </row>
    <row r="531" spans="1:23" x14ac:dyDescent="0.2">
      <c r="A531" s="261"/>
      <c r="B531" s="87" t="s">
        <v>427</v>
      </c>
      <c r="C531" s="80"/>
      <c r="D531" s="80"/>
      <c r="E531" s="87">
        <v>-0.121</v>
      </c>
      <c r="F531" s="87">
        <v>6.05</v>
      </c>
      <c r="G531" s="87">
        <v>1</v>
      </c>
      <c r="H531" s="80"/>
      <c r="I531" s="107">
        <f>0.1*D531/(5*0.02)</f>
        <v>0</v>
      </c>
      <c r="J531" s="84">
        <f>E531*G531</f>
        <v>-0.121</v>
      </c>
      <c r="K531" s="84">
        <f>100*RADIANS(G531*F531/60)</f>
        <v>0.17598736624276154</v>
      </c>
      <c r="L531" s="80"/>
      <c r="P531" s="36"/>
      <c r="Q531" s="34"/>
      <c r="R531" s="251"/>
      <c r="S531" s="251"/>
    </row>
    <row r="532" spans="1:23" x14ac:dyDescent="0.2">
      <c r="A532" s="261"/>
      <c r="B532" s="476" t="s">
        <v>428</v>
      </c>
      <c r="C532" s="82"/>
      <c r="D532" s="82"/>
      <c r="E532" s="476">
        <v>-0.14099999999999999</v>
      </c>
      <c r="F532" s="476">
        <v>6.05</v>
      </c>
      <c r="G532" s="476">
        <v>1</v>
      </c>
      <c r="H532" s="82"/>
      <c r="I532" s="477">
        <f>0.1*D532/(5*0.02)</f>
        <v>0</v>
      </c>
      <c r="J532" s="478">
        <f>E532*G532</f>
        <v>-0.14099999999999999</v>
      </c>
      <c r="K532" s="478">
        <f>100*RADIANS(G532*F532/60)</f>
        <v>0.17598736624276154</v>
      </c>
      <c r="L532" s="82"/>
      <c r="M532" s="38"/>
      <c r="N532" s="38"/>
      <c r="O532" s="38"/>
      <c r="P532" s="40"/>
      <c r="Q532" s="34"/>
      <c r="R532" s="251"/>
      <c r="S532" s="251"/>
    </row>
    <row r="534" spans="1:23" x14ac:dyDescent="0.2">
      <c r="B534" s="489" t="s">
        <v>508</v>
      </c>
    </row>
    <row r="535" spans="1:23" x14ac:dyDescent="0.2">
      <c r="A535" s="261"/>
      <c r="B535" s="108">
        <v>42614</v>
      </c>
      <c r="C535" s="68"/>
      <c r="D535" s="158" t="s">
        <v>321</v>
      </c>
      <c r="E535" s="68"/>
      <c r="F535" s="68"/>
      <c r="G535" s="158" t="s">
        <v>341</v>
      </c>
      <c r="H535" s="68"/>
      <c r="I535" s="68"/>
      <c r="J535" s="68"/>
      <c r="K535" s="68"/>
      <c r="M535" s="479" t="s">
        <v>374</v>
      </c>
      <c r="N535" s="476"/>
      <c r="O535" s="480">
        <f>W536</f>
        <v>100</v>
      </c>
      <c r="P535" s="530" t="s">
        <v>479</v>
      </c>
      <c r="Q535" s="34"/>
      <c r="R535" s="29"/>
      <c r="S535" s="29"/>
      <c r="T535" s="29"/>
    </row>
    <row r="536" spans="1:23" x14ac:dyDescent="0.2">
      <c r="A536" s="261" t="s">
        <v>425</v>
      </c>
      <c r="B536" s="86" t="s">
        <v>453</v>
      </c>
      <c r="C536" s="76"/>
      <c r="D536" s="76"/>
      <c r="E536" s="86">
        <v>-0.23899999999999999</v>
      </c>
      <c r="F536" s="86">
        <v>9.0500000000000007</v>
      </c>
      <c r="G536" s="86">
        <v>2</v>
      </c>
      <c r="H536" s="76"/>
      <c r="I536" s="105">
        <f>0.1*D536/(5*0.02)</f>
        <v>0</v>
      </c>
      <c r="J536" s="106">
        <f>E536*G536</f>
        <v>-0.47799999999999998</v>
      </c>
      <c r="K536" s="106">
        <f>100*RADIANS(G536*F536/60)</f>
        <v>0.52650765768495611</v>
      </c>
      <c r="L536" s="76"/>
      <c r="M536" s="7" t="s">
        <v>157</v>
      </c>
      <c r="N536" s="157">
        <f>-O535*(J537-J536)/100</f>
        <v>0.21799999999999997</v>
      </c>
      <c r="O536" s="157">
        <f>-O535*(K537-K536)/100</f>
        <v>2.908882086657294E-3</v>
      </c>
      <c r="P536" s="528">
        <f>25*SQRT(N536^2+O536^2)</f>
        <v>5.4504851616045427</v>
      </c>
      <c r="Q536" s="29">
        <f>N536/SQRT(N536^2+O536^2)</f>
        <v>0.99991098744604234</v>
      </c>
      <c r="R536" s="250" t="s">
        <v>238</v>
      </c>
      <c r="S536" s="250"/>
      <c r="W536" s="526">
        <v>100</v>
      </c>
    </row>
    <row r="537" spans="1:23" x14ac:dyDescent="0.2">
      <c r="A537" s="261"/>
      <c r="B537" s="87" t="s">
        <v>454</v>
      </c>
      <c r="C537" s="80"/>
      <c r="D537" s="80"/>
      <c r="E537" s="87">
        <v>-0.34799999999999998</v>
      </c>
      <c r="F537" s="87">
        <v>9</v>
      </c>
      <c r="G537" s="87">
        <v>2</v>
      </c>
      <c r="H537" s="80"/>
      <c r="I537" s="107">
        <f>0.1*D537/(5*0.02)</f>
        <v>0</v>
      </c>
      <c r="J537" s="84">
        <f>E537*G537</f>
        <v>-0.69599999999999995</v>
      </c>
      <c r="K537" s="84">
        <f>100*RADIANS(G537*F537/60)</f>
        <v>0.52359877559829882</v>
      </c>
      <c r="L537" s="80"/>
      <c r="M537" s="7" t="s">
        <v>44</v>
      </c>
      <c r="N537" s="157">
        <f>-O535*(J539-J538)/100</f>
        <v>1.999999999999999E-2</v>
      </c>
      <c r="O537" s="157">
        <f>-O535*(K539-K538)/100</f>
        <v>1.4544410433285915E-3</v>
      </c>
      <c r="P537" s="529">
        <f>25*SQRT(N537^2+O537^2)</f>
        <v>0.50132038081233443</v>
      </c>
      <c r="Q537" s="29">
        <f>N537/SQRT(N537^2+O537^2)</f>
        <v>0.99736619363011902</v>
      </c>
      <c r="R537" s="97" t="s">
        <v>509</v>
      </c>
      <c r="S537" s="97"/>
      <c r="T537" s="97"/>
    </row>
    <row r="538" spans="1:23" x14ac:dyDescent="0.2">
      <c r="A538" s="261"/>
      <c r="B538" s="87" t="s">
        <v>427</v>
      </c>
      <c r="C538" s="80"/>
      <c r="D538" s="80"/>
      <c r="E538" s="87">
        <v>-0.121</v>
      </c>
      <c r="F538" s="87">
        <v>6.05</v>
      </c>
      <c r="G538" s="87">
        <v>1</v>
      </c>
      <c r="H538" s="80"/>
      <c r="I538" s="107">
        <f>0.1*D538/(5*0.02)</f>
        <v>0</v>
      </c>
      <c r="J538" s="84">
        <f>E538*G538</f>
        <v>-0.121</v>
      </c>
      <c r="K538" s="84">
        <f>100*RADIANS(G538*F538/60)</f>
        <v>0.17598736624276154</v>
      </c>
      <c r="L538" s="80"/>
      <c r="P538" s="36"/>
      <c r="Q538" s="34"/>
      <c r="R538" s="251"/>
      <c r="S538" s="251"/>
    </row>
    <row r="539" spans="1:23" x14ac:dyDescent="0.2">
      <c r="A539" s="261"/>
      <c r="B539" s="476" t="s">
        <v>428</v>
      </c>
      <c r="C539" s="82"/>
      <c r="D539" s="82"/>
      <c r="E539" s="476">
        <v>-0.14099999999999999</v>
      </c>
      <c r="F539" s="476">
        <v>6</v>
      </c>
      <c r="G539" s="476">
        <v>1</v>
      </c>
      <c r="H539" s="82"/>
      <c r="I539" s="477">
        <f>0.1*D539/(5*0.02)</f>
        <v>0</v>
      </c>
      <c r="J539" s="478">
        <f>E539*G539</f>
        <v>-0.14099999999999999</v>
      </c>
      <c r="K539" s="478">
        <f>100*RADIANS(G539*F539/60)</f>
        <v>0.17453292519943295</v>
      </c>
      <c r="L539" s="82"/>
      <c r="M539" s="38"/>
      <c r="N539" s="38"/>
      <c r="O539" s="38"/>
      <c r="P539" s="40"/>
      <c r="Q539" s="34"/>
      <c r="R539" s="251"/>
      <c r="S539" s="251"/>
    </row>
    <row r="541" spans="1:23" x14ac:dyDescent="0.2">
      <c r="B541" s="489" t="s">
        <v>504</v>
      </c>
    </row>
    <row r="542" spans="1:23" x14ac:dyDescent="0.2">
      <c r="A542" s="261"/>
      <c r="B542" s="108">
        <v>42614</v>
      </c>
      <c r="C542" s="68"/>
      <c r="D542" s="158" t="s">
        <v>321</v>
      </c>
      <c r="E542" s="68"/>
      <c r="F542" s="68"/>
      <c r="G542" s="158" t="s">
        <v>341</v>
      </c>
      <c r="H542" s="68"/>
      <c r="I542" s="68"/>
      <c r="J542" s="68"/>
      <c r="K542" s="68"/>
      <c r="M542" s="479" t="s">
        <v>374</v>
      </c>
      <c r="N542" s="476"/>
      <c r="O542" s="480">
        <f>W543</f>
        <v>99.99932150443496</v>
      </c>
      <c r="P542" s="530" t="s">
        <v>479</v>
      </c>
      <c r="Q542" s="34"/>
      <c r="R542" s="29"/>
      <c r="S542" s="29"/>
      <c r="T542" s="29"/>
    </row>
    <row r="543" spans="1:23" x14ac:dyDescent="0.2">
      <c r="A543" s="261" t="s">
        <v>425</v>
      </c>
      <c r="B543" s="86" t="s">
        <v>453</v>
      </c>
      <c r="C543" s="76"/>
      <c r="D543" s="76"/>
      <c r="E543" s="86">
        <v>-0.32800000000000001</v>
      </c>
      <c r="F543" s="86">
        <v>3.5</v>
      </c>
      <c r="G543" s="86">
        <v>2</v>
      </c>
      <c r="H543" s="76"/>
      <c r="I543" s="105">
        <f>0.1*D543/(5*0.02)</f>
        <v>0</v>
      </c>
      <c r="J543" s="106">
        <f>E543*G543</f>
        <v>-0.65600000000000003</v>
      </c>
      <c r="K543" s="106">
        <f>100*RADIANS(G543*F543/60)</f>
        <v>0.20362174606600511</v>
      </c>
      <c r="L543" s="76"/>
      <c r="M543" s="7" t="s">
        <v>157</v>
      </c>
      <c r="N543" s="157">
        <f>-O542*(J544-J543)/100</f>
        <v>0.16599887369736194</v>
      </c>
      <c r="O543" s="157">
        <f>-O542*(K544-K543)/100</f>
        <v>0.12508108105091439</v>
      </c>
      <c r="P543" s="528">
        <f>25*SQRT(N543^2+O543^2)</f>
        <v>5.1962067237588165</v>
      </c>
      <c r="Q543" s="29">
        <f>N543/SQRT(N543^2+O543^2)</f>
        <v>0.79865410732390074</v>
      </c>
      <c r="R543" s="250" t="s">
        <v>238</v>
      </c>
      <c r="S543" s="250"/>
      <c r="U543">
        <v>19.98</v>
      </c>
      <c r="W543" s="526">
        <f>$W$479*(1+$X$479*0.000001*(U543-20))</f>
        <v>99.99932150443496</v>
      </c>
    </row>
    <row r="544" spans="1:23" x14ac:dyDescent="0.2">
      <c r="A544" s="261"/>
      <c r="B544" s="87" t="s">
        <v>454</v>
      </c>
      <c r="C544" s="80"/>
      <c r="D544" s="80"/>
      <c r="E544" s="87">
        <v>-0.41099999999999998</v>
      </c>
      <c r="F544" s="87">
        <v>1.35</v>
      </c>
      <c r="G544" s="87">
        <v>2</v>
      </c>
      <c r="H544" s="80"/>
      <c r="I544" s="107">
        <f>0.1*D544/(5*0.02)</f>
        <v>0</v>
      </c>
      <c r="J544" s="84">
        <f>E544*G544</f>
        <v>-0.82199999999999995</v>
      </c>
      <c r="K544" s="84">
        <f>100*RADIANS(G544*F544/60)</f>
        <v>7.8539816339744842E-2</v>
      </c>
      <c r="L544" s="80"/>
      <c r="M544" s="7" t="s">
        <v>44</v>
      </c>
      <c r="N544" s="157">
        <f>-O542*(J546-J545)/100</f>
        <v>1.9999864300886981E-2</v>
      </c>
      <c r="O544" s="157">
        <f>-O542*(K546-K545)/100</f>
        <v>1.4544311750106164E-3</v>
      </c>
      <c r="P544" s="529">
        <f>25*SQRT(N544^2+O544^2)</f>
        <v>0.5013169793757839</v>
      </c>
      <c r="Q544" s="29">
        <f>N544/SQRT(N544^2+O544^2)</f>
        <v>0.99736619363011902</v>
      </c>
      <c r="R544" s="97" t="s">
        <v>439</v>
      </c>
      <c r="S544" s="97"/>
      <c r="T544" s="97"/>
    </row>
    <row r="545" spans="1:23" x14ac:dyDescent="0.2">
      <c r="A545" s="261"/>
      <c r="B545" s="87" t="s">
        <v>427</v>
      </c>
      <c r="C545" s="80"/>
      <c r="D545" s="80"/>
      <c r="E545" s="87">
        <v>-0.121</v>
      </c>
      <c r="F545" s="87">
        <v>6.05</v>
      </c>
      <c r="G545" s="87">
        <v>1</v>
      </c>
      <c r="H545" s="80"/>
      <c r="I545" s="107">
        <f>0.1*D545/(5*0.02)</f>
        <v>0</v>
      </c>
      <c r="J545" s="84">
        <f>E545*G545</f>
        <v>-0.121</v>
      </c>
      <c r="K545" s="84">
        <f>100*RADIANS(G545*F545/60)</f>
        <v>0.17598736624276154</v>
      </c>
      <c r="L545" s="80"/>
      <c r="P545" s="36"/>
      <c r="Q545" s="34"/>
      <c r="R545" s="251"/>
      <c r="S545" s="251"/>
    </row>
    <row r="546" spans="1:23" x14ac:dyDescent="0.2">
      <c r="A546" s="261"/>
      <c r="B546" s="476" t="s">
        <v>428</v>
      </c>
      <c r="C546" s="82"/>
      <c r="D546" s="82"/>
      <c r="E546" s="476">
        <v>-0.14099999999999999</v>
      </c>
      <c r="F546" s="476">
        <v>6</v>
      </c>
      <c r="G546" s="476">
        <v>1</v>
      </c>
      <c r="H546" s="82"/>
      <c r="I546" s="477">
        <f>0.1*D546/(5*0.02)</f>
        <v>0</v>
      </c>
      <c r="J546" s="478">
        <f>E546*G546</f>
        <v>-0.14099999999999999</v>
      </c>
      <c r="K546" s="478">
        <f>100*RADIANS(G546*F546/60)</f>
        <v>0.17453292519943295</v>
      </c>
      <c r="L546" s="82"/>
      <c r="M546" s="38"/>
      <c r="N546" s="38"/>
      <c r="O546" s="38"/>
      <c r="P546" s="40"/>
      <c r="Q546" s="34"/>
      <c r="R546" s="524" t="s">
        <v>510</v>
      </c>
    </row>
    <row r="547" spans="1:23" x14ac:dyDescent="0.2">
      <c r="R547" s="524" t="s">
        <v>511</v>
      </c>
    </row>
    <row r="548" spans="1:23" x14ac:dyDescent="0.2">
      <c r="B548" s="489" t="s">
        <v>494</v>
      </c>
    </row>
    <row r="549" spans="1:23" x14ac:dyDescent="0.2">
      <c r="B549" s="108">
        <v>42614</v>
      </c>
      <c r="C549" s="68"/>
      <c r="D549" s="158" t="s">
        <v>321</v>
      </c>
      <c r="E549" s="68"/>
      <c r="F549" s="68"/>
      <c r="G549" s="158" t="s">
        <v>341</v>
      </c>
      <c r="H549" s="68"/>
      <c r="I549" s="68"/>
      <c r="J549" s="68"/>
      <c r="K549" s="68"/>
      <c r="M549" s="479" t="s">
        <v>374</v>
      </c>
      <c r="N549" s="476"/>
      <c r="O549" s="480">
        <f>W550</f>
        <v>99.999299304580674</v>
      </c>
      <c r="P549" s="530" t="s">
        <v>479</v>
      </c>
      <c r="Q549" s="34"/>
      <c r="R549" s="29"/>
      <c r="S549" s="29"/>
      <c r="T549" s="29"/>
    </row>
    <row r="550" spans="1:23" x14ac:dyDescent="0.2">
      <c r="A550" s="261" t="s">
        <v>461</v>
      </c>
      <c r="B550" s="86" t="s">
        <v>453</v>
      </c>
      <c r="C550" s="76"/>
      <c r="D550" s="76"/>
      <c r="E550" s="86">
        <v>-0.192</v>
      </c>
      <c r="F550" s="86">
        <v>9.3000000000000007</v>
      </c>
      <c r="G550" s="86">
        <v>1</v>
      </c>
      <c r="H550" s="76"/>
      <c r="I550" s="105">
        <f>0.1*D550/(5*0.02)</f>
        <v>0</v>
      </c>
      <c r="J550" s="106">
        <f>E550*G550</f>
        <v>-0.192</v>
      </c>
      <c r="K550" s="106">
        <f>100*RADIANS(G550*F550/60)</f>
        <v>0.27052603405912107</v>
      </c>
      <c r="L550" s="76"/>
      <c r="M550" s="7" t="s">
        <v>157</v>
      </c>
      <c r="N550" s="157">
        <f>-O549*(J551-J550)/100</f>
        <v>5.9999579582748402E-2</v>
      </c>
      <c r="O550" s="157">
        <f>-O549*(K551-K550)/100</f>
        <v>2.9088617042537035E-3</v>
      </c>
      <c r="P550" s="528">
        <f>25*SQRT(N550^2+O550^2)</f>
        <v>1.5017512748706576</v>
      </c>
      <c r="Q550" s="29">
        <f>N550/SQRT(N550^2+O550^2)</f>
        <v>0.99882684614194894</v>
      </c>
      <c r="R550" s="250" t="s">
        <v>238</v>
      </c>
      <c r="S550" s="250"/>
      <c r="U550">
        <v>19.96</v>
      </c>
      <c r="W550" s="526">
        <f>$W$479*(1+$X$479*0.000001*(U550-20))</f>
        <v>99.999299304580674</v>
      </c>
    </row>
    <row r="551" spans="1:23" x14ac:dyDescent="0.2">
      <c r="B551" s="87" t="s">
        <v>454</v>
      </c>
      <c r="C551" s="80"/>
      <c r="D551" s="80"/>
      <c r="E551" s="87">
        <v>-0.252</v>
      </c>
      <c r="F551" s="87">
        <v>9.1999999999999993</v>
      </c>
      <c r="G551" s="87">
        <v>1</v>
      </c>
      <c r="H551" s="80"/>
      <c r="I551" s="107">
        <f>0.1*D551/(5*0.02)</f>
        <v>0</v>
      </c>
      <c r="J551" s="84">
        <f>E551*G551</f>
        <v>-0.252</v>
      </c>
      <c r="K551" s="84">
        <f>100*RADIANS(G551*F551/60)</f>
        <v>0.26761715197246383</v>
      </c>
      <c r="L551" s="80"/>
      <c r="M551" s="7" t="s">
        <v>44</v>
      </c>
      <c r="N551" s="157">
        <f>-O549*(J553-J552)/100</f>
        <v>1.9999859860916125E-2</v>
      </c>
      <c r="O551" s="157">
        <f>-O549*(K553-K552)/100</f>
        <v>1.454430852126824E-3</v>
      </c>
      <c r="P551" s="529">
        <f>25*SQRT(N551^2+O551^2)</f>
        <v>0.50131686808338993</v>
      </c>
      <c r="Q551" s="29">
        <f>N551/SQRT(N551^2+O551^2)</f>
        <v>0.99736619363011914</v>
      </c>
      <c r="R551" s="97" t="s">
        <v>439</v>
      </c>
      <c r="S551" s="97"/>
      <c r="T551" s="97"/>
    </row>
    <row r="552" spans="1:23" x14ac:dyDescent="0.2">
      <c r="B552" s="87" t="s">
        <v>427</v>
      </c>
      <c r="C552" s="80"/>
      <c r="D552" s="80"/>
      <c r="E552" s="87">
        <v>-0.121</v>
      </c>
      <c r="F552" s="87">
        <v>6.05</v>
      </c>
      <c r="G552" s="87">
        <v>1</v>
      </c>
      <c r="H552" s="80"/>
      <c r="I552" s="107">
        <f>0.1*D552/(5*0.02)</f>
        <v>0</v>
      </c>
      <c r="J552" s="84">
        <f>E552*G552</f>
        <v>-0.121</v>
      </c>
      <c r="K552" s="84">
        <f>100*RADIANS(G552*F552/60)</f>
        <v>0.17598736624276154</v>
      </c>
      <c r="L552" s="80"/>
      <c r="P552" s="36"/>
      <c r="Q552" s="34"/>
      <c r="R552" s="251"/>
      <c r="S552" s="251"/>
    </row>
    <row r="553" spans="1:23" x14ac:dyDescent="0.2">
      <c r="B553" s="476" t="s">
        <v>428</v>
      </c>
      <c r="C553" s="82"/>
      <c r="D553" s="82"/>
      <c r="E553" s="476">
        <v>-0.14099999999999999</v>
      </c>
      <c r="F553" s="476">
        <v>6</v>
      </c>
      <c r="G553" s="476">
        <v>1</v>
      </c>
      <c r="H553" s="82"/>
      <c r="I553" s="477">
        <f>0.1*D553/(5*0.02)</f>
        <v>0</v>
      </c>
      <c r="J553" s="478">
        <f>E553*G553</f>
        <v>-0.14099999999999999</v>
      </c>
      <c r="K553" s="478">
        <f>100*RADIANS(G553*F553/60)</f>
        <v>0.17453292519943295</v>
      </c>
      <c r="L553" s="82"/>
      <c r="M553" s="38"/>
      <c r="N553" s="38"/>
      <c r="O553" s="38"/>
      <c r="P553" s="40"/>
      <c r="Q553" s="34"/>
      <c r="R553" s="251"/>
      <c r="S553" s="251"/>
    </row>
    <row r="558" spans="1:23" x14ac:dyDescent="0.2">
      <c r="A558" t="s">
        <v>534</v>
      </c>
      <c r="C558" s="5" t="s">
        <v>515</v>
      </c>
      <c r="D558" s="5" t="s">
        <v>535</v>
      </c>
      <c r="I558" t="s">
        <v>546</v>
      </c>
    </row>
    <row r="559" spans="1:23" x14ac:dyDescent="0.2">
      <c r="A559" s="261" t="s">
        <v>458</v>
      </c>
      <c r="B559" s="108">
        <f>B480</f>
        <v>42566</v>
      </c>
      <c r="C559" s="29">
        <f>N481</f>
        <v>0.25800079824671474</v>
      </c>
      <c r="D559" s="29">
        <f>O481</f>
        <v>5.8177821733577592E-3</v>
      </c>
      <c r="I559" t="s">
        <v>480</v>
      </c>
      <c r="K559" t="s">
        <v>480</v>
      </c>
      <c r="L559" s="29">
        <f>C559</f>
        <v>0.25800079824671474</v>
      </c>
      <c r="M559" s="29">
        <f>D559</f>
        <v>5.8177821733577592E-3</v>
      </c>
    </row>
    <row r="560" spans="1:23" x14ac:dyDescent="0.2">
      <c r="A560" s="261" t="s">
        <v>425</v>
      </c>
      <c r="B560" s="108">
        <f>B485</f>
        <v>42566</v>
      </c>
      <c r="C560" s="629">
        <f>N486</f>
        <v>0.21600059637204713</v>
      </c>
      <c r="D560" s="629">
        <f>O486</f>
        <v>2.9088901180275017E-3</v>
      </c>
      <c r="K560" t="s">
        <v>539</v>
      </c>
      <c r="L560" s="29">
        <f>E563</f>
        <v>0.21699934671425825</v>
      </c>
      <c r="M560" s="29">
        <f>F563</f>
        <v>2.9088733382514414E-3</v>
      </c>
    </row>
    <row r="561" spans="1:13" x14ac:dyDescent="0.2">
      <c r="A561" s="261"/>
      <c r="B561" s="108">
        <f>B507</f>
        <v>42569</v>
      </c>
      <c r="C561" s="629">
        <f>N508</f>
        <v>0.21599839059452361</v>
      </c>
      <c r="D561" s="629">
        <f>O508</f>
        <v>2.9088604127185886E-3</v>
      </c>
      <c r="K561" t="s">
        <v>540</v>
      </c>
      <c r="L561" s="29">
        <f>C564</f>
        <v>0.18000037709749267</v>
      </c>
      <c r="M561" s="29">
        <f>D564</f>
        <v>2.9088881807246914E-3</v>
      </c>
    </row>
    <row r="562" spans="1:13" x14ac:dyDescent="0.2">
      <c r="A562" s="261"/>
      <c r="B562" s="108">
        <f>B528</f>
        <v>42614</v>
      </c>
      <c r="C562" s="629">
        <f>N529</f>
        <v>0.21799839989046227</v>
      </c>
      <c r="D562" s="629">
        <f>O529</f>
        <v>2.9088607356023812E-3</v>
      </c>
      <c r="K562" t="s">
        <v>541</v>
      </c>
      <c r="L562" s="29">
        <f>C565</f>
        <v>0.10100017796081386</v>
      </c>
      <c r="M562" s="29">
        <f>D565</f>
        <v>0</v>
      </c>
    </row>
    <row r="563" spans="1:13" x14ac:dyDescent="0.2">
      <c r="A563" s="261"/>
      <c r="B563" s="108">
        <f>B542</f>
        <v>42614</v>
      </c>
      <c r="C563" s="629">
        <f>N536</f>
        <v>0.21799999999999997</v>
      </c>
      <c r="D563" s="629">
        <f>O536</f>
        <v>2.908882086657294E-3</v>
      </c>
      <c r="E563" s="629">
        <f>AVERAGE(C560:C563)</f>
        <v>0.21699934671425825</v>
      </c>
      <c r="F563" s="629">
        <f>AVERAGE(D560:D563)</f>
        <v>2.9088733382514414E-3</v>
      </c>
      <c r="G563" s="629">
        <f>STDEV(C560:C563)</f>
        <v>1.1545316000944705E-3</v>
      </c>
      <c r="H563" s="629">
        <f>STDEV(D560:D563)</f>
        <v>1.5099576732053909E-8</v>
      </c>
      <c r="I563" s="46" t="s">
        <v>539</v>
      </c>
      <c r="K563" t="s">
        <v>542</v>
      </c>
      <c r="L563" s="29">
        <f>E567</f>
        <v>6.0499840146538225E-2</v>
      </c>
      <c r="M563" s="29">
        <f>F567</f>
        <v>2.1816525744242183E-3</v>
      </c>
    </row>
    <row r="564" spans="1:13" x14ac:dyDescent="0.2">
      <c r="A564" s="261" t="s">
        <v>459</v>
      </c>
      <c r="B564" s="108">
        <f>B490</f>
        <v>42566</v>
      </c>
      <c r="C564" s="29">
        <f>N491</f>
        <v>0.18000037709749267</v>
      </c>
      <c r="D564" s="29">
        <f>O491</f>
        <v>2.9088881807246914E-3</v>
      </c>
      <c r="I564" s="46" t="s">
        <v>540</v>
      </c>
      <c r="K564" t="s">
        <v>543</v>
      </c>
      <c r="L564" s="29">
        <f>E579</f>
        <v>2.0749927056058621E-2</v>
      </c>
      <c r="M564" s="29">
        <f>F579</f>
        <v>8.4841993607359439E-4</v>
      </c>
    </row>
    <row r="565" spans="1:13" x14ac:dyDescent="0.2">
      <c r="A565" s="261" t="s">
        <v>460</v>
      </c>
      <c r="B565" s="108">
        <f>B495</f>
        <v>42566</v>
      </c>
      <c r="C565" s="29">
        <f>N496</f>
        <v>0.10100017796081386</v>
      </c>
      <c r="D565" s="29">
        <f>O496</f>
        <v>0</v>
      </c>
      <c r="I565" s="46" t="s">
        <v>541</v>
      </c>
      <c r="K565" t="s">
        <v>544</v>
      </c>
      <c r="L565" s="29">
        <f>C580</f>
        <v>0.1399989568668209</v>
      </c>
      <c r="M565" s="29">
        <f>D580</f>
        <v>0.1265354279532552</v>
      </c>
    </row>
    <row r="566" spans="1:13" x14ac:dyDescent="0.2">
      <c r="A566" s="261" t="s">
        <v>461</v>
      </c>
      <c r="B566" s="108">
        <f>B500</f>
        <v>42566</v>
      </c>
      <c r="C566" s="630">
        <f>N501</f>
        <v>6.1000100710328055E-2</v>
      </c>
      <c r="D566" s="630">
        <f>O501</f>
        <v>1.4544434445947327E-3</v>
      </c>
      <c r="K566" s="46" t="s">
        <v>545</v>
      </c>
      <c r="L566" s="29">
        <f>E582</f>
        <v>0.1679988035178222</v>
      </c>
      <c r="M566" s="29">
        <f>F582</f>
        <v>0.12508103939890519</v>
      </c>
    </row>
    <row r="567" spans="1:13" x14ac:dyDescent="0.2">
      <c r="A567" s="261"/>
      <c r="B567" s="108">
        <f>B549</f>
        <v>42614</v>
      </c>
      <c r="C567" s="630">
        <f>N550</f>
        <v>5.9999579582748402E-2</v>
      </c>
      <c r="D567" s="630">
        <f>O550</f>
        <v>2.9088617042537035E-3</v>
      </c>
      <c r="E567" s="630">
        <f>AVERAGE(C566:C567)</f>
        <v>6.0499840146538225E-2</v>
      </c>
      <c r="F567" s="630">
        <f>AVERAGE(D566:D567)</f>
        <v>2.1816525744242183E-3</v>
      </c>
      <c r="G567" s="631"/>
      <c r="H567" s="631"/>
      <c r="I567" s="46" t="s">
        <v>542</v>
      </c>
    </row>
    <row r="568" spans="1:13" x14ac:dyDescent="0.2">
      <c r="A568" s="261" t="s">
        <v>536</v>
      </c>
      <c r="B568" s="108">
        <f>B480</f>
        <v>42566</v>
      </c>
      <c r="C568" s="628">
        <f>N482</f>
        <v>2.1000064973569793E-2</v>
      </c>
      <c r="D568" s="628">
        <f>O482</f>
        <v>1.4544455433393843E-3</v>
      </c>
    </row>
    <row r="569" spans="1:13" x14ac:dyDescent="0.2">
      <c r="A569" s="261"/>
      <c r="B569" s="108">
        <f>B485</f>
        <v>42566</v>
      </c>
      <c r="C569" s="628">
        <f>N516</f>
        <v>2.1999836079071845E-2</v>
      </c>
      <c r="D569" s="628">
        <f>O487</f>
        <v>0</v>
      </c>
    </row>
    <row r="570" spans="1:13" x14ac:dyDescent="0.2">
      <c r="A570" s="261"/>
      <c r="B570" s="108">
        <f>B490</f>
        <v>42566</v>
      </c>
      <c r="C570" s="628">
        <f>N492</f>
        <v>2.1000043994707479E-2</v>
      </c>
      <c r="D570" s="628">
        <f>O492</f>
        <v>0</v>
      </c>
    </row>
    <row r="571" spans="1:13" x14ac:dyDescent="0.2">
      <c r="A571" s="261"/>
      <c r="B571" s="108">
        <f>B495</f>
        <v>42566</v>
      </c>
      <c r="C571" s="628">
        <f>N497</f>
        <v>2.1000037001753367E-2</v>
      </c>
      <c r="D571" s="628">
        <f>O497</f>
        <v>0</v>
      </c>
    </row>
    <row r="572" spans="1:13" x14ac:dyDescent="0.2">
      <c r="A572" s="261"/>
      <c r="B572" s="108">
        <f>B500</f>
        <v>42566</v>
      </c>
      <c r="C572" s="628">
        <f>N502</f>
        <v>2.1000034670768667E-2</v>
      </c>
      <c r="D572" s="628">
        <f>O502</f>
        <v>0</v>
      </c>
    </row>
    <row r="573" spans="1:13" x14ac:dyDescent="0.2">
      <c r="A573" s="261"/>
      <c r="B573" s="108">
        <f>B507</f>
        <v>42569</v>
      </c>
      <c r="C573" s="628">
        <f>N509</f>
        <v>2.0999843530023123E-2</v>
      </c>
      <c r="D573" s="628">
        <f>O509</f>
        <v>1.4544302063592388E-3</v>
      </c>
    </row>
    <row r="574" spans="1:13" x14ac:dyDescent="0.2">
      <c r="A574" s="261"/>
      <c r="B574" s="108">
        <f>B514</f>
        <v>42572</v>
      </c>
      <c r="C574" s="628">
        <f>N516</f>
        <v>2.1999836079071845E-2</v>
      </c>
      <c r="D574" s="628">
        <f>O516</f>
        <v>1.4544302063592388E-3</v>
      </c>
    </row>
    <row r="575" spans="1:13" x14ac:dyDescent="0.2">
      <c r="B575" s="108">
        <f>B521</f>
        <v>42592</v>
      </c>
      <c r="C575" s="628">
        <f>N523</f>
        <v>1.9999850980974402E-2</v>
      </c>
      <c r="D575" s="628">
        <f>O523</f>
        <v>1.4544302063592388E-3</v>
      </c>
    </row>
    <row r="576" spans="1:13" x14ac:dyDescent="0.2">
      <c r="B576" s="108">
        <f>B528</f>
        <v>42614</v>
      </c>
      <c r="C576" s="628">
        <f>N530</f>
        <v>1.999985320095983E-2</v>
      </c>
      <c r="D576" s="628">
        <f>O530</f>
        <v>0</v>
      </c>
    </row>
    <row r="577" spans="1:9" x14ac:dyDescent="0.2">
      <c r="B577" s="108">
        <f>B535</f>
        <v>42614</v>
      </c>
      <c r="C577" s="628">
        <f>N537</f>
        <v>1.999999999999999E-2</v>
      </c>
      <c r="D577" s="628">
        <f>O537</f>
        <v>1.4544410433285915E-3</v>
      </c>
    </row>
    <row r="578" spans="1:9" x14ac:dyDescent="0.2">
      <c r="B578" s="108">
        <f>B542</f>
        <v>42614</v>
      </c>
      <c r="C578" s="628">
        <f>N544</f>
        <v>1.9999864300886981E-2</v>
      </c>
      <c r="D578" s="628">
        <f>O544</f>
        <v>1.4544311750106164E-3</v>
      </c>
    </row>
    <row r="579" spans="1:9" x14ac:dyDescent="0.2">
      <c r="B579" s="108">
        <f>B549</f>
        <v>42614</v>
      </c>
      <c r="C579" s="628">
        <f>N551</f>
        <v>1.9999859860916125E-2</v>
      </c>
      <c r="D579" s="628">
        <f>O551</f>
        <v>1.454430852126824E-3</v>
      </c>
      <c r="E579" s="628">
        <f>AVERAGE(C568:C579)</f>
        <v>2.0749927056058621E-2</v>
      </c>
      <c r="F579" s="628">
        <f>AVERAGE(D568:D579)</f>
        <v>8.4841993607359439E-4</v>
      </c>
      <c r="G579" s="628">
        <f>STDEV(C568:C579)</f>
        <v>7.5378138077753442E-4</v>
      </c>
      <c r="H579" s="628">
        <f>STDEV(D568:D579)</f>
        <v>7.4892982763314589E-4</v>
      </c>
      <c r="I579" s="46" t="s">
        <v>543</v>
      </c>
    </row>
    <row r="580" spans="1:9" x14ac:dyDescent="0.2">
      <c r="A580" s="261" t="s">
        <v>537</v>
      </c>
      <c r="B580" s="108">
        <f>B514</f>
        <v>42572</v>
      </c>
      <c r="C580" s="29">
        <f>N515</f>
        <v>0.1399989568668209</v>
      </c>
      <c r="D580" s="29">
        <f>O515</f>
        <v>0.1265354279532552</v>
      </c>
      <c r="I580" s="46" t="s">
        <v>544</v>
      </c>
    </row>
    <row r="581" spans="1:9" x14ac:dyDescent="0.2">
      <c r="A581" s="261" t="s">
        <v>538</v>
      </c>
      <c r="B581" s="108">
        <f>B521</f>
        <v>42592</v>
      </c>
      <c r="C581" s="632">
        <f>N522</f>
        <v>0.16999873333828244</v>
      </c>
      <c r="D581" s="632">
        <f>O522</f>
        <v>0.12508099774689599</v>
      </c>
    </row>
    <row r="582" spans="1:9" x14ac:dyDescent="0.2">
      <c r="A582" s="261"/>
      <c r="B582" s="108">
        <f>B542</f>
        <v>42614</v>
      </c>
      <c r="C582" s="632">
        <f>N543</f>
        <v>0.16599887369736194</v>
      </c>
      <c r="D582" s="632">
        <f>O543</f>
        <v>0.12508108105091439</v>
      </c>
      <c r="E582" s="632">
        <f>AVERAGE(C581:C582)</f>
        <v>0.1679988035178222</v>
      </c>
      <c r="F582" s="632">
        <f>AVERAGE(D581:D582)</f>
        <v>0.12508103939890519</v>
      </c>
      <c r="I582" s="46" t="s">
        <v>545</v>
      </c>
    </row>
    <row r="583" spans="1:9" x14ac:dyDescent="0.2">
      <c r="A583" s="261"/>
      <c r="B583" s="29"/>
      <c r="C583" s="29"/>
      <c r="D583" s="29"/>
    </row>
    <row r="584" spans="1:9" x14ac:dyDescent="0.2">
      <c r="A584" s="261"/>
      <c r="B584" s="29"/>
      <c r="C584" s="29"/>
      <c r="D584" s="29"/>
    </row>
    <row r="585" spans="1:9" x14ac:dyDescent="0.2">
      <c r="A585" s="261"/>
      <c r="B585" s="29"/>
      <c r="C585" s="29"/>
      <c r="D585" s="29"/>
    </row>
    <row r="586" spans="1:9" x14ac:dyDescent="0.2">
      <c r="A586" s="261"/>
      <c r="B586" s="29"/>
      <c r="C586" s="29"/>
      <c r="D586" s="29"/>
    </row>
    <row r="587" spans="1:9" x14ac:dyDescent="0.2">
      <c r="C587" s="29"/>
      <c r="D587" s="29"/>
    </row>
    <row r="588" spans="1:9" x14ac:dyDescent="0.2">
      <c r="C588" s="29"/>
      <c r="D588" s="29"/>
    </row>
    <row r="589" spans="1:9" x14ac:dyDescent="0.2">
      <c r="C589" s="29"/>
      <c r="D589" s="29"/>
    </row>
    <row r="590" spans="1:9" x14ac:dyDescent="0.2">
      <c r="C590" s="29"/>
      <c r="D590" s="29"/>
    </row>
    <row r="591" spans="1:9" x14ac:dyDescent="0.2">
      <c r="C591" s="29"/>
      <c r="D591" s="29"/>
    </row>
    <row r="592" spans="1:9" x14ac:dyDescent="0.2">
      <c r="C592" s="29"/>
      <c r="D592" s="29"/>
    </row>
    <row r="593" spans="3:4" x14ac:dyDescent="0.2">
      <c r="C593" s="29"/>
      <c r="D593" s="29"/>
    </row>
    <row r="594" spans="3:4" x14ac:dyDescent="0.2">
      <c r="C594" s="29"/>
      <c r="D594" s="29"/>
    </row>
    <row r="595" spans="3:4" x14ac:dyDescent="0.2">
      <c r="C595" s="29"/>
      <c r="D595" s="29"/>
    </row>
    <row r="596" spans="3:4" x14ac:dyDescent="0.2">
      <c r="C596" s="29"/>
      <c r="D596" s="29"/>
    </row>
    <row r="597" spans="3:4" x14ac:dyDescent="0.2">
      <c r="C597" s="29"/>
      <c r="D597" s="29"/>
    </row>
  </sheetData>
  <phoneticPr fontId="0" type="noConversion"/>
  <pageMargins left="0.75" right="0.75" top="1" bottom="1" header="0.5" footer="0.5"/>
  <pageSetup paperSize="9" scale="39" fitToHeight="0" orientation="landscape" r:id="rId1"/>
  <headerFooter alignWithMargins="0"/>
  <ignoredErrors>
    <ignoredError sqref="M15:N15" formula="1"/>
  </ignoredErrors>
  <drawing r:id="rId2"/>
  <legacyDrawing r:id="rId3"/>
  <oleObjects>
    <mc:AlternateContent xmlns:mc="http://schemas.openxmlformats.org/markup-compatibility/2006">
      <mc:Choice Requires="x14">
        <oleObject progId="Equation.3" shapeId="1691" r:id="rId4">
          <objectPr defaultSize="0" autoPict="0" r:id="rId5">
            <anchor moveWithCells="1" sizeWithCells="1">
              <from>
                <xdr:col>13</xdr:col>
                <xdr:colOff>257175</xdr:colOff>
                <xdr:row>471</xdr:row>
                <xdr:rowOff>19050</xdr:rowOff>
              </from>
              <to>
                <xdr:col>21</xdr:col>
                <xdr:colOff>123825</xdr:colOff>
                <xdr:row>477</xdr:row>
                <xdr:rowOff>114300</xdr:rowOff>
              </to>
            </anchor>
          </objectPr>
        </oleObject>
      </mc:Choice>
      <mc:Fallback>
        <oleObject progId="Equation.3" shapeId="1691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T437"/>
  <sheetViews>
    <sheetView topLeftCell="K1" zoomScale="85" zoomScaleNormal="85" workbookViewId="0">
      <selection activeCell="W9" sqref="W9"/>
    </sheetView>
  </sheetViews>
  <sheetFormatPr defaultRowHeight="12.75" x14ac:dyDescent="0.2"/>
  <cols>
    <col min="2" max="2" width="12.42578125" customWidth="1"/>
    <col min="5" max="5" width="11.28515625" customWidth="1"/>
    <col min="6" max="6" width="12" customWidth="1"/>
    <col min="9" max="9" width="10" customWidth="1"/>
    <col min="10" max="10" width="11.28515625" bestFit="1" customWidth="1"/>
    <col min="16" max="16" width="9.28515625" bestFit="1" customWidth="1"/>
    <col min="17" max="17" width="9" bestFit="1" customWidth="1"/>
    <col min="18" max="18" width="13.140625" customWidth="1"/>
    <col min="19" max="19" width="14" customWidth="1"/>
    <col min="20" max="20" width="11" customWidth="1"/>
    <col min="21" max="21" width="10.7109375" customWidth="1"/>
    <col min="22" max="22" width="11" customWidth="1"/>
    <col min="23" max="24" width="10.28515625" customWidth="1"/>
    <col min="25" max="25" width="11.5703125" bestFit="1" customWidth="1"/>
    <col min="26" max="26" width="13.140625" customWidth="1"/>
    <col min="28" max="28" width="11.28515625" customWidth="1"/>
    <col min="30" max="30" width="9.7109375" bestFit="1" customWidth="1"/>
    <col min="31" max="31" width="9.7109375" customWidth="1"/>
    <col min="32" max="32" width="10.85546875" customWidth="1"/>
    <col min="33" max="33" width="11.5703125" customWidth="1"/>
    <col min="34" max="34" width="12.140625" customWidth="1"/>
    <col min="35" max="35" width="10.42578125" customWidth="1"/>
    <col min="36" max="36" width="11" customWidth="1"/>
    <col min="37" max="38" width="10.7109375" customWidth="1"/>
    <col min="39" max="39" width="14.140625" customWidth="1"/>
    <col min="40" max="40" width="12.85546875" customWidth="1"/>
    <col min="42" max="42" width="10.28515625" customWidth="1"/>
    <col min="45" max="45" width="12.5703125" bestFit="1" customWidth="1"/>
    <col min="46" max="46" width="10.7109375" bestFit="1" customWidth="1"/>
  </cols>
  <sheetData>
    <row r="1" spans="1:46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</row>
    <row r="2" spans="1:46" x14ac:dyDescent="0.2">
      <c r="B2" t="s">
        <v>114</v>
      </c>
      <c r="D2" t="s">
        <v>397</v>
      </c>
      <c r="J2" s="68"/>
      <c r="N2" s="158" t="s">
        <v>156</v>
      </c>
      <c r="P2" s="346"/>
      <c r="Q2" s="344" t="s">
        <v>91</v>
      </c>
      <c r="R2" s="361">
        <f>[1]Arnold!J82</f>
        <v>0.99936709902044762</v>
      </c>
    </row>
    <row r="3" spans="1:46" x14ac:dyDescent="0.2">
      <c r="B3" t="s">
        <v>115</v>
      </c>
      <c r="D3" s="1"/>
      <c r="M3" s="44" t="s">
        <v>95</v>
      </c>
      <c r="N3" s="167">
        <v>0.2</v>
      </c>
      <c r="P3" s="340"/>
      <c r="Q3" s="345" t="s">
        <v>92</v>
      </c>
      <c r="R3" s="362">
        <f>[1]Arnold!K82</f>
        <v>1.0011822386327505</v>
      </c>
      <c r="S3" s="7"/>
      <c r="T3" s="7"/>
      <c r="U3" s="7"/>
      <c r="V3" s="7"/>
      <c r="W3" s="16"/>
      <c r="X3" s="16"/>
      <c r="AA3" s="16"/>
      <c r="AD3" s="29"/>
    </row>
    <row r="4" spans="1:46" x14ac:dyDescent="0.2">
      <c r="A4" s="68">
        <v>97</v>
      </c>
      <c r="B4" s="474" t="str">
        <f>MID(D4,FIND("AT,",D4,1)-4,3)&amp;"/"&amp;MID(D4,FIND("AT,",D4,1)+4,3)</f>
        <v>120/200</v>
      </c>
      <c r="C4" t="s">
        <v>113</v>
      </c>
      <c r="D4" s="160" t="str">
        <f>VLOOKUP($A4,'5 A data'!$A$4:$U$152,2,FALSE)</f>
        <v>200/5 Range, 1 turns @ 5VA burden, vs 120 AT, 200 range, 2 Stage CT</v>
      </c>
      <c r="E4" s="158"/>
      <c r="F4" s="158"/>
      <c r="G4" s="158"/>
      <c r="H4" s="158"/>
      <c r="I4" s="159"/>
      <c r="J4" s="158"/>
      <c r="K4" s="158"/>
      <c r="M4" s="44" t="s">
        <v>94</v>
      </c>
      <c r="N4" s="167">
        <v>0</v>
      </c>
      <c r="Q4" s="7"/>
      <c r="R4" s="7"/>
      <c r="S4" s="7"/>
      <c r="T4" s="7"/>
      <c r="U4" s="7"/>
      <c r="V4" s="7"/>
      <c r="W4" s="7"/>
      <c r="X4" s="7"/>
      <c r="Y4" s="7"/>
      <c r="Z4" s="7"/>
    </row>
    <row r="5" spans="1:46" ht="13.7" customHeight="1" x14ac:dyDescent="0.2">
      <c r="C5" s="30"/>
      <c r="E5" s="640" t="s">
        <v>78</v>
      </c>
      <c r="F5" s="640"/>
      <c r="G5" s="641" t="s">
        <v>450</v>
      </c>
      <c r="H5" s="642"/>
      <c r="I5" s="640" t="s">
        <v>101</v>
      </c>
      <c r="J5" s="640"/>
      <c r="M5" s="485" t="s">
        <v>448</v>
      </c>
      <c r="N5" s="45">
        <v>0.05</v>
      </c>
      <c r="P5" t="s">
        <v>109</v>
      </c>
      <c r="AD5" t="s">
        <v>110</v>
      </c>
    </row>
    <row r="6" spans="1:46" ht="48.95" customHeight="1" x14ac:dyDescent="0.2">
      <c r="C6" s="122" t="s">
        <v>155</v>
      </c>
      <c r="D6" s="3" t="s">
        <v>40</v>
      </c>
      <c r="E6" s="2" t="s">
        <v>79</v>
      </c>
      <c r="F6" s="2" t="s">
        <v>80</v>
      </c>
      <c r="G6" s="2" t="s">
        <v>41</v>
      </c>
      <c r="H6" s="2" t="s">
        <v>42</v>
      </c>
      <c r="I6" s="2" t="s">
        <v>41</v>
      </c>
      <c r="J6" s="2" t="s">
        <v>42</v>
      </c>
      <c r="K6" s="640" t="s">
        <v>70</v>
      </c>
      <c r="L6" s="640"/>
      <c r="M6" s="3" t="s">
        <v>46</v>
      </c>
      <c r="N6" s="3" t="s">
        <v>47</v>
      </c>
      <c r="O6" s="3"/>
      <c r="P6" s="3" t="s">
        <v>28</v>
      </c>
      <c r="Q6" s="100" t="s">
        <v>29</v>
      </c>
      <c r="R6" s="3" t="s">
        <v>30</v>
      </c>
      <c r="S6" s="3" t="s">
        <v>31</v>
      </c>
      <c r="T6" s="3" t="s">
        <v>32</v>
      </c>
      <c r="U6" s="3" t="s">
        <v>33</v>
      </c>
      <c r="V6" s="3" t="s">
        <v>57</v>
      </c>
      <c r="W6" s="3" t="s">
        <v>34</v>
      </c>
      <c r="X6" s="3" t="s">
        <v>357</v>
      </c>
      <c r="Y6" s="367" t="s">
        <v>319</v>
      </c>
      <c r="Z6" s="3" t="s">
        <v>35</v>
      </c>
      <c r="AA6" s="465" t="s">
        <v>36</v>
      </c>
      <c r="AB6" s="3" t="s">
        <v>107</v>
      </c>
      <c r="AC6" s="465"/>
      <c r="AD6" s="3" t="s">
        <v>28</v>
      </c>
      <c r="AE6" s="367" t="s">
        <v>38</v>
      </c>
      <c r="AF6" s="3" t="s">
        <v>30</v>
      </c>
      <c r="AG6" s="3" t="s">
        <v>31</v>
      </c>
      <c r="AH6" s="3" t="s">
        <v>32</v>
      </c>
      <c r="AI6" s="3" t="s">
        <v>33</v>
      </c>
      <c r="AJ6" s="3" t="s">
        <v>57</v>
      </c>
      <c r="AK6" s="3" t="s">
        <v>34</v>
      </c>
      <c r="AL6" s="3" t="s">
        <v>357</v>
      </c>
      <c r="AM6" s="367" t="s">
        <v>315</v>
      </c>
      <c r="AN6" s="3" t="s">
        <v>35</v>
      </c>
      <c r="AO6" s="465" t="s">
        <v>36</v>
      </c>
      <c r="AP6" s="465" t="s">
        <v>37</v>
      </c>
      <c r="AS6" t="s">
        <v>557</v>
      </c>
    </row>
    <row r="7" spans="1:46" x14ac:dyDescent="0.2">
      <c r="C7" s="2"/>
      <c r="D7" s="19"/>
      <c r="G7" s="165" t="s">
        <v>14</v>
      </c>
      <c r="H7" s="165" t="s">
        <v>45</v>
      </c>
      <c r="I7" t="s">
        <v>14</v>
      </c>
      <c r="J7" t="s">
        <v>45</v>
      </c>
      <c r="K7" s="19" t="s">
        <v>14</v>
      </c>
      <c r="L7" s="19" t="s">
        <v>45</v>
      </c>
      <c r="M7" s="19" t="s">
        <v>14</v>
      </c>
      <c r="N7" s="19" t="s">
        <v>45</v>
      </c>
      <c r="O7" s="19" t="s">
        <v>39</v>
      </c>
      <c r="P7">
        <v>26</v>
      </c>
      <c r="Q7">
        <v>5</v>
      </c>
      <c r="R7">
        <v>5</v>
      </c>
      <c r="S7">
        <v>5</v>
      </c>
      <c r="T7">
        <v>5</v>
      </c>
      <c r="U7">
        <v>5</v>
      </c>
      <c r="V7">
        <v>5</v>
      </c>
      <c r="W7">
        <f>Uncertainties!K31</f>
        <v>12.499999999999998</v>
      </c>
      <c r="X7" s="2">
        <v>5</v>
      </c>
      <c r="Y7">
        <v>5</v>
      </c>
      <c r="AD7">
        <v>10</v>
      </c>
      <c r="AE7">
        <v>5</v>
      </c>
      <c r="AF7">
        <v>5</v>
      </c>
      <c r="AG7">
        <v>5</v>
      </c>
      <c r="AH7">
        <v>5</v>
      </c>
      <c r="AI7">
        <v>5</v>
      </c>
      <c r="AJ7">
        <v>5</v>
      </c>
      <c r="AK7">
        <f>Uncertainties!K31</f>
        <v>12.499999999999998</v>
      </c>
      <c r="AL7">
        <v>5</v>
      </c>
      <c r="AM7">
        <v>5</v>
      </c>
      <c r="AS7" t="s">
        <v>558</v>
      </c>
      <c r="AT7" t="s">
        <v>559</v>
      </c>
    </row>
    <row r="8" spans="1:46" x14ac:dyDescent="0.2">
      <c r="C8" s="2"/>
      <c r="D8" s="19"/>
      <c r="M8" s="638" t="s">
        <v>160</v>
      </c>
      <c r="N8" s="638"/>
      <c r="O8" s="19"/>
      <c r="P8" s="121" t="s">
        <v>154</v>
      </c>
      <c r="Q8" s="121"/>
      <c r="R8" s="121"/>
      <c r="AD8" s="121" t="s">
        <v>154</v>
      </c>
      <c r="AE8" s="121"/>
      <c r="AF8" s="121"/>
    </row>
    <row r="9" spans="1:46" ht="13.15" customHeight="1" x14ac:dyDescent="0.2">
      <c r="A9" s="68">
        <v>99</v>
      </c>
      <c r="B9" s="5" t="str">
        <f>B4&amp;D9</f>
        <v>120/2005</v>
      </c>
      <c r="C9" s="72">
        <f>VLOOKUP($A9,'5 A data'!$A$5:$U$650,3,FALSE)</f>
        <v>0.21600059637204713</v>
      </c>
      <c r="D9" s="253">
        <f>ROUND(VLOOKUP($A9,'5 A data'!$A$5:$U$650,9,FALSE),0)</f>
        <v>5</v>
      </c>
      <c r="E9" s="23">
        <f>TestSetRatioCor</f>
        <v>0.99936709902044762</v>
      </c>
      <c r="F9" s="23">
        <f>TestSetPhaseCor</f>
        <v>1.0011822386327505</v>
      </c>
      <c r="G9" s="486">
        <f>VLOOKUP(B9,TwoStageCT!A$10:H$72,3,FALSE)/10000</f>
        <v>3.6805932694608759E-5</v>
      </c>
      <c r="H9" s="486">
        <f>VLOOKUP(B9,TwoStageCT!A$10:H$72,6,FALSE)/10000</f>
        <v>4.6965346060309593E-6</v>
      </c>
      <c r="I9" s="83">
        <f>VLOOKUP($A9,'5 A data'!$A$5:$U$650,10,FALSE)</f>
        <v>-0.68200000000000005</v>
      </c>
      <c r="J9" s="31">
        <f>VLOOKUP($A9,'5 A data'!$A$5:$U$650,11,FALSE)</f>
        <v>1.041379787023283</v>
      </c>
      <c r="K9" s="22">
        <f>I9-I17</f>
        <v>-0.46000000000000008</v>
      </c>
      <c r="L9" s="22">
        <f>J9-J17</f>
        <v>0.65740735158453056</v>
      </c>
      <c r="M9" s="31">
        <f>I9*E9+G9</f>
        <v>-0.68153155559925072</v>
      </c>
      <c r="N9" s="31">
        <f>J9*F9+H9</f>
        <v>1.0426156429734734</v>
      </c>
      <c r="O9" s="20"/>
      <c r="P9" s="634">
        <f>VLOOKUP(B9,TwoStageCT!A$10:H$72,4,FALSE)/10000</f>
        <v>6.4429594675743464E-6</v>
      </c>
      <c r="Q9" s="58">
        <f>VLOOKUP($A9,'5 A data'!$A$5:$U$650,7,FALSE)*slidewire_res</f>
        <v>2E-3</v>
      </c>
      <c r="R9" s="347">
        <f>current_coef*(I9-I10)*IF(I10=0,0,1)</f>
        <v>-1.5600000000000015E-2</v>
      </c>
      <c r="S9" s="21">
        <v>0</v>
      </c>
      <c r="T9" s="21">
        <f>BurdenUnc*K9</f>
        <v>-2.3000000000000007E-2</v>
      </c>
      <c r="U9" s="23">
        <f t="shared" ref="U9:U15" si="0">0.004*M9</f>
        <v>-2.7261262223970029E-3</v>
      </c>
      <c r="V9" s="23">
        <f t="shared" ref="V9:V23" si="1">earthing_Re</f>
        <v>5.0000000000000001E-4</v>
      </c>
      <c r="W9" s="23">
        <f>VLOOKUP($D9,Uncertainties!$B$35:$D$41,2,FALSE)</f>
        <v>5.0000000000000044E-3</v>
      </c>
      <c r="X9" s="251">
        <f>(ABS($O$206)+2*$O$207)/2</f>
        <v>0</v>
      </c>
      <c r="Y9" s="24">
        <f t="shared" ref="Y9:Y15" si="2">I9*aux_CT_ratio</f>
        <v>-5.2885560141246841E-5</v>
      </c>
      <c r="Z9" s="23">
        <f>SQRT(SUMSQ(P9:Y9))</f>
        <v>2.8443709367356424E-2</v>
      </c>
      <c r="AA9" s="25">
        <f>DoF_A(P9:Y9,$P$7:$Y$7)</f>
        <v>9.6431854857007782</v>
      </c>
      <c r="AB9" s="26">
        <f t="shared" ref="AB9:AB23" si="3">CoverFactor(AA9)</f>
        <v>2.2275872514195854</v>
      </c>
      <c r="AC9" s="14"/>
      <c r="AD9" s="635">
        <f>VLOOKUP(B9,TwoStageCT!A$10:H$72,7,FALSE)/10000</f>
        <v>4.6788986298833412E-6</v>
      </c>
      <c r="AE9" s="366">
        <f>IF(ABS(VLOOKUP($A9,'5 A data'!$A$5:$U$1148,6,FALSE))&lt;4.5,IF(ABS(VLOOKUP($A9,'5 A data'!$A$5:$U$1148,6,FALSE))&lt;1.25,0.0008,0.002),0.004)*VLOOKUP($A9,'5 A data'!$A$5:$U$1148,7,FALSE)*25*RADIANS(1/60)*100</f>
        <v>5.8177641733144318E-3</v>
      </c>
      <c r="AF9" s="23">
        <f>current_coef*(J9-J10)*IF(J10=0,0,1)</f>
        <v>2.9088820866572142E-2</v>
      </c>
      <c r="AG9" s="29">
        <f>0.001*N9</f>
        <v>1.0426156429734735E-3</v>
      </c>
      <c r="AH9" s="4">
        <f>BurdenUnc*L9</f>
        <v>3.2870367579226532E-2</v>
      </c>
      <c r="AI9" s="4">
        <f>0.004*N9</f>
        <v>4.170462571893894E-3</v>
      </c>
      <c r="AJ9" s="4">
        <f t="shared" ref="AJ9:AJ23" si="4">earthing_Im</f>
        <v>5.0000000000000001E-4</v>
      </c>
      <c r="AK9" s="21">
        <f>VLOOKUP($D9,Uncertainties!$B$35:$D$41,3,FALSE)</f>
        <v>-1.1635528346628732E-2</v>
      </c>
      <c r="AL9" s="251">
        <f>(ABS($AC$206)+2*$AC$207)/2</f>
        <v>0</v>
      </c>
      <c r="AM9" s="369">
        <f>SQRT((VLOOKUP($A9,'5 A data'!$A$5:$U$1148,7,FALSE)*mutual_ind)^2+(aux_CT_phase*J9)^2)</f>
        <v>3.4174614968506926E-3</v>
      </c>
      <c r="AN9" s="29">
        <f>SQRT(SUMSQ(AD9:AM9))</f>
        <v>4.6111401350420717E-2</v>
      </c>
      <c r="AO9" s="14">
        <f>DoF_A(AD9:AM9,$AD$7:$AM$7)</f>
        <v>11.94575017027519</v>
      </c>
      <c r="AP9" s="27">
        <f t="shared" ref="AP9:AP23" si="5">CoverFactor(AO9)</f>
        <v>2.1716527993568815</v>
      </c>
      <c r="AS9" s="27">
        <f>VLOOKUP($B9,TwoStageCT!$A$10:$H$72,5,FALSE)</f>
        <v>26.31606241070681</v>
      </c>
      <c r="AT9" s="27">
        <f>VLOOKUP($B9,TwoStageCT!$A$10:$H$72,8,FALSE)</f>
        <v>9.9413455012810044</v>
      </c>
    </row>
    <row r="10" spans="1:46" ht="13.15" customHeight="1" x14ac:dyDescent="0.2">
      <c r="A10">
        <v>100</v>
      </c>
      <c r="B10" s="5" t="str">
        <f>B4&amp;D10</f>
        <v>120/20010</v>
      </c>
      <c r="C10" s="72">
        <f>VLOOKUP($A10,'5 A data'!$A$5:$U$650,3,FALSE)</f>
        <v>0.21600059637204713</v>
      </c>
      <c r="D10" s="163">
        <f>ROUND(VLOOKUP($A10,'5 A data'!$A$5:$U$650,9,FALSE)/10,0)*10</f>
        <v>10</v>
      </c>
      <c r="E10" s="23">
        <f t="shared" ref="E10:E23" si="6">TestSetRatioCor</f>
        <v>0.99936709902044762</v>
      </c>
      <c r="F10" s="23">
        <f t="shared" ref="F10:F23" si="7">TestSetPhaseCor</f>
        <v>1.0011822386327505</v>
      </c>
      <c r="G10" s="486">
        <f>VLOOKUP(B10,TwoStageCT!A$10:H$72,3,FALSE)/10000</f>
        <v>3.4690340839935311E-5</v>
      </c>
      <c r="H10" s="486">
        <f>VLOOKUP(B10,TwoStageCT!A$10:H$72,6,FALSE)/10000</f>
        <v>2.6036797087866982E-6</v>
      </c>
      <c r="I10" s="19">
        <f>VLOOKUP($A10,'5 A data'!$A$5:$U$650,10,FALSE)</f>
        <v>-0.60399999999999998</v>
      </c>
      <c r="J10" s="32">
        <f>VLOOKUP($A10,'5 A data'!$A$5:$U$650,11,FALSE)</f>
        <v>0.89593568269042234</v>
      </c>
      <c r="K10" s="22">
        <f t="shared" ref="K10:L15" si="8">I10-I18</f>
        <v>-0.42199999999999999</v>
      </c>
      <c r="L10" s="22">
        <f t="shared" si="8"/>
        <v>0.60213859193804353</v>
      </c>
      <c r="M10" s="31">
        <f t="shared" ref="M10:M15" si="9">I10*E10+G10</f>
        <v>-0.60358303746751041</v>
      </c>
      <c r="N10" s="31">
        <f t="shared" ref="N10:N15" si="10">J10*F10+H10</f>
        <v>0.89699749614666746</v>
      </c>
      <c r="O10" s="20"/>
      <c r="P10" s="634">
        <f>VLOOKUP(B10,TwoStageCT!A$10:H$72,4,FALSE)/10000</f>
        <v>5.0170517941146892E-6</v>
      </c>
      <c r="Q10" s="58">
        <f>VLOOKUP($A10,'5 A data'!$A$5:$U$650,7,FALSE)*slidewire_res</f>
        <v>2E-3</v>
      </c>
      <c r="R10" s="347">
        <f t="shared" ref="R10:R23" si="11">current_coef*(I10-I11)*IF(I11=0,0,1)</f>
        <v>-1.1199999999999988E-2</v>
      </c>
      <c r="S10" s="4">
        <v>0</v>
      </c>
      <c r="T10" s="21">
        <f t="shared" ref="T10:T15" si="12">BurdenUnc*K10</f>
        <v>-2.1100000000000001E-2</v>
      </c>
      <c r="U10" s="29">
        <f t="shared" si="0"/>
        <v>-2.4143321498700417E-3</v>
      </c>
      <c r="V10" s="29">
        <f t="shared" si="1"/>
        <v>5.0000000000000001E-4</v>
      </c>
      <c r="W10" s="23">
        <f>VLOOKUP($D10,Uncertainties!$B$35:$D$41,2,FALSE)</f>
        <v>2.5000000000000022E-3</v>
      </c>
      <c r="X10" s="23"/>
      <c r="Y10" s="24">
        <f t="shared" si="2"/>
        <v>-4.6837064993127693E-5</v>
      </c>
      <c r="Z10" s="23">
        <f t="shared" ref="Z10:Z15" si="13">SQRT(SUMSQ(P10:Y10))</f>
        <v>2.4227695280636202E-2</v>
      </c>
      <c r="AA10" s="25">
        <f t="shared" ref="AA10:AA15" si="14">DoF_A(P10:Y10,$P$7:$Y$7)</f>
        <v>8.0496808384813168</v>
      </c>
      <c r="AB10" s="26">
        <f t="shared" si="3"/>
        <v>2.2879314605232843</v>
      </c>
      <c r="AC10" s="14"/>
      <c r="AD10" s="635">
        <f>VLOOKUP(B10,TwoStageCT!A$10:H$72,7,FALSE)/10000</f>
        <v>2.600738521505678E-6</v>
      </c>
      <c r="AE10" s="366">
        <f>IF(ABS(VLOOKUP($A10,'5 A data'!$A$5:$U$1148,6,FALSE))&lt;4.5,IF(ABS(VLOOKUP($A10,'5 A data'!$A$5:$U$1148,6,FALSE))&lt;1.25,0.0008,0.002),0.004)*VLOOKUP($A10,'5 A data'!$A$5:$U$1148,7,FALSE)*25*RADIANS(1/60)*100</f>
        <v>5.8177641733144318E-3</v>
      </c>
      <c r="AF10" s="23">
        <f t="shared" ref="AF10:AF15" si="15">current_coef*(J10-J11)*IF(J11=0,0,1)</f>
        <v>2.2107503858594793E-2</v>
      </c>
      <c r="AG10" s="29">
        <f t="shared" ref="AG10:AG15" si="16">0.001*N10</f>
        <v>8.9699749614666744E-4</v>
      </c>
      <c r="AH10" s="4">
        <f t="shared" ref="AH10:AH15" si="17">BurdenUnc*L10</f>
        <v>3.0106929596902178E-2</v>
      </c>
      <c r="AI10" s="4">
        <f t="shared" ref="AI10:AI15" si="18">0.004*N10</f>
        <v>3.5879899845866698E-3</v>
      </c>
      <c r="AJ10" s="4">
        <f t="shared" si="4"/>
        <v>5.0000000000000001E-4</v>
      </c>
      <c r="AK10" s="21">
        <f>VLOOKUP($D10,Uncertainties!$B$35:$D$41,3,FALSE)</f>
        <v>4.363323129985941E-3</v>
      </c>
      <c r="AL10" s="21"/>
      <c r="AM10" s="369">
        <f>SQRT((VLOOKUP($A10,'5 A data'!$A$5:$U$1148,7,FALSE)*mutual_ind)^2+(aux_CT_phase*J10)^2)</f>
        <v>3.4130501824100883E-3</v>
      </c>
      <c r="AN10" s="29">
        <f t="shared" ref="AN10:AN15" si="19">SQRT(SUMSQ(AD10:AM10))</f>
        <v>3.838790304604639E-2</v>
      </c>
      <c r="AO10" s="14">
        <f t="shared" ref="AO10:AO15" si="20">DoF_A(AD10:AM10,$AD$7:$AM$7)</f>
        <v>10.223363920657572</v>
      </c>
      <c r="AP10" s="27">
        <f t="shared" si="5"/>
        <v>2.2108452459082706</v>
      </c>
      <c r="AS10" s="27">
        <f>VLOOKUP($B10,TwoStageCT!$A$10:$H$72,5,FALSE)</f>
        <v>38.265350164989712</v>
      </c>
      <c r="AT10" s="27">
        <f>VLOOKUP($B10,TwoStageCT!$A$10:$H$72,8,FALSE)</f>
        <v>16.586629386739094</v>
      </c>
    </row>
    <row r="11" spans="1:46" ht="13.15" customHeight="1" x14ac:dyDescent="0.2">
      <c r="A11" s="68">
        <v>101</v>
      </c>
      <c r="B11" s="5" t="str">
        <f>B4&amp;D11</f>
        <v>120/20020</v>
      </c>
      <c r="C11" s="72">
        <f>VLOOKUP($A11,'5 A data'!$A$5:$U$650,3,FALSE)</f>
        <v>0.21600059637204713</v>
      </c>
      <c r="D11" s="163">
        <f>ROUND(VLOOKUP($A11,'5 A data'!$A$5:$U$650,9,FALSE)/10,0)*10</f>
        <v>20</v>
      </c>
      <c r="E11" s="23">
        <f t="shared" si="6"/>
        <v>0.99936709902044762</v>
      </c>
      <c r="F11" s="23">
        <f t="shared" si="7"/>
        <v>1.0011822386327505</v>
      </c>
      <c r="G11" s="486">
        <f>VLOOKUP(B11,TwoStageCT!A$10:H$72,3,FALSE)/10000</f>
        <v>3.1280516301103777E-5</v>
      </c>
      <c r="H11" s="486">
        <f>VLOOKUP(B11,TwoStageCT!A$10:H$72,6,FALSE)/10000</f>
        <v>4.5493238991726806E-6</v>
      </c>
      <c r="I11" s="19">
        <f>VLOOKUP($A11,'5 A data'!$A$5:$U$650,10,FALSE)</f>
        <v>-0.54800000000000004</v>
      </c>
      <c r="J11" s="32">
        <f>VLOOKUP($A11,'5 A data'!$A$5:$U$650,11,FALSE)</f>
        <v>0.78539816339744839</v>
      </c>
      <c r="K11" s="22">
        <f t="shared" si="8"/>
        <v>-0.39500000000000002</v>
      </c>
      <c r="L11" s="22">
        <f t="shared" si="8"/>
        <v>0.5512331554215425</v>
      </c>
      <c r="M11" s="31">
        <f t="shared" si="9"/>
        <v>-0.54762188974690429</v>
      </c>
      <c r="N11" s="31">
        <f t="shared" si="10"/>
        <v>0.78633124077220728</v>
      </c>
      <c r="O11" s="20"/>
      <c r="P11" s="634">
        <f>VLOOKUP(B11,TwoStageCT!A$10:H$72,4,FALSE)/10000</f>
        <v>4.17832023036102E-6</v>
      </c>
      <c r="Q11" s="58">
        <f>VLOOKUP($A11,'5 A data'!$A$5:$U$650,7,FALSE)*slidewire_res</f>
        <v>2E-3</v>
      </c>
      <c r="R11" s="347">
        <f t="shared" si="11"/>
        <v>-9.2000000000000085E-3</v>
      </c>
      <c r="S11" s="4">
        <v>0</v>
      </c>
      <c r="T11" s="21">
        <f t="shared" si="12"/>
        <v>-1.9750000000000004E-2</v>
      </c>
      <c r="U11" s="29">
        <f t="shared" si="0"/>
        <v>-2.1904875589876171E-3</v>
      </c>
      <c r="V11" s="29">
        <f t="shared" si="1"/>
        <v>5.0000000000000001E-4</v>
      </c>
      <c r="W11" s="23">
        <f>VLOOKUP($D11,Uncertainties!$B$35:$D$41,2,FALSE)</f>
        <v>-1.0000000000000009E-3</v>
      </c>
      <c r="X11" s="23"/>
      <c r="Y11" s="24">
        <f t="shared" si="2"/>
        <v>-4.2494555656016523E-5</v>
      </c>
      <c r="Z11" s="23">
        <f t="shared" si="13"/>
        <v>2.2017096970120748E-2</v>
      </c>
      <c r="AA11" s="25">
        <f t="shared" si="14"/>
        <v>7.3731360172840077</v>
      </c>
      <c r="AB11" s="26">
        <f t="shared" si="3"/>
        <v>2.3228418153534345</v>
      </c>
      <c r="AC11" s="14"/>
      <c r="AD11" s="635">
        <f>VLOOKUP(B11,TwoStageCT!A$10:H$72,7,FALSE)/10000</f>
        <v>1.9770475075939077E-6</v>
      </c>
      <c r="AE11" s="366">
        <f>IF(ABS(VLOOKUP($A11,'5 A data'!$A$5:$U$1148,6,FALSE))&lt;4.5,IF(ABS(VLOOKUP($A11,'5 A data'!$A$5:$U$1148,6,FALSE))&lt;1.25,0.0008,0.002),0.004)*VLOOKUP($A11,'5 A data'!$A$5:$U$1148,7,FALSE)*25*RADIANS(1/60)*100</f>
        <v>5.8177641733144318E-3</v>
      </c>
      <c r="AF11" s="23">
        <f t="shared" si="15"/>
        <v>1.6871516102611884E-2</v>
      </c>
      <c r="AG11" s="29">
        <f t="shared" si="16"/>
        <v>7.8633124077220732E-4</v>
      </c>
      <c r="AH11" s="4">
        <f t="shared" si="17"/>
        <v>2.7561657771077126E-2</v>
      </c>
      <c r="AI11" s="4">
        <f t="shared" si="18"/>
        <v>3.1453249630888293E-3</v>
      </c>
      <c r="AJ11" s="4">
        <f t="shared" si="4"/>
        <v>5.0000000000000001E-4</v>
      </c>
      <c r="AK11" s="21">
        <f>VLOOKUP($D11,Uncertainties!$B$35:$D$41,3,FALSE)</f>
        <v>-1.454441043328647E-3</v>
      </c>
      <c r="AL11" s="21"/>
      <c r="AM11" s="369">
        <f>SQRT((VLOOKUP($A11,'5 A data'!$A$5:$U$1148,7,FALSE)*mutual_ind)^2+(aux_CT_phase*J11)^2)</f>
        <v>3.4101374462899821E-3</v>
      </c>
      <c r="AN11" s="29">
        <f t="shared" si="19"/>
        <v>3.3206102461301269E-2</v>
      </c>
      <c r="AO11" s="14">
        <f t="shared" si="20"/>
        <v>9.2182664232117819</v>
      </c>
      <c r="AP11" s="27">
        <f t="shared" si="5"/>
        <v>2.2413630082901355</v>
      </c>
      <c r="AS11" s="27">
        <f>VLOOKUP($B11,TwoStageCT!$A$10:$H$72,5,FALSE)</f>
        <v>36.657700403051521</v>
      </c>
      <c r="AT11" s="27">
        <f>VLOOKUP($B11,TwoStageCT!$A$10:$H$72,8,FALSE)</f>
        <v>53.09445811850042</v>
      </c>
    </row>
    <row r="12" spans="1:46" ht="13.15" customHeight="1" x14ac:dyDescent="0.2">
      <c r="A12">
        <v>102</v>
      </c>
      <c r="B12" s="5" t="str">
        <f>B4&amp;D12</f>
        <v>120/20040</v>
      </c>
      <c r="C12" s="72">
        <f>VLOOKUP($A12,'5 A data'!$A$5:$U$650,3,FALSE)</f>
        <v>0.21600059637204713</v>
      </c>
      <c r="D12" s="163">
        <f>ROUND(VLOOKUP($A12,'5 A data'!$A$5:$U$650,9,FALSE)/10,0)*10</f>
        <v>40</v>
      </c>
      <c r="E12" s="144">
        <f t="shared" si="6"/>
        <v>0.99936709902044762</v>
      </c>
      <c r="F12" s="144">
        <f t="shared" si="7"/>
        <v>1.0011822386327505</v>
      </c>
      <c r="G12" s="486">
        <f>VLOOKUP(B12,TwoStageCT!A$10:H$72,3,FALSE)/10000</f>
        <v>2.5200167333853628E-5</v>
      </c>
      <c r="H12" s="486">
        <f>VLOOKUP(B12,TwoStageCT!A$10:H$72,6,FALSE)/10000</f>
        <v>5.7416420558101514E-6</v>
      </c>
      <c r="I12" s="143">
        <f>VLOOKUP($A12,'5 A data'!$A$5:$U$650,10,FALSE)</f>
        <v>-0.502</v>
      </c>
      <c r="J12" s="145">
        <f>VLOOKUP($A12,'5 A data'!$A$5:$U$650,11,FALSE)</f>
        <v>0.70104058288438897</v>
      </c>
      <c r="K12" s="146">
        <f>I12-I20</f>
        <v>-0.36499999999999999</v>
      </c>
      <c r="L12" s="146">
        <f>J12-J20</f>
        <v>0.49741883681838384</v>
      </c>
      <c r="M12" s="31">
        <f t="shared" si="9"/>
        <v>-0.50165708354093086</v>
      </c>
      <c r="N12" s="31">
        <f t="shared" si="10"/>
        <v>0.70187512178665656</v>
      </c>
      <c r="O12" s="147"/>
      <c r="P12" s="634">
        <f>VLOOKUP(B12,TwoStageCT!A$10:H$72,4,FALSE)/10000</f>
        <v>3.3964590328801363E-6</v>
      </c>
      <c r="Q12" s="58">
        <f>VLOOKUP($A12,'5 A data'!$A$5:$U$650,7,FALSE)*slidewire_res</f>
        <v>2E-3</v>
      </c>
      <c r="R12" s="347">
        <f t="shared" si="11"/>
        <v>-2.0000000000000018E-3</v>
      </c>
      <c r="S12" s="4">
        <v>0</v>
      </c>
      <c r="T12" s="21">
        <f t="shared" si="12"/>
        <v>-1.8249999999999999E-2</v>
      </c>
      <c r="U12" s="29">
        <f t="shared" si="0"/>
        <v>-2.0066283341637235E-3</v>
      </c>
      <c r="V12" s="29">
        <f t="shared" si="1"/>
        <v>5.0000000000000001E-4</v>
      </c>
      <c r="W12" s="23">
        <f>VLOOKUP($D12,Uncertainties!$B$35:$D$41,2,FALSE)</f>
        <v>-1.0000000000000009E-3</v>
      </c>
      <c r="X12" s="23"/>
      <c r="Y12" s="24">
        <f t="shared" si="2"/>
        <v>-3.8927494414818048E-5</v>
      </c>
      <c r="Z12" s="23">
        <f t="shared" si="13"/>
        <v>1.8610227944794874E-2</v>
      </c>
      <c r="AA12" s="25">
        <f t="shared" si="14"/>
        <v>5.4042418402675629</v>
      </c>
      <c r="AB12" s="26">
        <f t="shared" si="3"/>
        <v>2.4874851414127446</v>
      </c>
      <c r="AC12" s="14"/>
      <c r="AD12" s="635">
        <f>VLOOKUP(B12,TwoStageCT!A$10:H$72,7,FALSE)/10000</f>
        <v>1.6849048737447556E-6</v>
      </c>
      <c r="AE12" s="366">
        <f>IF(ABS(VLOOKUP($A12,'5 A data'!$A$5:$U$1148,6,FALSE))&lt;4.5,IF(ABS(VLOOKUP($A12,'5 A data'!$A$5:$U$1148,6,FALSE))&lt;1.25,0.0008,0.002),0.004)*VLOOKUP($A12,'5 A data'!$A$5:$U$1148,7,FALSE)*25*RADIANS(1/60)*100</f>
        <v>5.8177641733144318E-3</v>
      </c>
      <c r="AF12" s="23">
        <f t="shared" si="15"/>
        <v>1.3380857598623175E-2</v>
      </c>
      <c r="AG12" s="29">
        <f t="shared" si="16"/>
        <v>7.0187512178665663E-4</v>
      </c>
      <c r="AH12" s="4">
        <f t="shared" si="17"/>
        <v>2.4870941840919192E-2</v>
      </c>
      <c r="AI12" s="4">
        <f t="shared" si="18"/>
        <v>2.8075004871466265E-3</v>
      </c>
      <c r="AJ12" s="4">
        <f t="shared" si="4"/>
        <v>5.0000000000000001E-4</v>
      </c>
      <c r="AK12" s="21">
        <f>VLOOKUP($D12,Uncertainties!$B$35:$D$41,3,FALSE)</f>
        <v>-2.908882086657183E-3</v>
      </c>
      <c r="AL12" s="21"/>
      <c r="AM12" s="369">
        <f>SQRT((VLOOKUP($A12,'5 A data'!$A$5:$U$1148,7,FALSE)*mutual_ind)^2+(aux_CT_phase*J12)^2)</f>
        <v>3.4081708315714461E-3</v>
      </c>
      <c r="AN12" s="29">
        <f t="shared" si="19"/>
        <v>2.9328474082832592E-2</v>
      </c>
      <c r="AO12" s="14">
        <f t="shared" si="20"/>
        <v>8.8916362119107202</v>
      </c>
      <c r="AP12" s="27">
        <f t="shared" si="5"/>
        <v>2.2529722611637992</v>
      </c>
      <c r="AS12" s="27">
        <f>VLOOKUP($B12,TwoStageCT!$A$10:$H$72,5,FALSE)</f>
        <v>38.659909732018328</v>
      </c>
      <c r="AT12" s="27">
        <f>VLOOKUP($B12,TwoStageCT!$A$10:$H$72,8,FALSE)</f>
        <v>52.499330597885681</v>
      </c>
    </row>
    <row r="13" spans="1:46" ht="13.15" customHeight="1" x14ac:dyDescent="0.2">
      <c r="A13" s="68">
        <v>103</v>
      </c>
      <c r="B13" s="5" t="str">
        <f>B4&amp;D13</f>
        <v>120/20060</v>
      </c>
      <c r="C13" s="72">
        <f>VLOOKUP($A13,'5 A data'!$A$5:$U$650,3,FALSE)</f>
        <v>0.21600059637204713</v>
      </c>
      <c r="D13" s="163">
        <f>ROUND(VLOOKUP($A13,'5 A data'!$A$5:$U$650,9,FALSE)/10,0)*10</f>
        <v>60</v>
      </c>
      <c r="E13" s="144">
        <f t="shared" si="6"/>
        <v>0.99936709902044762</v>
      </c>
      <c r="F13" s="144">
        <f t="shared" si="7"/>
        <v>1.0011822386327505</v>
      </c>
      <c r="G13" s="486">
        <f>VLOOKUP(B13,TwoStageCT!A$10:H$72,3,FALSE)/10000</f>
        <v>2.195627602528684E-5</v>
      </c>
      <c r="H13" s="486">
        <f>VLOOKUP(B13,TwoStageCT!A$10:H$72,6,FALSE)/10000</f>
        <v>5.5507836163637805E-6</v>
      </c>
      <c r="I13" s="143">
        <f>VLOOKUP($A13,'5 A data'!$A$5:$U$650,10,FALSE)</f>
        <v>-0.49199999999999999</v>
      </c>
      <c r="J13" s="145">
        <f>VLOOKUP($A13,'5 A data'!$A$5:$U$650,11,FALSE)</f>
        <v>0.6341362948912731</v>
      </c>
      <c r="K13" s="146">
        <f t="shared" si="8"/>
        <v>-0.36299999999999999</v>
      </c>
      <c r="L13" s="146">
        <f t="shared" si="8"/>
        <v>0.4450589592585541</v>
      </c>
      <c r="M13" s="31">
        <f t="shared" si="9"/>
        <v>-0.49166665644203494</v>
      </c>
      <c r="N13" s="31">
        <f t="shared" si="10"/>
        <v>0.63489154610113918</v>
      </c>
      <c r="O13" s="147"/>
      <c r="P13" s="634">
        <f>VLOOKUP(B13,TwoStageCT!A$10:H$72,4,FALSE)/10000</f>
        <v>2.9709098248278708E-6</v>
      </c>
      <c r="Q13" s="58">
        <f>VLOOKUP($A13,'5 A data'!$A$5:$U$650,7,FALSE)*slidewire_res</f>
        <v>2E-3</v>
      </c>
      <c r="R13" s="347">
        <f t="shared" si="11"/>
        <v>-4.4000000000000037E-3</v>
      </c>
      <c r="S13" s="4">
        <v>0</v>
      </c>
      <c r="T13" s="21">
        <f t="shared" si="12"/>
        <v>-1.8149999999999999E-2</v>
      </c>
      <c r="U13" s="29">
        <f t="shared" si="0"/>
        <v>-1.9666666257681397E-3</v>
      </c>
      <c r="V13" s="29">
        <f t="shared" si="1"/>
        <v>5.0000000000000001E-4</v>
      </c>
      <c r="W13" s="23">
        <f>VLOOKUP($D13,Uncertainties!$B$35:$D$41,2,FALSE)</f>
        <v>-1.0000000000000009E-3</v>
      </c>
      <c r="X13" s="23"/>
      <c r="Y13" s="24">
        <f t="shared" si="2"/>
        <v>-3.8152046318905339E-5</v>
      </c>
      <c r="Z13" s="23">
        <f t="shared" si="13"/>
        <v>1.8918291202480571E-2</v>
      </c>
      <c r="AA13" s="25">
        <f t="shared" si="14"/>
        <v>5.8798792079561739</v>
      </c>
      <c r="AB13" s="26">
        <f t="shared" si="3"/>
        <v>2.435158208689681</v>
      </c>
      <c r="AC13" s="14"/>
      <c r="AD13" s="635">
        <f>VLOOKUP(B13,TwoStageCT!A$10:H$72,7,FALSE)/10000</f>
        <v>1.6017059195029239E-6</v>
      </c>
      <c r="AE13" s="366">
        <f>IF(ABS(VLOOKUP($A13,'5 A data'!$A$5:$U$1148,6,FALSE))&lt;4.5,IF(ABS(VLOOKUP($A13,'5 A data'!$A$5:$U$1148,6,FALSE))&lt;1.25,0.0008,0.002),0.004)*VLOOKUP($A13,'5 A data'!$A$5:$U$1148,7,FALSE)*25*RADIANS(1/60)*100</f>
        <v>5.8177641733144318E-3</v>
      </c>
      <c r="AF13" s="23">
        <f t="shared" si="15"/>
        <v>2.2107503858594859E-2</v>
      </c>
      <c r="AG13" s="29">
        <f t="shared" si="16"/>
        <v>6.3489154610113919E-4</v>
      </c>
      <c r="AH13" s="4">
        <f t="shared" si="17"/>
        <v>2.2252947962927705E-2</v>
      </c>
      <c r="AI13" s="4">
        <f t="shared" si="18"/>
        <v>2.5395661844045568E-3</v>
      </c>
      <c r="AJ13" s="4">
        <f t="shared" si="4"/>
        <v>5.0000000000000001E-4</v>
      </c>
      <c r="AK13" s="21">
        <f>VLOOKUP($D13,Uncertainties!$B$35:$D$41,3,FALSE)</f>
        <v>-2.908882086657183E-3</v>
      </c>
      <c r="AL13" s="21"/>
      <c r="AM13" s="369">
        <f>SQRT((VLOOKUP($A13,'5 A data'!$A$5:$U$1148,7,FALSE)*mutual_ind)^2+(aux_CT_phase*J13)^2)</f>
        <v>3.406769130169322E-3</v>
      </c>
      <c r="AN13" s="29">
        <f t="shared" si="19"/>
        <v>3.2325716651312612E-2</v>
      </c>
      <c r="AO13" s="14">
        <f t="shared" si="20"/>
        <v>11.246843840044505</v>
      </c>
      <c r="AP13" s="27">
        <f t="shared" si="5"/>
        <v>2.1859611496065869</v>
      </c>
      <c r="AS13" s="27">
        <f>VLOOKUP($B13,TwoStageCT!$A$10:$H$72,5,FALSE)</f>
        <v>42.291164682130272</v>
      </c>
      <c r="AT13" s="27">
        <f>VLOOKUP($B13,TwoStageCT!$A$10:$H$72,8,FALSE)</f>
        <v>48.978667479860043</v>
      </c>
    </row>
    <row r="14" spans="1:46" ht="13.15" customHeight="1" x14ac:dyDescent="0.2">
      <c r="A14">
        <v>104</v>
      </c>
      <c r="B14" s="5" t="str">
        <f>B4&amp;D14</f>
        <v>120/200100</v>
      </c>
      <c r="C14" s="72">
        <f>VLOOKUP($A14,'5 A data'!$A$5:$U$650,3,FALSE)</f>
        <v>0.21600059637204713</v>
      </c>
      <c r="D14" s="164">
        <f>ROUND(VLOOKUP($A14,'5 A data'!$A$5:$U$650,9,FALSE)/10,0)*10</f>
        <v>100</v>
      </c>
      <c r="E14" s="144">
        <f t="shared" si="6"/>
        <v>0.99936709902044762</v>
      </c>
      <c r="F14" s="144">
        <f t="shared" si="7"/>
        <v>1.0011822386327505</v>
      </c>
      <c r="G14" s="486">
        <f>VLOOKUP(B14,TwoStageCT!A$10:H$72,3,FALSE)/10000</f>
        <v>1.6881396356939836E-5</v>
      </c>
      <c r="H14" s="486">
        <f>VLOOKUP(B14,TwoStageCT!A$10:H$72,6,FALSE)/10000</f>
        <v>7.3590724152435355E-6</v>
      </c>
      <c r="I14" s="143">
        <f>VLOOKUP($A14,'5 A data'!$A$5:$U$650,10,FALSE)</f>
        <v>-0.47</v>
      </c>
      <c r="J14" s="145">
        <f>VLOOKUP($A14,'5 A data'!$A$5:$U$650,11,FALSE)</f>
        <v>0.52359877559829882</v>
      </c>
      <c r="K14" s="146">
        <f>I14-I22</f>
        <v>-0.34899999999999998</v>
      </c>
      <c r="L14" s="146">
        <f t="shared" si="8"/>
        <v>0.34906585039886584</v>
      </c>
      <c r="M14" s="31">
        <f t="shared" si="9"/>
        <v>-0.46968565514325344</v>
      </c>
      <c r="N14" s="31">
        <f t="shared" si="10"/>
        <v>0.52422515337128717</v>
      </c>
      <c r="O14" s="147"/>
      <c r="P14" s="634">
        <f>VLOOKUP(B14,TwoStageCT!A$10:H$72,4,FALSE)/10000</f>
        <v>2.4131313466023584E-6</v>
      </c>
      <c r="Q14" s="58">
        <f>VLOOKUP($A14,'5 A data'!$A$5:$U$650,7,FALSE)*slidewire_res</f>
        <v>2E-3</v>
      </c>
      <c r="R14" s="347">
        <f t="shared" si="11"/>
        <v>-2.3999999999999911E-3</v>
      </c>
      <c r="S14" s="4">
        <v>0</v>
      </c>
      <c r="T14" s="21">
        <f t="shared" si="12"/>
        <v>-1.745E-2</v>
      </c>
      <c r="U14" s="29">
        <f t="shared" si="0"/>
        <v>-1.8787426205730139E-3</v>
      </c>
      <c r="V14" s="29">
        <f t="shared" si="1"/>
        <v>5.0000000000000001E-4</v>
      </c>
      <c r="W14" s="23">
        <f>VLOOKUP($D14,Uncertainties!$B$35:$D$41,2,FALSE)</f>
        <v>1.999999999999974E-3</v>
      </c>
      <c r="X14" s="23"/>
      <c r="Y14" s="24">
        <f t="shared" si="2"/>
        <v>-3.6446060507897375E-5</v>
      </c>
      <c r="Z14" s="23">
        <f t="shared" si="13"/>
        <v>1.7945570706246344E-2</v>
      </c>
      <c r="AA14" s="25">
        <f t="shared" si="14"/>
        <v>5.5885421372077966</v>
      </c>
      <c r="AB14" s="26">
        <f t="shared" si="3"/>
        <v>2.4658785249260409</v>
      </c>
      <c r="AC14" s="14"/>
      <c r="AD14" s="635">
        <f>VLOOKUP(B14,TwoStageCT!A$10:H$72,7,FALSE)/10000</f>
        <v>1.6933288916776063E-6</v>
      </c>
      <c r="AE14" s="366">
        <f>IF(ABS(VLOOKUP($A14,'5 A data'!$A$5:$U$1148,6,FALSE))&lt;4.5,IF(ABS(VLOOKUP($A14,'5 A data'!$A$5:$U$1148,6,FALSE))&lt;1.25,0.0008,0.002),0.004)*VLOOKUP($A14,'5 A data'!$A$5:$U$1148,7,FALSE)*25*RADIANS(1/60)*100</f>
        <v>5.8177641733144318E-3</v>
      </c>
      <c r="AF14" s="23">
        <f t="shared" si="15"/>
        <v>8.144869842640191E-3</v>
      </c>
      <c r="AG14" s="29">
        <f t="shared" si="16"/>
        <v>5.2422515337128715E-4</v>
      </c>
      <c r="AH14" s="4">
        <f t="shared" si="17"/>
        <v>1.7453292519943292E-2</v>
      </c>
      <c r="AI14" s="4">
        <f t="shared" si="18"/>
        <v>2.0969006134851486E-3</v>
      </c>
      <c r="AJ14" s="4">
        <f t="shared" si="4"/>
        <v>5.0000000000000001E-4</v>
      </c>
      <c r="AK14" s="21">
        <f>VLOOKUP($D14,Uncertainties!$B$35:$D$41,3,FALSE)</f>
        <v>-2.9088820866572385E-3</v>
      </c>
      <c r="AL14" s="21"/>
      <c r="AM14" s="369">
        <f>SQRT((VLOOKUP($A14,'5 A data'!$A$5:$U$1148,7,FALSE)*mutual_ind)^2+(aux_CT_phase*J14)^2)</f>
        <v>3.4047600416676756E-3</v>
      </c>
      <c r="AN14" s="29">
        <f t="shared" si="19"/>
        <v>2.0731099766138687E-2</v>
      </c>
      <c r="AO14" s="14">
        <f t="shared" si="20"/>
        <v>9.3741501476711075</v>
      </c>
      <c r="AP14" s="27">
        <f t="shared" si="5"/>
        <v>2.2361452757219369</v>
      </c>
      <c r="AS14" s="27">
        <f>VLOOKUP($B14,TwoStageCT!$A$10:$H$72,5,FALSE)</f>
        <v>59.567261398457461</v>
      </c>
      <c r="AT14" s="27">
        <f>VLOOKUP($B14,TwoStageCT!$A$10:$H$72,8,FALSE)</f>
        <v>45.732629829898706</v>
      </c>
    </row>
    <row r="15" spans="1:46" ht="13.15" customHeight="1" x14ac:dyDescent="0.2">
      <c r="A15" s="68">
        <v>105</v>
      </c>
      <c r="B15" s="5" t="str">
        <f>B4&amp;D15</f>
        <v>120/200120</v>
      </c>
      <c r="C15" s="72">
        <f>VLOOKUP($A15,'5 A data'!$A$5:$U$650,3,FALSE)</f>
        <v>0.21600059637204713</v>
      </c>
      <c r="D15" s="164">
        <f>ROUND(VLOOKUP($A15,'5 A data'!$A$5:$U$650,9,FALSE)/10,0)*10</f>
        <v>120</v>
      </c>
      <c r="E15" s="144">
        <f t="shared" si="6"/>
        <v>0.99936709902044762</v>
      </c>
      <c r="F15" s="144">
        <f t="shared" si="7"/>
        <v>1.0011822386327505</v>
      </c>
      <c r="G15" s="486">
        <f>VLOOKUP(B15,TwoStageCT!A$10:H$72,3,FALSE)/10000</f>
        <v>1.5213305302217845E-5</v>
      </c>
      <c r="H15" s="486">
        <f>VLOOKUP(B15,TwoStageCT!A$10:H$72,6,FALSE)/10000</f>
        <v>7.5885012454326174E-6</v>
      </c>
      <c r="I15" s="143">
        <f>VLOOKUP($A15,'5 A data'!$A$5:$U$650,10,FALSE)</f>
        <v>-0.45800000000000002</v>
      </c>
      <c r="J15" s="145">
        <f>VLOOKUP($A15,'5 A data'!$A$5:$U$650,11,FALSE)</f>
        <v>0.48287442638509787</v>
      </c>
      <c r="K15" s="146">
        <f>I15-I23</f>
        <v>-0.33900000000000002</v>
      </c>
      <c r="L15" s="146">
        <f t="shared" si="8"/>
        <v>0.31415926535897931</v>
      </c>
      <c r="M15" s="31">
        <f t="shared" si="9"/>
        <v>-0.45769491804606277</v>
      </c>
      <c r="N15" s="31">
        <f t="shared" si="10"/>
        <v>0.483452887687983</v>
      </c>
      <c r="O15" s="147"/>
      <c r="P15" s="634">
        <f>VLOOKUP(B15,TwoStageCT!A$10:H$72,4,FALSE)/10000</f>
        <v>2.2681305202526645E-6</v>
      </c>
      <c r="Q15" s="58">
        <f>VLOOKUP($A15,'5 A data'!$A$5:$U$650,7,FALSE)*slidewire_res</f>
        <v>2E-3</v>
      </c>
      <c r="R15" s="347">
        <f t="shared" si="11"/>
        <v>0</v>
      </c>
      <c r="S15" s="4">
        <v>0</v>
      </c>
      <c r="T15" s="21">
        <f t="shared" si="12"/>
        <v>-1.6950000000000003E-2</v>
      </c>
      <c r="U15" s="29">
        <f t="shared" si="0"/>
        <v>-1.8307796721842512E-3</v>
      </c>
      <c r="V15" s="29">
        <f t="shared" si="1"/>
        <v>5.0000000000000001E-4</v>
      </c>
      <c r="W15" s="23">
        <f>VLOOKUP($D15,Uncertainties!$B$35:$D$41,2,FALSE)</f>
        <v>-1.0000000000000009E-3</v>
      </c>
      <c r="X15" s="23"/>
      <c r="Y15" s="24">
        <f t="shared" si="2"/>
        <v>-3.5515522792802126E-5</v>
      </c>
      <c r="Z15" s="23">
        <f t="shared" si="13"/>
        <v>1.7201904566205989E-2</v>
      </c>
      <c r="AA15" s="25">
        <f t="shared" si="14"/>
        <v>5.3021453519464767</v>
      </c>
      <c r="AB15" s="26">
        <f t="shared" si="3"/>
        <v>2.5002799515918519</v>
      </c>
      <c r="AC15" s="14"/>
      <c r="AD15" s="635">
        <f>VLOOKUP(B15,TwoStageCT!A$10:H$72,7,FALSE)/10000</f>
        <v>1.7092397901526349E-6</v>
      </c>
      <c r="AE15" s="366">
        <f>IF(ABS(VLOOKUP($A15,'5 A data'!$A$5:$U$1148,6,FALSE))&lt;4.5,IF(ABS(VLOOKUP($A15,'5 A data'!$A$5:$U$1148,6,FALSE))&lt;1.25,0.0008,0.002),0.004)*VLOOKUP($A15,'5 A data'!$A$5:$U$1148,7,FALSE)*25*RADIANS(1/60)*100</f>
        <v>5.8177641733144318E-3</v>
      </c>
      <c r="AF15" s="23">
        <f t="shared" si="15"/>
        <v>0</v>
      </c>
      <c r="AG15" s="29">
        <f t="shared" si="16"/>
        <v>4.8345288768798301E-4</v>
      </c>
      <c r="AH15" s="4">
        <f t="shared" si="17"/>
        <v>1.5707963267948967E-2</v>
      </c>
      <c r="AI15" s="4">
        <f t="shared" si="18"/>
        <v>1.933811550751932E-3</v>
      </c>
      <c r="AJ15" s="4">
        <f t="shared" si="4"/>
        <v>5.0000000000000001E-4</v>
      </c>
      <c r="AK15" s="21">
        <f>VLOOKUP($D15,Uncertainties!$B$35:$D$41,3,FALSE)</f>
        <v>1.4544410433285915E-3</v>
      </c>
      <c r="AL15" s="21"/>
      <c r="AM15" s="369">
        <f>SQRT((VLOOKUP($A15,'5 A data'!$A$5:$U$1148,7,FALSE)*mutual_ind)^2+(aux_CT_phase*J15)^2)</f>
        <v>3.4041163087651571E-3</v>
      </c>
      <c r="AN15" s="29">
        <f t="shared" si="19"/>
        <v>1.7277536089546758E-2</v>
      </c>
      <c r="AO15" s="14">
        <f t="shared" si="20"/>
        <v>7.1659114134809929</v>
      </c>
      <c r="AP15" s="27">
        <f t="shared" si="5"/>
        <v>2.3351004138296227</v>
      </c>
      <c r="AS15" s="27">
        <f>VLOOKUP($B15,TwoStageCT!$A$10:$H$72,5,FALSE)</f>
        <v>68.00069900375496</v>
      </c>
      <c r="AT15" s="27">
        <f>VLOOKUP($B15,TwoStageCT!$A$10:$H$72,8,FALSE)</f>
        <v>47.345132453902309</v>
      </c>
    </row>
    <row r="16" spans="1:46" ht="13.15" customHeight="1" x14ac:dyDescent="0.2">
      <c r="B16" s="5"/>
      <c r="C16" s="72"/>
      <c r="D16" s="143"/>
      <c r="E16" s="144"/>
      <c r="F16" s="144"/>
      <c r="G16" s="347"/>
      <c r="H16" s="347"/>
      <c r="I16" s="143"/>
      <c r="J16" s="145"/>
      <c r="K16" s="148"/>
      <c r="L16" s="148"/>
      <c r="M16" s="638" t="s">
        <v>430</v>
      </c>
      <c r="N16" s="638"/>
      <c r="O16" s="149"/>
      <c r="P16" s="634"/>
      <c r="Q16" s="58"/>
      <c r="R16" s="347"/>
      <c r="S16" s="4"/>
      <c r="T16" s="4"/>
      <c r="U16" s="29"/>
      <c r="V16" s="29"/>
      <c r="W16" s="29"/>
      <c r="X16" s="29"/>
      <c r="Y16" s="24"/>
      <c r="Z16" s="29"/>
      <c r="AA16" s="25"/>
      <c r="AB16" s="26"/>
      <c r="AC16" s="14"/>
      <c r="AD16" s="635"/>
      <c r="AE16" s="35"/>
      <c r="AF16" s="28"/>
      <c r="AG16" s="29"/>
      <c r="AH16" s="4"/>
      <c r="AI16" s="4"/>
      <c r="AJ16" s="4"/>
      <c r="AK16" s="4"/>
      <c r="AL16" s="4"/>
      <c r="AM16" s="24"/>
      <c r="AN16" s="29"/>
      <c r="AO16" s="14"/>
      <c r="AP16" s="27"/>
    </row>
    <row r="17" spans="1:46" ht="13.15" customHeight="1" x14ac:dyDescent="0.2">
      <c r="A17" s="68">
        <v>107</v>
      </c>
      <c r="B17" s="5" t="str">
        <f>B4&amp;D17</f>
        <v>120/2005</v>
      </c>
      <c r="C17" s="72">
        <f>VLOOKUP($A17,'5 A data'!$A$5:$U$650,3,FALSE)</f>
        <v>2.1000057980615688E-2</v>
      </c>
      <c r="D17" s="150">
        <f>ROUND(VLOOKUP($A17,'5 A data'!$A$5:$U$650,9,FALSE),0)</f>
        <v>5</v>
      </c>
      <c r="E17" s="151">
        <f t="shared" si="6"/>
        <v>0.99936709902044762</v>
      </c>
      <c r="F17" s="151">
        <f t="shared" si="7"/>
        <v>1.0011822386327505</v>
      </c>
      <c r="G17" s="486">
        <f>VLOOKUP(B17,TwoStageCT!A$10:H$72,3,FALSE)/10000</f>
        <v>3.6805932694608759E-5</v>
      </c>
      <c r="H17" s="486">
        <f>VLOOKUP(B17,TwoStageCT!A$10:H$72,6,FALSE)/10000</f>
        <v>4.6965346060309593E-6</v>
      </c>
      <c r="I17" s="152">
        <f>VLOOKUP($A17,'5 A data'!$A$5:$U$650,10,FALSE)</f>
        <v>-0.222</v>
      </c>
      <c r="J17" s="152">
        <f>VLOOKUP($A17,'5 A data'!$A$5:$U$650,11,FALSE)</f>
        <v>0.38397243543875248</v>
      </c>
      <c r="K17" s="153"/>
      <c r="L17" s="153"/>
      <c r="M17" s="31">
        <f>I17*E17+G17</f>
        <v>-0.22182269004984476</v>
      </c>
      <c r="N17" s="31">
        <f>J17*F17+H17</f>
        <v>0.38443107902044549</v>
      </c>
      <c r="O17" s="149"/>
      <c r="P17" s="634">
        <f>VLOOKUP(B17,TwoStageCT!A$10:H$72,4,FALSE)/10000</f>
        <v>6.4429594675743464E-6</v>
      </c>
      <c r="Q17" s="58">
        <f>VLOOKUP($A17,'5 A data'!$A$5:$U$650,7,FALSE)*slidewire_res</f>
        <v>1E-3</v>
      </c>
      <c r="R17" s="347">
        <f t="shared" si="11"/>
        <v>-8.0000000000000019E-3</v>
      </c>
      <c r="S17" s="4">
        <v>0</v>
      </c>
      <c r="T17" s="4">
        <f>BurdenUnc*K9</f>
        <v>-2.3000000000000007E-2</v>
      </c>
      <c r="U17" s="29">
        <f t="shared" ref="U17:U23" si="21">0.004*M17</f>
        <v>-8.8729076019937903E-4</v>
      </c>
      <c r="V17" s="29">
        <f t="shared" si="1"/>
        <v>5.0000000000000001E-4</v>
      </c>
      <c r="W17" s="23">
        <f>VLOOKUP($D17,Uncertainties!$B$35:$D$41,2,FALSE)</f>
        <v>5.0000000000000044E-3</v>
      </c>
      <c r="X17" s="23"/>
      <c r="Y17" s="24">
        <f t="shared" ref="Y17:Y23" si="22">I17*aux_CT_ratio</f>
        <v>-1.7214947729262166E-5</v>
      </c>
      <c r="Z17" s="23">
        <f t="shared" ref="Z17:Z23" si="23">SQRT(SUMSQ(P17:Y17))</f>
        <v>2.4900554667703443E-2</v>
      </c>
      <c r="AA17" s="25">
        <f t="shared" ref="AA17:AA23" si="24">DoF_A(P17:Y17,$P$7:$Y$7)</f>
        <v>6.7639332168646193</v>
      </c>
      <c r="AB17" s="26">
        <f t="shared" si="3"/>
        <v>2.3614547480172536</v>
      </c>
      <c r="AC17" s="14"/>
      <c r="AD17" s="635">
        <f>VLOOKUP(B17,TwoStageCT!A$10:H$72,7,FALSE)/10000</f>
        <v>4.6788986298833412E-6</v>
      </c>
      <c r="AE17" s="366">
        <f>IF(ABS(VLOOKUP($A17,'5 A data'!$A$5:$U$1148,6,FALSE))&lt;4.5,IF(ABS(VLOOKUP($A17,'5 A data'!$A$5:$U$1148,6,FALSE))&lt;1.25,0.0008,0.002),0.004)*VLOOKUP($A17,'5 A data'!$A$5:$U$1148,7,FALSE)*25*RADIANS(1/60)*100</f>
        <v>2.9088820866572159E-3</v>
      </c>
      <c r="AF17" s="23">
        <f t="shared" ref="AF17:AF23" si="25">current_coef*(J17-J18)*IF(J18=0,0,1)</f>
        <v>1.8035068937274735E-2</v>
      </c>
      <c r="AG17" s="29">
        <f t="shared" ref="AG17:AG23" si="26">0.001*N17</f>
        <v>3.8443107902044548E-4</v>
      </c>
      <c r="AH17" s="4">
        <f>BurdenUnc*L9</f>
        <v>3.2870367579226532E-2</v>
      </c>
      <c r="AI17" s="4">
        <f t="shared" ref="AI17:AI23" si="27">0.004*N17</f>
        <v>1.5377243160817819E-3</v>
      </c>
      <c r="AJ17" s="4">
        <f t="shared" si="4"/>
        <v>5.0000000000000001E-4</v>
      </c>
      <c r="AK17" s="21">
        <f>VLOOKUP($D17,Uncertainties!$B$35:$D$41,3,FALSE)</f>
        <v>-1.1635528346628732E-2</v>
      </c>
      <c r="AL17" s="21"/>
      <c r="AM17" s="369">
        <f>SQRT((VLOOKUP($A17,'5 A data'!$A$5:$U$1148,7,FALSE)*mutual_ind)^2+(aux_CT_phase*J17)^2)</f>
        <v>1.7048561713764302E-3</v>
      </c>
      <c r="AN17" s="29">
        <f t="shared" ref="AN17:AN23" si="28">SQRT(SUMSQ(AD17:AM17))</f>
        <v>3.9436541824162952E-2</v>
      </c>
      <c r="AO17" s="14">
        <f t="shared" ref="AO17:AO23" si="29">DoF_A(AD17:AM17,$AD$7:$AM$7)</f>
        <v>9.4438354345264113</v>
      </c>
      <c r="AP17" s="27">
        <f t="shared" si="5"/>
        <v>2.233875730124208</v>
      </c>
      <c r="AS17" s="27">
        <f>VLOOKUP($B17,TwoStageCT!$A$10:$H$72,5,FALSE)</f>
        <v>26.31606241070681</v>
      </c>
      <c r="AT17" s="27">
        <f>VLOOKUP($B17,TwoStageCT!$A$10:$H$72,8,FALSE)</f>
        <v>9.9413455012810044</v>
      </c>
    </row>
    <row r="18" spans="1:46" ht="13.15" customHeight="1" x14ac:dyDescent="0.2">
      <c r="A18">
        <v>108</v>
      </c>
      <c r="B18" s="5" t="str">
        <f>B4&amp;D18</f>
        <v>120/20010</v>
      </c>
      <c r="C18" s="72">
        <f>VLOOKUP($A18,'5 A data'!$A$5:$U$650,3,FALSE)</f>
        <v>2.1000057980615688E-2</v>
      </c>
      <c r="D18" s="163">
        <f>ROUND(VLOOKUP($A18,'5 A data'!$A$5:$U$650,9,FALSE)/10,0)*10</f>
        <v>10</v>
      </c>
      <c r="E18" s="151">
        <f t="shared" si="6"/>
        <v>0.99936709902044762</v>
      </c>
      <c r="F18" s="151">
        <f t="shared" si="7"/>
        <v>1.0011822386327505</v>
      </c>
      <c r="G18" s="486">
        <f>VLOOKUP(B18,TwoStageCT!A$10:H$72,3,FALSE)/10000</f>
        <v>3.4690340839935311E-5</v>
      </c>
      <c r="H18" s="486">
        <f>VLOOKUP(B18,TwoStageCT!A$10:H$72,6,FALSE)/10000</f>
        <v>2.6036797087866982E-6</v>
      </c>
      <c r="I18" s="152">
        <f>VLOOKUP($A18,'5 A data'!$A$5:$U$650,10,FALSE)</f>
        <v>-0.182</v>
      </c>
      <c r="J18" s="152">
        <f>VLOOKUP($A18,'5 A data'!$A$5:$U$650,11,FALSE)</f>
        <v>0.29379709075237881</v>
      </c>
      <c r="K18" s="153"/>
      <c r="L18" s="153"/>
      <c r="M18" s="31">
        <f t="shared" ref="M18:M23" si="30">I18*E18+G18</f>
        <v>-0.18185012168088152</v>
      </c>
      <c r="N18" s="31">
        <f t="shared" ref="N18:N23" si="31">J18*F18+H18</f>
        <v>0.29414703270296477</v>
      </c>
      <c r="O18" s="149"/>
      <c r="P18" s="634">
        <f>VLOOKUP(B18,TwoStageCT!A$10:H$72,4,FALSE)/10000</f>
        <v>5.0170517941146892E-6</v>
      </c>
      <c r="Q18" s="58">
        <f>VLOOKUP($A18,'5 A data'!$A$5:$U$650,7,FALSE)*slidewire_res</f>
        <v>1E-3</v>
      </c>
      <c r="R18" s="347">
        <f t="shared" si="11"/>
        <v>-5.7999999999999996E-3</v>
      </c>
      <c r="S18" s="4">
        <v>0</v>
      </c>
      <c r="T18" s="4">
        <f t="shared" ref="T18:T23" si="32">BurdenUnc*K10</f>
        <v>-2.1100000000000001E-2</v>
      </c>
      <c r="U18" s="29">
        <f t="shared" si="21"/>
        <v>-7.2740048672352607E-4</v>
      </c>
      <c r="V18" s="29">
        <f t="shared" si="1"/>
        <v>5.0000000000000001E-4</v>
      </c>
      <c r="W18" s="23">
        <f>VLOOKUP($D18,Uncertainties!$B$35:$D$41,2,FALSE)</f>
        <v>2.5000000000000022E-3</v>
      </c>
      <c r="X18" s="23"/>
      <c r="Y18" s="24">
        <f t="shared" si="22"/>
        <v>-1.4113155345611326E-5</v>
      </c>
      <c r="Z18" s="23">
        <f t="shared" si="23"/>
        <v>2.2065342413387746E-2</v>
      </c>
      <c r="AA18" s="25">
        <f t="shared" si="24"/>
        <v>5.9452954553917037</v>
      </c>
      <c r="AB18" s="26">
        <f t="shared" si="3"/>
        <v>2.4287735809592381</v>
      </c>
      <c r="AC18" s="14"/>
      <c r="AD18" s="635">
        <f>VLOOKUP(B18,TwoStageCT!A$10:H$72,7,FALSE)/10000</f>
        <v>2.600738521505678E-6</v>
      </c>
      <c r="AE18" s="366">
        <f>IF(ABS(VLOOKUP($A18,'5 A data'!$A$5:$U$1148,6,FALSE))&lt;4.5,IF(ABS(VLOOKUP($A18,'5 A data'!$A$5:$U$1148,6,FALSE))&lt;1.25,0.0008,0.002),0.004)*VLOOKUP($A18,'5 A data'!$A$5:$U$1148,7,FALSE)*25*RADIANS(1/60)*100</f>
        <v>2.9088820866572159E-3</v>
      </c>
      <c r="AF18" s="23">
        <f t="shared" si="25"/>
        <v>1.1926416555294583E-2</v>
      </c>
      <c r="AG18" s="29">
        <f t="shared" si="26"/>
        <v>2.9414703270296477E-4</v>
      </c>
      <c r="AH18" s="4">
        <f t="shared" ref="AH18:AH23" si="33">BurdenUnc*L10</f>
        <v>3.0106929596902178E-2</v>
      </c>
      <c r="AI18" s="4">
        <f t="shared" si="27"/>
        <v>1.1765881308118591E-3</v>
      </c>
      <c r="AJ18" s="4">
        <f t="shared" si="4"/>
        <v>5.0000000000000001E-4</v>
      </c>
      <c r="AK18" s="21">
        <f>VLOOKUP($D18,Uncertainties!$B$35:$D$41,3,FALSE)</f>
        <v>4.363323129985941E-3</v>
      </c>
      <c r="AL18" s="21"/>
      <c r="AM18" s="369">
        <f>SQRT((VLOOKUP($A18,'5 A data'!$A$5:$U$1148,7,FALSE)*mutual_ind)^2+(aux_CT_phase*J18)^2)</f>
        <v>1.7029382922069904E-3</v>
      </c>
      <c r="AN18" s="29">
        <f t="shared" si="28"/>
        <v>3.2875335633743667E-2</v>
      </c>
      <c r="AO18" s="14">
        <f t="shared" si="29"/>
        <v>6.9359018967394004</v>
      </c>
      <c r="AP18" s="27">
        <f t="shared" si="5"/>
        <v>2.3497327600512357</v>
      </c>
      <c r="AS18" s="27">
        <f>VLOOKUP($B18,TwoStageCT!$A$10:$H$72,5,FALSE)</f>
        <v>38.265350164989712</v>
      </c>
      <c r="AT18" s="27">
        <f>VLOOKUP($B18,TwoStageCT!$A$10:$H$72,8,FALSE)</f>
        <v>16.586629386739094</v>
      </c>
    </row>
    <row r="19" spans="1:46" ht="13.15" customHeight="1" x14ac:dyDescent="0.2">
      <c r="A19" s="68">
        <v>109</v>
      </c>
      <c r="B19" s="5" t="str">
        <f>B4&amp;D19</f>
        <v>120/20020</v>
      </c>
      <c r="C19" s="72">
        <f>VLOOKUP($A19,'5 A data'!$A$5:$U$650,3,FALSE)</f>
        <v>2.1000057980615688E-2</v>
      </c>
      <c r="D19" s="163">
        <f>ROUND(VLOOKUP($A19,'5 A data'!$A$5:$U$650,9,FALSE)/10,0)*10</f>
        <v>20</v>
      </c>
      <c r="E19" s="151">
        <f t="shared" si="6"/>
        <v>0.99936709902044762</v>
      </c>
      <c r="F19" s="151">
        <f t="shared" si="7"/>
        <v>1.0011822386327505</v>
      </c>
      <c r="G19" s="486">
        <f>VLOOKUP(B19,TwoStageCT!A$10:H$72,3,FALSE)/10000</f>
        <v>3.1280516301103777E-5</v>
      </c>
      <c r="H19" s="486">
        <f>VLOOKUP(B19,TwoStageCT!A$10:H$72,6,FALSE)/10000</f>
        <v>4.5493238991726806E-6</v>
      </c>
      <c r="I19" s="152">
        <f>VLOOKUP($A19,'5 A data'!$A$5:$U$650,10,FALSE)</f>
        <v>-0.153</v>
      </c>
      <c r="J19" s="152">
        <f>VLOOKUP($A19,'5 A data'!$A$5:$U$650,11,FALSE)</f>
        <v>0.23416500797590589</v>
      </c>
      <c r="K19" s="153"/>
      <c r="L19" s="153"/>
      <c r="M19" s="31">
        <f t="shared" si="30"/>
        <v>-0.15287188563382736</v>
      </c>
      <c r="N19" s="31">
        <f t="shared" si="31"/>
        <v>0.2344463962186725</v>
      </c>
      <c r="O19" s="149"/>
      <c r="P19" s="634">
        <f>VLOOKUP(B19,TwoStageCT!A$10:H$72,4,FALSE)/10000</f>
        <v>4.17832023036102E-6</v>
      </c>
      <c r="Q19" s="58">
        <f>VLOOKUP($A19,'5 A data'!$A$5:$U$650,7,FALSE)*slidewire_res</f>
        <v>1E-3</v>
      </c>
      <c r="R19" s="347">
        <f t="shared" si="11"/>
        <v>-3.1999999999999976E-3</v>
      </c>
      <c r="S19" s="4">
        <v>0</v>
      </c>
      <c r="T19" s="4">
        <f t="shared" si="32"/>
        <v>-1.9750000000000004E-2</v>
      </c>
      <c r="U19" s="29">
        <f t="shared" si="21"/>
        <v>-6.1148754253530951E-4</v>
      </c>
      <c r="V19" s="29">
        <f t="shared" si="1"/>
        <v>5.0000000000000001E-4</v>
      </c>
      <c r="W19" s="23">
        <f>VLOOKUP($D19,Uncertainties!$B$35:$D$41,2,FALSE)</f>
        <v>-1.0000000000000009E-3</v>
      </c>
      <c r="X19" s="23"/>
      <c r="Y19" s="24">
        <f t="shared" si="22"/>
        <v>-1.1864355867464466E-5</v>
      </c>
      <c r="Z19" s="23">
        <f t="shared" si="23"/>
        <v>2.0073031042569932E-2</v>
      </c>
      <c r="AA19" s="25">
        <f t="shared" si="24"/>
        <v>5.331502973130017</v>
      </c>
      <c r="AB19" s="26">
        <f t="shared" si="3"/>
        <v>2.496536856353976</v>
      </c>
      <c r="AC19" s="14"/>
      <c r="AD19" s="635">
        <f>VLOOKUP(B19,TwoStageCT!A$10:H$72,7,FALSE)/10000</f>
        <v>1.9770475075939077E-6</v>
      </c>
      <c r="AE19" s="366">
        <f>IF(ABS(VLOOKUP($A19,'5 A data'!$A$5:$U$1148,6,FALSE))&lt;4.5,IF(ABS(VLOOKUP($A19,'5 A data'!$A$5:$U$1148,6,FALSE))&lt;1.25,0.0008,0.002),0.004)*VLOOKUP($A19,'5 A data'!$A$5:$U$1148,7,FALSE)*25*RADIANS(1/60)*100</f>
        <v>2.9088820866572159E-3</v>
      </c>
      <c r="AF19" s="23">
        <f t="shared" si="25"/>
        <v>6.1086523819801567E-3</v>
      </c>
      <c r="AG19" s="29">
        <f t="shared" si="26"/>
        <v>2.3444639621867251E-4</v>
      </c>
      <c r="AH19" s="4">
        <f t="shared" si="33"/>
        <v>2.7561657771077126E-2</v>
      </c>
      <c r="AI19" s="4">
        <f t="shared" si="27"/>
        <v>9.3778558487469003E-4</v>
      </c>
      <c r="AJ19" s="4">
        <f t="shared" si="4"/>
        <v>5.0000000000000001E-4</v>
      </c>
      <c r="AK19" s="21">
        <f>VLOOKUP($D19,Uncertainties!$B$35:$D$41,3,FALSE)</f>
        <v>-1.454441043328647E-3</v>
      </c>
      <c r="AL19" s="21"/>
      <c r="AM19" s="369">
        <f>SQRT((VLOOKUP($A19,'5 A data'!$A$5:$U$1148,7,FALSE)*mutual_ind)^2+(aux_CT_phase*J19)^2)</f>
        <v>1.7019495007481421E-3</v>
      </c>
      <c r="AN19" s="29">
        <f t="shared" si="28"/>
        <v>2.8488921525465904E-2</v>
      </c>
      <c r="AO19" s="14">
        <f t="shared" si="29"/>
        <v>5.6930365917143799</v>
      </c>
      <c r="AP19" s="27">
        <f t="shared" si="5"/>
        <v>2.4544067824945084</v>
      </c>
      <c r="AS19" s="27">
        <f>VLOOKUP($B19,TwoStageCT!$A$10:$H$72,5,FALSE)</f>
        <v>36.657700403051521</v>
      </c>
      <c r="AT19" s="27">
        <f>VLOOKUP($B19,TwoStageCT!$A$10:$H$72,8,FALSE)</f>
        <v>53.09445811850042</v>
      </c>
    </row>
    <row r="20" spans="1:46" ht="13.15" customHeight="1" x14ac:dyDescent="0.2">
      <c r="A20">
        <v>110</v>
      </c>
      <c r="B20" s="5" t="str">
        <f>B4&amp;D20</f>
        <v>120/20040</v>
      </c>
      <c r="C20" s="72">
        <f>VLOOKUP($A20,'5 A data'!$A$5:$U$650,3,FALSE)</f>
        <v>2.1000057980615688E-2</v>
      </c>
      <c r="D20" s="163">
        <f>ROUND(VLOOKUP($A20,'5 A data'!$A$5:$U$650,9,FALSE)/10,0)*10</f>
        <v>40</v>
      </c>
      <c r="E20" s="151">
        <f t="shared" si="6"/>
        <v>0.99936709902044762</v>
      </c>
      <c r="F20" s="151">
        <f t="shared" si="7"/>
        <v>1.0011822386327505</v>
      </c>
      <c r="G20" s="486">
        <f>VLOOKUP(B20,TwoStageCT!A$10:H$72,3,FALSE)/10000</f>
        <v>2.5200167333853628E-5</v>
      </c>
      <c r="H20" s="486">
        <f>VLOOKUP(B20,TwoStageCT!A$10:H$72,6,FALSE)/10000</f>
        <v>5.7416420558101514E-6</v>
      </c>
      <c r="I20" s="152">
        <f>VLOOKUP($A20,'5 A data'!$A$5:$U$650,10,FALSE)</f>
        <v>-0.13700000000000001</v>
      </c>
      <c r="J20" s="152">
        <f>VLOOKUP($A20,'5 A data'!$A$5:$U$650,11,FALSE)</f>
        <v>0.20362174606600511</v>
      </c>
      <c r="K20" s="153"/>
      <c r="L20" s="153"/>
      <c r="M20" s="31">
        <f t="shared" si="30"/>
        <v>-0.1368880923984675</v>
      </c>
      <c r="N20" s="31">
        <f t="shared" si="31"/>
        <v>0.20386821720272824</v>
      </c>
      <c r="O20" s="149"/>
      <c r="P20" s="634">
        <f>VLOOKUP(B20,TwoStageCT!A$10:H$72,4,FALSE)/10000</f>
        <v>3.3964590328801363E-6</v>
      </c>
      <c r="Q20" s="58">
        <f>VLOOKUP($A20,'5 A data'!$A$5:$U$650,7,FALSE)*slidewire_res</f>
        <v>1E-3</v>
      </c>
      <c r="R20" s="347">
        <f t="shared" si="11"/>
        <v>-1.6000000000000016E-3</v>
      </c>
      <c r="S20" s="4">
        <v>0</v>
      </c>
      <c r="T20" s="4">
        <f t="shared" si="32"/>
        <v>-1.8249999999999999E-2</v>
      </c>
      <c r="U20" s="29">
        <f t="shared" si="21"/>
        <v>-5.4755236959387003E-4</v>
      </c>
      <c r="V20" s="29">
        <f t="shared" si="1"/>
        <v>5.0000000000000001E-4</v>
      </c>
      <c r="W20" s="23">
        <f>VLOOKUP($D20,Uncertainties!$B$35:$D$41,2,FALSE)</f>
        <v>-1.0000000000000009E-3</v>
      </c>
      <c r="X20" s="23"/>
      <c r="Y20" s="24">
        <f t="shared" si="22"/>
        <v>-1.0623638914004131E-5</v>
      </c>
      <c r="Z20" s="23">
        <f t="shared" si="23"/>
        <v>1.8389465408083117E-2</v>
      </c>
      <c r="AA20" s="25">
        <f t="shared" si="24"/>
        <v>5.1542230911655658</v>
      </c>
      <c r="AB20" s="26">
        <f t="shared" si="3"/>
        <v>2.5199744910451773</v>
      </c>
      <c r="AC20" s="14"/>
      <c r="AD20" s="635">
        <f>VLOOKUP(B20,TwoStageCT!A$10:H$72,7,FALSE)/10000</f>
        <v>1.6849048737447556E-6</v>
      </c>
      <c r="AE20" s="366">
        <f>IF(ABS(VLOOKUP($A20,'5 A data'!$A$5:$U$1148,6,FALSE))&lt;4.5,IF(ABS(VLOOKUP($A20,'5 A data'!$A$5:$U$1148,6,FALSE))&lt;1.25,0.0008,0.002),0.004)*VLOOKUP($A20,'5 A data'!$A$5:$U$1148,7,FALSE)*25*RADIANS(1/60)*100</f>
        <v>2.9088820866572159E-3</v>
      </c>
      <c r="AF20" s="23">
        <f t="shared" si="25"/>
        <v>2.9088820866572163E-3</v>
      </c>
      <c r="AG20" s="29">
        <f t="shared" si="26"/>
        <v>2.0386821720272825E-4</v>
      </c>
      <c r="AH20" s="4">
        <f t="shared" si="33"/>
        <v>2.4870941840919192E-2</v>
      </c>
      <c r="AI20" s="4">
        <f t="shared" si="27"/>
        <v>8.15472868810913E-4</v>
      </c>
      <c r="AJ20" s="4">
        <f t="shared" si="4"/>
        <v>5.0000000000000001E-4</v>
      </c>
      <c r="AK20" s="21">
        <f>VLOOKUP($D20,Uncertainties!$B$35:$D$41,3,FALSE)</f>
        <v>-2.908882086657183E-3</v>
      </c>
      <c r="AL20" s="21"/>
      <c r="AM20" s="369">
        <f>SQRT((VLOOKUP($A20,'5 A data'!$A$5:$U$1148,7,FALSE)*mutual_ind)^2+(aux_CT_phase*J20)^2)</f>
        <v>1.7015293745539157E-3</v>
      </c>
      <c r="AN20" s="29">
        <f t="shared" si="28"/>
        <v>2.5451921270067939E-2</v>
      </c>
      <c r="AO20" s="14">
        <f t="shared" si="29"/>
        <v>5.481233171276811</v>
      </c>
      <c r="AP20" s="27">
        <f t="shared" si="5"/>
        <v>2.4782353790853668</v>
      </c>
      <c r="AS20" s="27">
        <f>VLOOKUP($B20,TwoStageCT!$A$10:$H$72,5,FALSE)</f>
        <v>38.659909732018328</v>
      </c>
      <c r="AT20" s="27">
        <f>VLOOKUP($B20,TwoStageCT!$A$10:$H$72,8,FALSE)</f>
        <v>52.499330597885681</v>
      </c>
    </row>
    <row r="21" spans="1:46" ht="13.15" customHeight="1" x14ac:dyDescent="0.2">
      <c r="A21" s="68">
        <v>111</v>
      </c>
      <c r="B21" s="5" t="str">
        <f>B4&amp;D21</f>
        <v>120/20060</v>
      </c>
      <c r="C21" s="72">
        <f>VLOOKUP($A21,'5 A data'!$A$5:$U$650,3,FALSE)</f>
        <v>2.1000057980615688E-2</v>
      </c>
      <c r="D21" s="163">
        <f>ROUND(VLOOKUP($A21,'5 A data'!$A$5:$U$650,9,FALSE)/10,0)*10</f>
        <v>60</v>
      </c>
      <c r="E21" s="151">
        <f t="shared" si="6"/>
        <v>0.99936709902044762</v>
      </c>
      <c r="F21" s="151">
        <f t="shared" si="7"/>
        <v>1.0011822386327505</v>
      </c>
      <c r="G21" s="486">
        <f>VLOOKUP(B21,TwoStageCT!A$10:H$72,3,FALSE)/10000</f>
        <v>2.195627602528684E-5</v>
      </c>
      <c r="H21" s="486">
        <f>VLOOKUP(B21,TwoStageCT!A$10:H$72,6,FALSE)/10000</f>
        <v>5.5507836163637805E-6</v>
      </c>
      <c r="I21" s="150">
        <f>VLOOKUP($A21,'5 A data'!$A$5:$U$650,10,FALSE)</f>
        <v>-0.129</v>
      </c>
      <c r="J21" s="152">
        <f>VLOOKUP($A21,'5 A data'!$A$5:$U$650,11,FALSE)</f>
        <v>0.18907733563271903</v>
      </c>
      <c r="K21" s="153"/>
      <c r="L21" s="153"/>
      <c r="M21" s="31">
        <f t="shared" si="30"/>
        <v>-0.12889639949761247</v>
      </c>
      <c r="N21" s="31">
        <f t="shared" si="31"/>
        <v>0.1893064209470979</v>
      </c>
      <c r="O21" s="149"/>
      <c r="P21" s="634">
        <f>VLOOKUP(B21,TwoStageCT!A$10:H$72,4,FALSE)/10000</f>
        <v>2.9709098248278708E-6</v>
      </c>
      <c r="Q21" s="58">
        <f>VLOOKUP($A21,'5 A data'!$A$5:$U$650,7,FALSE)*slidewire_res</f>
        <v>1E-3</v>
      </c>
      <c r="R21" s="347">
        <f t="shared" si="11"/>
        <v>-1.6000000000000016E-3</v>
      </c>
      <c r="S21" s="4">
        <v>0</v>
      </c>
      <c r="T21" s="4">
        <f t="shared" si="32"/>
        <v>-1.8149999999999999E-2</v>
      </c>
      <c r="U21" s="29">
        <f t="shared" si="21"/>
        <v>-5.1558559799044995E-4</v>
      </c>
      <c r="V21" s="29">
        <f t="shared" si="1"/>
        <v>5.0000000000000001E-4</v>
      </c>
      <c r="W21" s="23">
        <f>VLOOKUP($D21,Uncertainties!$B$35:$D$41,2,FALSE)</f>
        <v>-1.0000000000000009E-3</v>
      </c>
      <c r="X21" s="23"/>
      <c r="Y21" s="24">
        <f t="shared" si="22"/>
        <v>-1.0003280437273962E-5</v>
      </c>
      <c r="Z21" s="23">
        <f t="shared" si="23"/>
        <v>1.8289298439272617E-2</v>
      </c>
      <c r="AA21" s="25">
        <f t="shared" si="24"/>
        <v>5.15488892073442</v>
      </c>
      <c r="AB21" s="26">
        <f t="shared" si="3"/>
        <v>2.5198825849270703</v>
      </c>
      <c r="AC21" s="14"/>
      <c r="AD21" s="635">
        <f>VLOOKUP(B21,TwoStageCT!A$10:H$72,7,FALSE)/10000</f>
        <v>1.6017059195029239E-6</v>
      </c>
      <c r="AE21" s="366">
        <f>IF(ABS(VLOOKUP($A21,'5 A data'!$A$5:$U$1148,6,FALSE))&lt;4.5,IF(ABS(VLOOKUP($A21,'5 A data'!$A$5:$U$1148,6,FALSE))&lt;1.25,0.0008,0.002),0.004)*VLOOKUP($A21,'5 A data'!$A$5:$U$1148,7,FALSE)*25*RADIANS(1/60)*100</f>
        <v>2.9088820866572159E-3</v>
      </c>
      <c r="AF21" s="23">
        <f t="shared" si="25"/>
        <v>2.9088820866572163E-3</v>
      </c>
      <c r="AG21" s="29">
        <f t="shared" si="26"/>
        <v>1.893064209470979E-4</v>
      </c>
      <c r="AH21" s="4">
        <f t="shared" si="33"/>
        <v>2.2252947962927705E-2</v>
      </c>
      <c r="AI21" s="4">
        <f t="shared" si="27"/>
        <v>7.5722568378839162E-4</v>
      </c>
      <c r="AJ21" s="4">
        <f t="shared" si="4"/>
        <v>5.0000000000000001E-4</v>
      </c>
      <c r="AK21" s="21">
        <f>VLOOKUP($D21,Uncertainties!$B$35:$D$41,3,FALSE)</f>
        <v>-2.908882086657183E-3</v>
      </c>
      <c r="AL21" s="21"/>
      <c r="AM21" s="369">
        <f>SQRT((VLOOKUP($A21,'5 A data'!$A$5:$U$1148,7,FALSE)*mutual_ind)^2+(aux_CT_phase*J21)^2)</f>
        <v>1.7013498870354781E-3</v>
      </c>
      <c r="AN21" s="29">
        <f t="shared" si="28"/>
        <v>2.2898303423698706E-2</v>
      </c>
      <c r="AO21" s="14">
        <f t="shared" si="29"/>
        <v>5.6016151526411857</v>
      </c>
      <c r="AP21" s="27">
        <f t="shared" si="5"/>
        <v>2.4644138495907129</v>
      </c>
      <c r="AS21" s="27">
        <f>VLOOKUP($B21,TwoStageCT!$A$10:$H$72,5,FALSE)</f>
        <v>42.291164682130272</v>
      </c>
      <c r="AT21" s="27">
        <f>VLOOKUP($B21,TwoStageCT!$A$10:$H$72,8,FALSE)</f>
        <v>48.978667479860043</v>
      </c>
    </row>
    <row r="22" spans="1:46" ht="13.15" customHeight="1" x14ac:dyDescent="0.2">
      <c r="A22">
        <v>112</v>
      </c>
      <c r="B22" s="5" t="str">
        <f>B4&amp;D22</f>
        <v>120/200100</v>
      </c>
      <c r="C22" s="72">
        <f>VLOOKUP($A22,'5 A data'!$A$5:$U$650,3,FALSE)</f>
        <v>2.1000057980615688E-2</v>
      </c>
      <c r="D22" s="164">
        <f>ROUND(VLOOKUP($A22,'5 A data'!$A$5:$U$650,9,FALSE)/10,0)*10</f>
        <v>100</v>
      </c>
      <c r="E22" s="23">
        <f t="shared" si="6"/>
        <v>0.99936709902044762</v>
      </c>
      <c r="F22" s="23">
        <f t="shared" si="7"/>
        <v>1.0011822386327505</v>
      </c>
      <c r="G22" s="486">
        <f>VLOOKUP(B22,TwoStageCT!A$10:H$72,3,FALSE)/10000</f>
        <v>1.6881396356939836E-5</v>
      </c>
      <c r="H22" s="486">
        <f>VLOOKUP(B22,TwoStageCT!A$10:H$72,6,FALSE)/10000</f>
        <v>7.3590724152435355E-6</v>
      </c>
      <c r="I22" s="19">
        <f>VLOOKUP($A22,'5 A data'!$A$5:$U$650,10,FALSE)</f>
        <v>-0.121</v>
      </c>
      <c r="J22" s="32">
        <f>VLOOKUP($A22,'5 A data'!$A$5:$U$650,11,FALSE)</f>
        <v>0.17453292519943295</v>
      </c>
      <c r="K22" s="31"/>
      <c r="L22" s="31"/>
      <c r="M22" s="31">
        <f t="shared" si="30"/>
        <v>-0.12090653758511721</v>
      </c>
      <c r="N22" s="31">
        <f t="shared" si="31"/>
        <v>0.17474662383870593</v>
      </c>
      <c r="O22" s="20"/>
      <c r="P22" s="634">
        <f>VLOOKUP(B22,TwoStageCT!A$10:H$72,4,FALSE)/10000</f>
        <v>2.4131313466023584E-6</v>
      </c>
      <c r="Q22" s="58">
        <f>VLOOKUP($A22,'5 A data'!$A$5:$U$650,7,FALSE)*slidewire_res</f>
        <v>1E-3</v>
      </c>
      <c r="R22" s="347">
        <f t="shared" si="11"/>
        <v>-4.000000000000004E-4</v>
      </c>
      <c r="S22" s="4">
        <v>0</v>
      </c>
      <c r="T22" s="4">
        <f t="shared" si="32"/>
        <v>-1.745E-2</v>
      </c>
      <c r="U22" s="29">
        <f t="shared" si="21"/>
        <v>-4.8362615034046888E-4</v>
      </c>
      <c r="V22" s="29">
        <f t="shared" si="1"/>
        <v>5.0000000000000001E-4</v>
      </c>
      <c r="W22" s="23">
        <f>VLOOKUP($D22,Uncertainties!$B$35:$D$41,2,FALSE)</f>
        <v>1.999999999999974E-3</v>
      </c>
      <c r="X22" s="23"/>
      <c r="Y22" s="24">
        <f t="shared" si="22"/>
        <v>-9.3829219605437922E-6</v>
      </c>
      <c r="Z22" s="23">
        <f t="shared" si="23"/>
        <v>1.7610976353278102E-2</v>
      </c>
      <c r="AA22" s="25">
        <f t="shared" si="24"/>
        <v>5.1866469501073826</v>
      </c>
      <c r="AB22" s="26">
        <f t="shared" si="3"/>
        <v>2.515534121477363</v>
      </c>
      <c r="AC22" s="14"/>
      <c r="AD22" s="635">
        <f>VLOOKUP(B22,TwoStageCT!A$10:H$72,7,FALSE)/10000</f>
        <v>1.6933288916776063E-6</v>
      </c>
      <c r="AE22" s="366">
        <f>IF(ABS(VLOOKUP($A22,'5 A data'!$A$5:$U$1148,6,FALSE))&lt;4.5,IF(ABS(VLOOKUP($A22,'5 A data'!$A$5:$U$1148,6,FALSE))&lt;1.25,0.0008,0.002),0.004)*VLOOKUP($A22,'5 A data'!$A$5:$U$1148,7,FALSE)*25*RADIANS(1/60)*100</f>
        <v>2.9088820866572159E-3</v>
      </c>
      <c r="AF22" s="23">
        <f t="shared" si="25"/>
        <v>1.1635528346628844E-3</v>
      </c>
      <c r="AG22" s="29">
        <f t="shared" si="26"/>
        <v>1.7474662383870594E-4</v>
      </c>
      <c r="AH22" s="4">
        <f t="shared" si="33"/>
        <v>1.7453292519943292E-2</v>
      </c>
      <c r="AI22" s="4">
        <f t="shared" si="27"/>
        <v>6.9898649535482375E-4</v>
      </c>
      <c r="AJ22" s="4">
        <f t="shared" si="4"/>
        <v>5.0000000000000001E-4</v>
      </c>
      <c r="AK22" s="21">
        <f>VLOOKUP($D22,Uncertainties!$B$35:$D$41,3,FALSE)</f>
        <v>-2.9088820866572385E-3</v>
      </c>
      <c r="AL22" s="21"/>
      <c r="AM22" s="369">
        <f>SQRT((VLOOKUP($A22,'5 A data'!$A$5:$U$1148,7,FALSE)*mutual_ind)^2+(aux_CT_phase*J22)^2)</f>
        <v>1.7011836780036968E-3</v>
      </c>
      <c r="AN22" s="29">
        <f t="shared" si="28"/>
        <v>1.8070905130922785E-2</v>
      </c>
      <c r="AO22" s="14">
        <f t="shared" si="29"/>
        <v>5.7393423270485426</v>
      </c>
      <c r="AP22" s="27">
        <f t="shared" si="5"/>
        <v>2.4494902488501604</v>
      </c>
      <c r="AS22" s="27">
        <f>VLOOKUP($B22,TwoStageCT!$A$10:$H$72,5,FALSE)</f>
        <v>59.567261398457461</v>
      </c>
      <c r="AT22" s="27">
        <f>VLOOKUP($B22,TwoStageCT!$A$10:$H$72,8,FALSE)</f>
        <v>45.732629829898706</v>
      </c>
    </row>
    <row r="23" spans="1:46" ht="13.15" customHeight="1" x14ac:dyDescent="0.2">
      <c r="A23" s="68">
        <v>113</v>
      </c>
      <c r="B23" s="5" t="str">
        <f>B4&amp;D23</f>
        <v>120/200120</v>
      </c>
      <c r="C23" s="72">
        <f>VLOOKUP($A23,'5 A data'!$A$5:$U$650,3,FALSE)</f>
        <v>2.1000057980615688E-2</v>
      </c>
      <c r="D23" s="164">
        <f>ROUND(VLOOKUP($A23,'5 A data'!$A$5:$U$650,9,FALSE)/10,0)*10</f>
        <v>120</v>
      </c>
      <c r="E23" s="23">
        <f t="shared" si="6"/>
        <v>0.99936709902044762</v>
      </c>
      <c r="F23" s="23">
        <f t="shared" si="7"/>
        <v>1.0011822386327505</v>
      </c>
      <c r="G23" s="486">
        <f>VLOOKUP(B23,TwoStageCT!A$10:H$72,3,FALSE)/10000</f>
        <v>1.5213305302217845E-5</v>
      </c>
      <c r="H23" s="486">
        <f>VLOOKUP(B23,TwoStageCT!A$10:H$72,6,FALSE)/10000</f>
        <v>7.5885012454326174E-6</v>
      </c>
      <c r="I23" s="19">
        <f>VLOOKUP($A23,'5 A data'!$A$5:$U$650,10,FALSE)</f>
        <v>-0.11899999999999999</v>
      </c>
      <c r="J23" s="32">
        <f>VLOOKUP($A23,'5 A data'!$A$5:$U$650,11,FALSE)</f>
        <v>0.16871516102611853</v>
      </c>
      <c r="K23" s="31"/>
      <c r="L23" s="31"/>
      <c r="M23" s="31">
        <f t="shared" si="30"/>
        <v>-0.11890947147813105</v>
      </c>
      <c r="N23" s="31">
        <f t="shared" si="31"/>
        <v>0.16892221110865976</v>
      </c>
      <c r="O23" s="20"/>
      <c r="P23" s="634">
        <f>VLOOKUP(B23,TwoStageCT!A$10:H$72,4,FALSE)/10000</f>
        <v>2.2681305202526645E-6</v>
      </c>
      <c r="Q23" s="58">
        <f>VLOOKUP($A23,'5 A data'!$A$5:$U$650,7,FALSE)*slidewire_res</f>
        <v>1E-3</v>
      </c>
      <c r="R23" s="347">
        <f t="shared" si="11"/>
        <v>0</v>
      </c>
      <c r="S23" s="4">
        <v>0</v>
      </c>
      <c r="T23" s="4">
        <f t="shared" si="32"/>
        <v>-1.6950000000000003E-2</v>
      </c>
      <c r="U23" s="29">
        <f t="shared" si="21"/>
        <v>-4.7563788591252422E-4</v>
      </c>
      <c r="V23" s="29">
        <f t="shared" si="1"/>
        <v>5.0000000000000001E-4</v>
      </c>
      <c r="W23" s="23">
        <f>VLOOKUP($D23,Uncertainties!$B$35:$D$41,2,FALSE)</f>
        <v>-1.0000000000000009E-3</v>
      </c>
      <c r="X23" s="23"/>
      <c r="Y23" s="24">
        <f t="shared" si="22"/>
        <v>-9.2278323413612514E-6</v>
      </c>
      <c r="Z23" s="23">
        <f t="shared" si="23"/>
        <v>1.702289110861669E-2</v>
      </c>
      <c r="AA23" s="25">
        <f t="shared" si="24"/>
        <v>5.0864703166013321</v>
      </c>
      <c r="AB23" s="26">
        <f t="shared" si="3"/>
        <v>2.5294889360287787</v>
      </c>
      <c r="AC23" s="14"/>
      <c r="AD23" s="635">
        <f>VLOOKUP(B23,TwoStageCT!A$10:H$72,7,FALSE)/10000</f>
        <v>1.7092397901526349E-6</v>
      </c>
      <c r="AE23" s="366">
        <f>IF(ABS(VLOOKUP($A23,'5 A data'!$A$5:$U$1148,6,FALSE))&lt;4.5,IF(ABS(VLOOKUP($A23,'5 A data'!$A$5:$U$1148,6,FALSE))&lt;1.25,0.0008,0.002),0.004)*VLOOKUP($A23,'5 A data'!$A$5:$U$1148,7,FALSE)*25*RADIANS(1/60)*100</f>
        <v>2.9088820866572159E-3</v>
      </c>
      <c r="AF23" s="23">
        <f t="shared" si="25"/>
        <v>0</v>
      </c>
      <c r="AG23" s="29">
        <f t="shared" si="26"/>
        <v>1.6892221110865978E-4</v>
      </c>
      <c r="AH23" s="4">
        <f t="shared" si="33"/>
        <v>1.5707963267948967E-2</v>
      </c>
      <c r="AI23" s="4">
        <f t="shared" si="27"/>
        <v>6.756888444346391E-4</v>
      </c>
      <c r="AJ23" s="4">
        <f t="shared" si="4"/>
        <v>5.0000000000000001E-4</v>
      </c>
      <c r="AK23" s="21">
        <f>VLOOKUP($D23,Uncertainties!$B$35:$D$41,3,FALSE)</f>
        <v>1.4544410433285915E-3</v>
      </c>
      <c r="AL23" s="21"/>
      <c r="AM23" s="369">
        <f>SQRT((VLOOKUP($A23,'5 A data'!$A$5:$U$1148,7,FALSE)*mutual_ind)^2+(aux_CT_phase*J23)^2)</f>
        <v>1.7011209132495365E-3</v>
      </c>
      <c r="AN23" s="29">
        <f t="shared" si="28"/>
        <v>1.6153823361072225E-2</v>
      </c>
      <c r="AO23" s="14">
        <f t="shared" si="29"/>
        <v>5.5847921299622687</v>
      </c>
      <c r="AP23" s="27">
        <f t="shared" si="5"/>
        <v>2.4663002623576085</v>
      </c>
      <c r="AS23" s="27">
        <f>VLOOKUP($B23,TwoStageCT!$A$10:$H$72,5,FALSE)</f>
        <v>68.00069900375496</v>
      </c>
      <c r="AT23" s="27">
        <f>VLOOKUP($B23,TwoStageCT!$A$10:$H$72,8,FALSE)</f>
        <v>47.345132453902309</v>
      </c>
    </row>
    <row r="24" spans="1:46" ht="13.15" customHeight="1" x14ac:dyDescent="0.2">
      <c r="A24">
        <v>114</v>
      </c>
      <c r="P24" s="97"/>
      <c r="R24" s="42"/>
      <c r="Z24" s="29"/>
      <c r="AA24" s="25"/>
      <c r="AD24" s="250"/>
      <c r="AN24" s="29"/>
      <c r="AO24" s="14"/>
    </row>
    <row r="25" spans="1:46" ht="13.15" customHeight="1" x14ac:dyDescent="0.2">
      <c r="A25" s="68">
        <v>115</v>
      </c>
      <c r="B25" s="474" t="str">
        <f>MID(D25,FIND("AT,",D25,1)-4,3)&amp;"/"&amp;MID(D25,FIND("AT,",D25,1)+4,3)</f>
        <v>120/200</v>
      </c>
      <c r="C25" t="s">
        <v>113</v>
      </c>
      <c r="D25" s="161" t="str">
        <f>VLOOKUP($A25,'5 A data'!$A$5:$U$650,2,FALSE)</f>
        <v>200/5 Range, 1 turns @ 5VA burden, vs 120 AT, 200 range, 2 Stage CT</v>
      </c>
      <c r="E25" s="158"/>
      <c r="F25" s="158"/>
      <c r="G25" s="158"/>
      <c r="H25" s="158"/>
      <c r="I25" s="158"/>
      <c r="J25" s="158"/>
      <c r="K25" s="158"/>
      <c r="P25" s="97"/>
      <c r="R25" s="42"/>
      <c r="Z25" s="29"/>
      <c r="AA25" s="25"/>
      <c r="AD25" s="250"/>
      <c r="AN25" s="29"/>
      <c r="AO25" s="14"/>
    </row>
    <row r="26" spans="1:46" ht="13.15" customHeight="1" x14ac:dyDescent="0.2">
      <c r="A26">
        <v>116</v>
      </c>
      <c r="C26" s="99"/>
      <c r="D26" s="19"/>
      <c r="M26" s="638" t="s">
        <v>160</v>
      </c>
      <c r="N26" s="638"/>
      <c r="O26" s="19"/>
      <c r="P26" s="97"/>
      <c r="Z26" s="29"/>
      <c r="AA26" s="25"/>
      <c r="AD26" s="250"/>
      <c r="AN26" s="29"/>
      <c r="AO26" s="14"/>
    </row>
    <row r="27" spans="1:46" ht="13.15" customHeight="1" x14ac:dyDescent="0.2">
      <c r="A27" s="68">
        <v>117</v>
      </c>
      <c r="B27" s="5" t="str">
        <f>B25&amp;D27</f>
        <v>120/2005</v>
      </c>
      <c r="C27" s="399">
        <f>VLOOKUP($A27,'5 A data'!$A$5:$U$650,3,FALSE)</f>
        <v>0.21600059637204713</v>
      </c>
      <c r="D27" s="19">
        <f>ROUND(VLOOKUP($A27,'5 A data'!$A$5:$U$650,9,FALSE),0)</f>
        <v>5</v>
      </c>
      <c r="E27" s="23">
        <f>TestSetRatioCor</f>
        <v>0.99936709902044762</v>
      </c>
      <c r="F27" s="23">
        <f>TestSetPhaseCor</f>
        <v>1.0011822386327505</v>
      </c>
      <c r="G27" s="486">
        <f>VLOOKUP(B27,TwoStageCT!A$10:H$72,3,FALSE)/10000</f>
        <v>3.6805932694608759E-5</v>
      </c>
      <c r="H27" s="486">
        <f>VLOOKUP(B27,TwoStageCT!A$10:H$72,6,FALSE)/10000</f>
        <v>4.6965346060309593E-6</v>
      </c>
      <c r="I27" s="83">
        <f>VLOOKUP($A27,'5 A data'!$A$5:$U$650,10,FALSE)</f>
        <v>-0.68</v>
      </c>
      <c r="J27" s="31">
        <f>VLOOKUP($A27,'5 A data'!$A$5:$U$650,11,FALSE)</f>
        <v>1.041379787023283</v>
      </c>
      <c r="K27" s="22">
        <f t="shared" ref="K27:L30" si="34">I27-I35</f>
        <v>-0.44800000000000006</v>
      </c>
      <c r="L27" s="22">
        <f t="shared" si="34"/>
        <v>0.64577182323790172</v>
      </c>
      <c r="M27" s="31">
        <f>I27*E27+G27</f>
        <v>-0.67953282140120985</v>
      </c>
      <c r="N27" s="31">
        <f>J27*F27+H27</f>
        <v>1.0426156429734734</v>
      </c>
      <c r="O27" s="20"/>
      <c r="P27" s="634">
        <f>VLOOKUP(B27,TwoStageCT!A$10:H$72,4,FALSE)/10000</f>
        <v>6.4429594675743464E-6</v>
      </c>
      <c r="Q27" s="58">
        <f>VLOOKUP($A27,'5 A data'!$A$5:$U$650,7,FALSE)*slidewire_res</f>
        <v>2E-3</v>
      </c>
      <c r="R27" s="347">
        <f t="shared" ref="R27:R33" si="35">current_coef*(I27-I28)*IF(I28=0,0,1)</f>
        <v>-1.5200000000000014E-2</v>
      </c>
      <c r="S27" s="21">
        <v>0</v>
      </c>
      <c r="T27" s="21">
        <f>BurdenUnc*K27</f>
        <v>-2.2400000000000003E-2</v>
      </c>
      <c r="U27" s="23">
        <f t="shared" ref="U27:U33" si="36">0.004*M27</f>
        <v>-2.7181312856048396E-3</v>
      </c>
      <c r="V27" s="23">
        <f t="shared" ref="V27:V41" si="37">earthing_Re</f>
        <v>5.0000000000000001E-4</v>
      </c>
      <c r="W27" s="23">
        <f>VLOOKUP($D27,Uncertainties!$B$35:$D$41,2,FALSE)</f>
        <v>5.0000000000000044E-3</v>
      </c>
      <c r="X27" s="23"/>
      <c r="Y27" s="24">
        <f t="shared" ref="Y27:Y33" si="38">I27*aux_CT_ratio</f>
        <v>-5.2730470522064296E-5</v>
      </c>
      <c r="Z27" s="23">
        <f t="shared" ref="Z27:Z33" si="39">SQRT(SUMSQ(P27:Y27))</f>
        <v>2.7738800617547126E-2</v>
      </c>
      <c r="AA27" s="25">
        <f t="shared" ref="AA27:AA33" si="40">DoF_A(P27:Y27,$P$7:$Y$7)</f>
        <v>9.6908480389993112</v>
      </c>
      <c r="AB27" s="26">
        <f t="shared" ref="AB27:AB33" si="41">CoverFactor(AA27)</f>
        <v>2.2261268727832428</v>
      </c>
      <c r="AC27" s="14"/>
      <c r="AD27" s="635">
        <f>VLOOKUP(B27,TwoStageCT!A$10:H$72,7,FALSE)/10000</f>
        <v>4.6788986298833412E-6</v>
      </c>
      <c r="AE27" s="366">
        <f>IF(ABS(VLOOKUP($A27,'5 A data'!$A$5:$U$1148,6,FALSE))&lt;4.5,IF(ABS(VLOOKUP($A27,'5 A data'!$A$5:$U$1148,6,FALSE))&lt;1.25,0.0008,0.002),0.004)*VLOOKUP($A27,'5 A data'!$A$5:$U$1148,7,FALSE)*25*RADIANS(1/60)*100</f>
        <v>5.8177641733144318E-3</v>
      </c>
      <c r="AF27" s="23">
        <f>current_coef*(J27-J28)*IF(J28=0,0,1)</f>
        <v>2.9088820866572142E-2</v>
      </c>
      <c r="AG27" s="29">
        <f t="shared" ref="AG27:AG33" si="42">0.001*N27</f>
        <v>1.0426156429734735E-3</v>
      </c>
      <c r="AH27" s="4">
        <f>BurdenUnc*L27</f>
        <v>3.2288591161895086E-2</v>
      </c>
      <c r="AI27" s="4">
        <f t="shared" ref="AI27:AI33" si="43">0.004*N27</f>
        <v>4.170462571893894E-3</v>
      </c>
      <c r="AJ27" s="4">
        <f t="shared" ref="AJ27:AJ41" si="44">earthing_Im</f>
        <v>5.0000000000000001E-4</v>
      </c>
      <c r="AK27" s="21">
        <f>VLOOKUP($D27,Uncertainties!$B$35:$D$41,3,FALSE)</f>
        <v>-1.1635528346628732E-2</v>
      </c>
      <c r="AL27" s="21"/>
      <c r="AM27" s="369">
        <f>SQRT((VLOOKUP($A27,'5 A data'!$A$5:$U$1148,7,FALSE)*mutual_ind)^2+(aux_CT_phase*J27)^2)</f>
        <v>3.4174614968506926E-3</v>
      </c>
      <c r="AN27" s="29">
        <f t="shared" ref="AN27:AN33" si="45">SQRT(SUMSQ(AD27:AM27))</f>
        <v>4.5698505324858536E-2</v>
      </c>
      <c r="AO27" s="14">
        <f t="shared" ref="AO27:AO33" si="46">DoF_A(AD27:AM27,$AD$7:$AM$7)</f>
        <v>12.035464567128258</v>
      </c>
      <c r="AP27" s="27">
        <f t="shared" ref="AP27:AP41" si="47">CoverFactor(AO27)</f>
        <v>2.1699476977689418</v>
      </c>
      <c r="AS27" s="27">
        <f>VLOOKUP($B27,TwoStageCT!$A$10:$H$72,5,FALSE)</f>
        <v>26.31606241070681</v>
      </c>
      <c r="AT27" s="27">
        <f>VLOOKUP($B27,TwoStageCT!$A$10:$H$72,8,FALSE)</f>
        <v>9.9413455012810044</v>
      </c>
    </row>
    <row r="28" spans="1:46" ht="13.15" customHeight="1" x14ac:dyDescent="0.2">
      <c r="A28">
        <v>118</v>
      </c>
      <c r="B28" s="5" t="str">
        <f>B25&amp;D28</f>
        <v>120/20010</v>
      </c>
      <c r="C28" s="83">
        <f>VLOOKUP($A28,'5 A data'!$A$5:$U$650,3,FALSE)</f>
        <v>0.21600059637204713</v>
      </c>
      <c r="D28" s="163">
        <f>ROUND(VLOOKUP($A28,'5 A data'!$A$5:$U$650,9,FALSE)/10,0)*10</f>
        <v>10</v>
      </c>
      <c r="E28" s="23">
        <f t="shared" ref="E28:E41" si="48">TestSetRatioCor</f>
        <v>0.99936709902044762</v>
      </c>
      <c r="F28" s="23">
        <f t="shared" ref="F28:F41" si="49">TestSetPhaseCor</f>
        <v>1.0011822386327505</v>
      </c>
      <c r="G28" s="486">
        <f>VLOOKUP(B28,TwoStageCT!A$10:H$72,3,FALSE)/10000</f>
        <v>3.4690340839935311E-5</v>
      </c>
      <c r="H28" s="486">
        <f>VLOOKUP(B28,TwoStageCT!A$10:H$72,6,FALSE)/10000</f>
        <v>2.6036797087866982E-6</v>
      </c>
      <c r="I28" s="19">
        <f>VLOOKUP($A28,'5 A data'!$A$5:$U$650,10,FALSE)</f>
        <v>-0.60399999999999998</v>
      </c>
      <c r="J28" s="32">
        <f>VLOOKUP($A28,'5 A data'!$A$5:$U$650,11,FALSE)</f>
        <v>0.89593568269042234</v>
      </c>
      <c r="K28" s="22">
        <f t="shared" si="34"/>
        <v>-0.41899999999999998</v>
      </c>
      <c r="L28" s="22">
        <f t="shared" si="34"/>
        <v>0.59922970985138635</v>
      </c>
      <c r="M28" s="31">
        <f t="shared" ref="M28:M33" si="50">I28*E28+G28</f>
        <v>-0.60358303746751041</v>
      </c>
      <c r="N28" s="31">
        <f t="shared" ref="N28:N33" si="51">J28*F28+H28</f>
        <v>0.89699749614666746</v>
      </c>
      <c r="O28" s="20"/>
      <c r="P28" s="634">
        <f>VLOOKUP(B28,TwoStageCT!A$10:H$72,4,FALSE)/10000</f>
        <v>5.0170517941146892E-6</v>
      </c>
      <c r="Q28" s="58">
        <f>VLOOKUP($A28,'5 A data'!$A$5:$U$650,7,FALSE)*slidewire_res</f>
        <v>2E-3</v>
      </c>
      <c r="R28" s="347">
        <f t="shared" si="35"/>
        <v>-1.1199999999999988E-2</v>
      </c>
      <c r="S28" s="4">
        <v>0</v>
      </c>
      <c r="T28" s="21">
        <f t="shared" ref="T28:T33" si="52">BurdenUnc*K28</f>
        <v>-2.095E-2</v>
      </c>
      <c r="U28" s="29">
        <f t="shared" si="36"/>
        <v>-2.4143321498700417E-3</v>
      </c>
      <c r="V28" s="29">
        <f t="shared" si="37"/>
        <v>5.0000000000000001E-4</v>
      </c>
      <c r="W28" s="23">
        <f>VLOOKUP($D28,Uncertainties!$B$35:$D$41,2,FALSE)</f>
        <v>2.5000000000000022E-3</v>
      </c>
      <c r="X28" s="23"/>
      <c r="Y28" s="24">
        <f t="shared" si="38"/>
        <v>-4.6837064993127693E-5</v>
      </c>
      <c r="Z28" s="23">
        <f t="shared" si="39"/>
        <v>2.4097172419422195E-2</v>
      </c>
      <c r="AA28" s="25">
        <f t="shared" si="40"/>
        <v>8.0883710655078183</v>
      </c>
      <c r="AB28" s="26">
        <f t="shared" si="41"/>
        <v>2.2861400214380208</v>
      </c>
      <c r="AC28" s="14"/>
      <c r="AD28" s="635">
        <f>VLOOKUP(B28,TwoStageCT!A$10:H$72,7,FALSE)/10000</f>
        <v>2.600738521505678E-6</v>
      </c>
      <c r="AE28" s="366">
        <f>IF(ABS(VLOOKUP($A28,'5 A data'!$A$5:$U$1148,6,FALSE))&lt;4.5,IF(ABS(VLOOKUP($A28,'5 A data'!$A$5:$U$1148,6,FALSE))&lt;1.25,0.0008,0.002),0.004)*VLOOKUP($A28,'5 A data'!$A$5:$U$1148,7,FALSE)*25*RADIANS(1/60)*100</f>
        <v>5.8177641733144318E-3</v>
      </c>
      <c r="AF28" s="23">
        <f t="shared" ref="AF28:AF33" si="53">current_coef*(J28-J29)*IF(J29=0,0,1)</f>
        <v>2.2107503858594793E-2</v>
      </c>
      <c r="AG28" s="29">
        <f t="shared" si="42"/>
        <v>8.9699749614666744E-4</v>
      </c>
      <c r="AH28" s="4">
        <f t="shared" ref="AH28:AH33" si="54">BurdenUnc*L28</f>
        <v>2.9961485492569318E-2</v>
      </c>
      <c r="AI28" s="4">
        <f t="shared" si="43"/>
        <v>3.5879899845866698E-3</v>
      </c>
      <c r="AJ28" s="4">
        <f t="shared" si="44"/>
        <v>5.0000000000000001E-4</v>
      </c>
      <c r="AK28" s="21">
        <f>VLOOKUP($D28,Uncertainties!$B$35:$D$41,3,FALSE)</f>
        <v>4.363323129985941E-3</v>
      </c>
      <c r="AL28" s="21"/>
      <c r="AM28" s="369">
        <f>SQRT((VLOOKUP($A28,'5 A data'!$A$5:$U$1148,7,FALSE)*mutual_ind)^2+(aux_CT_phase*J28)^2)</f>
        <v>3.4130501824100883E-3</v>
      </c>
      <c r="AN28" s="29">
        <f t="shared" si="45"/>
        <v>3.8273940265424397E-2</v>
      </c>
      <c r="AO28" s="14">
        <f t="shared" si="46"/>
        <v>10.254688837573875</v>
      </c>
      <c r="AP28" s="27">
        <f t="shared" si="47"/>
        <v>2.2100014908642089</v>
      </c>
      <c r="AS28" s="27">
        <f>VLOOKUP($B28,TwoStageCT!$A$10:$H$72,5,FALSE)</f>
        <v>38.265350164989712</v>
      </c>
      <c r="AT28" s="27">
        <f>VLOOKUP($B28,TwoStageCT!$A$10:$H$72,8,FALSE)</f>
        <v>16.586629386739094</v>
      </c>
    </row>
    <row r="29" spans="1:46" ht="13.15" customHeight="1" x14ac:dyDescent="0.2">
      <c r="A29" s="68">
        <v>119</v>
      </c>
      <c r="B29" s="5" t="str">
        <f>B25&amp;D29</f>
        <v>120/20020</v>
      </c>
      <c r="C29" s="83">
        <f>VLOOKUP($A29,'5 A data'!$A$5:$U$650,3,FALSE)</f>
        <v>0.21600059637204713</v>
      </c>
      <c r="D29" s="163">
        <f>ROUND(VLOOKUP($A29,'5 A data'!$A$5:$U$650,9,FALSE)/10,0)*10</f>
        <v>20</v>
      </c>
      <c r="E29" s="23">
        <f t="shared" si="48"/>
        <v>0.99936709902044762</v>
      </c>
      <c r="F29" s="23">
        <f t="shared" si="49"/>
        <v>1.0011822386327505</v>
      </c>
      <c r="G29" s="486">
        <f>VLOOKUP(B29,TwoStageCT!A$10:H$72,3,FALSE)/10000</f>
        <v>3.1280516301103777E-5</v>
      </c>
      <c r="H29" s="486">
        <f>VLOOKUP(B29,TwoStageCT!A$10:H$72,6,FALSE)/10000</f>
        <v>4.5493238991726806E-6</v>
      </c>
      <c r="I29" s="19">
        <f>VLOOKUP($A29,'5 A data'!$A$5:$U$650,10,FALSE)</f>
        <v>-0.54800000000000004</v>
      </c>
      <c r="J29" s="32">
        <f>VLOOKUP($A29,'5 A data'!$A$5:$U$650,11,FALSE)</f>
        <v>0.78539816339744839</v>
      </c>
      <c r="K29" s="22">
        <f t="shared" si="34"/>
        <v>-0.39100000000000001</v>
      </c>
      <c r="L29" s="22">
        <f t="shared" si="34"/>
        <v>0.54396095020489943</v>
      </c>
      <c r="M29" s="31">
        <f t="shared" si="50"/>
        <v>-0.54762188974690429</v>
      </c>
      <c r="N29" s="31">
        <f t="shared" si="51"/>
        <v>0.78633124077220728</v>
      </c>
      <c r="O29" s="20"/>
      <c r="P29" s="634">
        <f>VLOOKUP(B29,TwoStageCT!A$10:H$72,4,FALSE)/10000</f>
        <v>4.17832023036102E-6</v>
      </c>
      <c r="Q29" s="58">
        <f>VLOOKUP($A29,'5 A data'!$A$5:$U$650,7,FALSE)*slidewire_res</f>
        <v>2E-3</v>
      </c>
      <c r="R29" s="347">
        <f t="shared" si="35"/>
        <v>-9.2000000000000085E-3</v>
      </c>
      <c r="S29" s="4">
        <v>0</v>
      </c>
      <c r="T29" s="21">
        <f t="shared" si="52"/>
        <v>-1.9550000000000001E-2</v>
      </c>
      <c r="U29" s="29">
        <f t="shared" si="36"/>
        <v>-2.1904875589876171E-3</v>
      </c>
      <c r="V29" s="29">
        <f t="shared" si="37"/>
        <v>5.0000000000000001E-4</v>
      </c>
      <c r="W29" s="23">
        <f>VLOOKUP($D29,Uncertainties!$B$35:$D$41,2,FALSE)</f>
        <v>-1.0000000000000009E-3</v>
      </c>
      <c r="X29" s="23"/>
      <c r="Y29" s="24">
        <f t="shared" si="38"/>
        <v>-4.2494555656016523E-5</v>
      </c>
      <c r="Z29" s="23">
        <f t="shared" si="39"/>
        <v>2.183786983640346E-2</v>
      </c>
      <c r="AA29" s="25">
        <f t="shared" si="40"/>
        <v>7.4185575039707006</v>
      </c>
      <c r="AB29" s="26">
        <f t="shared" si="41"/>
        <v>2.3202628724858463</v>
      </c>
      <c r="AC29" s="14"/>
      <c r="AD29" s="635">
        <f>VLOOKUP(B29,TwoStageCT!A$10:H$72,7,FALSE)/10000</f>
        <v>1.9770475075939077E-6</v>
      </c>
      <c r="AE29" s="366">
        <f>IF(ABS(VLOOKUP($A29,'5 A data'!$A$5:$U$1148,6,FALSE))&lt;4.5,IF(ABS(VLOOKUP($A29,'5 A data'!$A$5:$U$1148,6,FALSE))&lt;1.25,0.0008,0.002),0.004)*VLOOKUP($A29,'5 A data'!$A$5:$U$1148,7,FALSE)*25*RADIANS(1/60)*100</f>
        <v>5.8177641733144318E-3</v>
      </c>
      <c r="AF29" s="23">
        <f t="shared" si="53"/>
        <v>1.6871516102611884E-2</v>
      </c>
      <c r="AG29" s="29">
        <f t="shared" si="42"/>
        <v>7.8633124077220732E-4</v>
      </c>
      <c r="AH29" s="4">
        <f t="shared" si="54"/>
        <v>2.7198047510244974E-2</v>
      </c>
      <c r="AI29" s="4">
        <f t="shared" si="43"/>
        <v>3.1453249630888293E-3</v>
      </c>
      <c r="AJ29" s="4">
        <f t="shared" si="44"/>
        <v>5.0000000000000001E-4</v>
      </c>
      <c r="AK29" s="21">
        <f>VLOOKUP($D29,Uncertainties!$B$35:$D$41,3,FALSE)</f>
        <v>-1.454441043328647E-3</v>
      </c>
      <c r="AL29" s="21"/>
      <c r="AM29" s="369">
        <f>SQRT((VLOOKUP($A29,'5 A data'!$A$5:$U$1148,7,FALSE)*mutual_ind)^2+(aux_CT_phase*J29)^2)</f>
        <v>3.4101374462899821E-3</v>
      </c>
      <c r="AN29" s="29">
        <f t="shared" si="45"/>
        <v>3.2904924402739559E-2</v>
      </c>
      <c r="AO29" s="14">
        <f t="shared" si="46"/>
        <v>9.3098124729741496</v>
      </c>
      <c r="AP29" s="27">
        <f t="shared" si="47"/>
        <v>2.2382748055208714</v>
      </c>
      <c r="AS29" s="27">
        <f>VLOOKUP($B29,TwoStageCT!$A$10:$H$72,5,FALSE)</f>
        <v>36.657700403051521</v>
      </c>
      <c r="AT29" s="27">
        <f>VLOOKUP($B29,TwoStageCT!$A$10:$H$72,8,FALSE)</f>
        <v>53.09445811850042</v>
      </c>
    </row>
    <row r="30" spans="1:46" ht="13.15" customHeight="1" x14ac:dyDescent="0.2">
      <c r="A30">
        <v>120</v>
      </c>
      <c r="B30" s="5" t="str">
        <f>B25&amp;D30</f>
        <v>120/20040</v>
      </c>
      <c r="C30" s="83">
        <f>VLOOKUP($A30,'5 A data'!$A$5:$U$650,3,FALSE)</f>
        <v>0.21600059637204713</v>
      </c>
      <c r="D30" s="163">
        <f>ROUND(VLOOKUP($A30,'5 A data'!$A$5:$U$650,9,FALSE)/10,0)*10</f>
        <v>40</v>
      </c>
      <c r="E30" s="23">
        <f t="shared" si="48"/>
        <v>0.99936709902044762</v>
      </c>
      <c r="F30" s="23">
        <f t="shared" si="49"/>
        <v>1.0011822386327505</v>
      </c>
      <c r="G30" s="486">
        <f>VLOOKUP(B30,TwoStageCT!A$10:H$72,3,FALSE)/10000</f>
        <v>2.5200167333853628E-5</v>
      </c>
      <c r="H30" s="486">
        <f>VLOOKUP(B30,TwoStageCT!A$10:H$72,6,FALSE)/10000</f>
        <v>5.7416420558101514E-6</v>
      </c>
      <c r="I30" s="143">
        <f>VLOOKUP($A30,'5 A data'!$A$5:$U$650,10,FALSE)</f>
        <v>-0.502</v>
      </c>
      <c r="J30" s="145">
        <f>VLOOKUP($A30,'5 A data'!$A$5:$U$650,11,FALSE)</f>
        <v>0.70104058288438897</v>
      </c>
      <c r="K30" s="146">
        <f t="shared" si="34"/>
        <v>-0.36399999999999999</v>
      </c>
      <c r="L30" s="146">
        <f t="shared" si="34"/>
        <v>0.49596439577505524</v>
      </c>
      <c r="M30" s="31">
        <f t="shared" si="50"/>
        <v>-0.50165708354093086</v>
      </c>
      <c r="N30" s="31">
        <f t="shared" si="51"/>
        <v>0.70187512178665656</v>
      </c>
      <c r="O30" s="20"/>
      <c r="P30" s="634">
        <f>VLOOKUP(B30,TwoStageCT!A$10:H$72,4,FALSE)/10000</f>
        <v>3.3964590328801363E-6</v>
      </c>
      <c r="Q30" s="58">
        <f>VLOOKUP($A30,'5 A data'!$A$5:$U$650,7,FALSE)*slidewire_res</f>
        <v>2E-3</v>
      </c>
      <c r="R30" s="347">
        <f t="shared" si="35"/>
        <v>-2.0000000000000018E-3</v>
      </c>
      <c r="S30" s="4">
        <v>0</v>
      </c>
      <c r="T30" s="21">
        <f t="shared" si="52"/>
        <v>-1.8200000000000001E-2</v>
      </c>
      <c r="U30" s="29">
        <f t="shared" si="36"/>
        <v>-2.0066283341637235E-3</v>
      </c>
      <c r="V30" s="29">
        <f t="shared" si="37"/>
        <v>5.0000000000000001E-4</v>
      </c>
      <c r="W30" s="23">
        <f>VLOOKUP($D30,Uncertainties!$B$35:$D$41,2,FALSE)</f>
        <v>-1.0000000000000009E-3</v>
      </c>
      <c r="X30" s="23"/>
      <c r="Y30" s="24">
        <f t="shared" si="38"/>
        <v>-3.8927494414818048E-5</v>
      </c>
      <c r="Z30" s="23">
        <f t="shared" si="39"/>
        <v>1.8561198349169809E-2</v>
      </c>
      <c r="AA30" s="25">
        <f t="shared" si="40"/>
        <v>5.4064958452195073</v>
      </c>
      <c r="AB30" s="26">
        <f t="shared" si="41"/>
        <v>2.4872095906479617</v>
      </c>
      <c r="AC30" s="14"/>
      <c r="AD30" s="635">
        <f>VLOOKUP(B30,TwoStageCT!A$10:H$72,7,FALSE)/10000</f>
        <v>1.6849048737447556E-6</v>
      </c>
      <c r="AE30" s="366">
        <f>IF(ABS(VLOOKUP($A30,'5 A data'!$A$5:$U$1148,6,FALSE))&lt;4.5,IF(ABS(VLOOKUP($A30,'5 A data'!$A$5:$U$1148,6,FALSE))&lt;1.25,0.0008,0.002),0.004)*VLOOKUP($A30,'5 A data'!$A$5:$U$1148,7,FALSE)*25*RADIANS(1/60)*100</f>
        <v>5.8177641733144318E-3</v>
      </c>
      <c r="AF30" s="23">
        <f t="shared" si="53"/>
        <v>1.3380857598623175E-2</v>
      </c>
      <c r="AG30" s="29">
        <f t="shared" si="42"/>
        <v>7.0187512178665663E-4</v>
      </c>
      <c r="AH30" s="4">
        <f t="shared" si="54"/>
        <v>2.4798219788752764E-2</v>
      </c>
      <c r="AI30" s="4">
        <f t="shared" si="43"/>
        <v>2.8075004871466265E-3</v>
      </c>
      <c r="AJ30" s="4">
        <f t="shared" si="44"/>
        <v>5.0000000000000001E-4</v>
      </c>
      <c r="AK30" s="21">
        <f>VLOOKUP($D30,Uncertainties!$B$35:$D$41,3,FALSE)</f>
        <v>-2.908882086657183E-3</v>
      </c>
      <c r="AL30" s="21"/>
      <c r="AM30" s="369">
        <f>SQRT((VLOOKUP($A30,'5 A data'!$A$5:$U$1148,7,FALSE)*mutual_ind)^2+(aux_CT_phase*J30)^2)</f>
        <v>3.4081708315714461E-3</v>
      </c>
      <c r="AN30" s="29">
        <f t="shared" si="45"/>
        <v>2.9266830177938425E-2</v>
      </c>
      <c r="AO30" s="14">
        <f t="shared" si="46"/>
        <v>8.912561361895035</v>
      </c>
      <c r="AP30" s="27">
        <f t="shared" si="47"/>
        <v>2.2521994446141971</v>
      </c>
      <c r="AS30" s="27">
        <f>VLOOKUP($B30,TwoStageCT!$A$10:$H$72,5,FALSE)</f>
        <v>38.659909732018328</v>
      </c>
      <c r="AT30" s="27">
        <f>VLOOKUP($B30,TwoStageCT!$A$10:$H$72,8,FALSE)</f>
        <v>52.499330597885681</v>
      </c>
    </row>
    <row r="31" spans="1:46" ht="13.15" customHeight="1" x14ac:dyDescent="0.2">
      <c r="A31" s="68">
        <v>121</v>
      </c>
      <c r="B31" s="5" t="str">
        <f>B25&amp;D31</f>
        <v>120/20060</v>
      </c>
      <c r="C31" s="83">
        <f>VLOOKUP($A31,'5 A data'!$A$5:$U$650,3,FALSE)</f>
        <v>0.21600059637204713</v>
      </c>
      <c r="D31" s="163">
        <f>ROUND(VLOOKUP($A31,'5 A data'!$A$5:$U$650,9,FALSE)/10,0)*10</f>
        <v>60</v>
      </c>
      <c r="E31" s="23">
        <f t="shared" si="48"/>
        <v>0.99936709902044762</v>
      </c>
      <c r="F31" s="23">
        <f t="shared" si="49"/>
        <v>1.0011822386327505</v>
      </c>
      <c r="G31" s="486">
        <f>VLOOKUP(B31,TwoStageCT!A$10:H$72,3,FALSE)/10000</f>
        <v>2.195627602528684E-5</v>
      </c>
      <c r="H31" s="486">
        <f>VLOOKUP(B31,TwoStageCT!A$10:H$72,6,FALSE)/10000</f>
        <v>5.5507836163637805E-6</v>
      </c>
      <c r="I31" s="143">
        <f>VLOOKUP($A31,'5 A data'!$A$5:$U$650,10,FALSE)</f>
        <v>-0.49199999999999999</v>
      </c>
      <c r="J31" s="145">
        <f>VLOOKUP($A31,'5 A data'!$A$5:$U$650,11,FALSE)</f>
        <v>0.6341362948912731</v>
      </c>
      <c r="K31" s="146">
        <f t="shared" ref="K31:L33" si="55">I31-I39</f>
        <v>-0.36199999999999999</v>
      </c>
      <c r="L31" s="146">
        <f t="shared" si="55"/>
        <v>0.44360451821522545</v>
      </c>
      <c r="M31" s="31">
        <f t="shared" si="50"/>
        <v>-0.49166665644203494</v>
      </c>
      <c r="N31" s="31">
        <f t="shared" si="51"/>
        <v>0.63489154610113918</v>
      </c>
      <c r="O31" s="20"/>
      <c r="P31" s="634">
        <f>VLOOKUP(B31,TwoStageCT!A$10:H$72,4,FALSE)/10000</f>
        <v>2.9709098248278708E-6</v>
      </c>
      <c r="Q31" s="58">
        <f>VLOOKUP($A31,'5 A data'!$A$5:$U$650,7,FALSE)*slidewire_res</f>
        <v>2E-3</v>
      </c>
      <c r="R31" s="347">
        <f t="shared" si="35"/>
        <v>-4.4000000000000037E-3</v>
      </c>
      <c r="S31" s="4">
        <v>0</v>
      </c>
      <c r="T31" s="21">
        <f t="shared" si="52"/>
        <v>-1.8100000000000002E-2</v>
      </c>
      <c r="U31" s="29">
        <f t="shared" si="36"/>
        <v>-1.9666666257681397E-3</v>
      </c>
      <c r="V31" s="29">
        <f t="shared" si="37"/>
        <v>5.0000000000000001E-4</v>
      </c>
      <c r="W31" s="23">
        <f>VLOOKUP($D31,Uncertainties!$B$35:$D$41,2,FALSE)</f>
        <v>-1.0000000000000009E-3</v>
      </c>
      <c r="X31" s="23"/>
      <c r="Y31" s="24">
        <f t="shared" si="38"/>
        <v>-3.8152046318905339E-5</v>
      </c>
      <c r="Z31" s="23">
        <f t="shared" si="39"/>
        <v>1.8870327024772354E-2</v>
      </c>
      <c r="AA31" s="25">
        <f t="shared" si="40"/>
        <v>5.8848138993633015</v>
      </c>
      <c r="AB31" s="26">
        <f t="shared" si="41"/>
        <v>2.4346704296351667</v>
      </c>
      <c r="AC31" s="14"/>
      <c r="AD31" s="635">
        <f>VLOOKUP(B31,TwoStageCT!A$10:H$72,7,FALSE)/10000</f>
        <v>1.6017059195029239E-6</v>
      </c>
      <c r="AE31" s="366">
        <f>IF(ABS(VLOOKUP($A31,'5 A data'!$A$5:$U$1148,6,FALSE))&lt;4.5,IF(ABS(VLOOKUP($A31,'5 A data'!$A$5:$U$1148,6,FALSE))&lt;1.25,0.0008,0.002),0.004)*VLOOKUP($A31,'5 A data'!$A$5:$U$1148,7,FALSE)*25*RADIANS(1/60)*100</f>
        <v>5.8177641733144318E-3</v>
      </c>
      <c r="AF31" s="23">
        <f t="shared" si="53"/>
        <v>2.1525727441263399E-2</v>
      </c>
      <c r="AG31" s="29">
        <f t="shared" si="42"/>
        <v>6.3489154610113919E-4</v>
      </c>
      <c r="AH31" s="4">
        <f t="shared" si="54"/>
        <v>2.2180225910761273E-2</v>
      </c>
      <c r="AI31" s="4">
        <f t="shared" si="43"/>
        <v>2.5395661844045568E-3</v>
      </c>
      <c r="AJ31" s="4">
        <f t="shared" si="44"/>
        <v>5.0000000000000001E-4</v>
      </c>
      <c r="AK31" s="21">
        <f>VLOOKUP($D31,Uncertainties!$B$35:$D$41,3,FALSE)</f>
        <v>-2.908882086657183E-3</v>
      </c>
      <c r="AL31" s="21"/>
      <c r="AM31" s="369">
        <f>SQRT((VLOOKUP($A31,'5 A data'!$A$5:$U$1148,7,FALSE)*mutual_ind)^2+(aux_CT_phase*J31)^2)</f>
        <v>3.406769130169322E-3</v>
      </c>
      <c r="AN31" s="29">
        <f t="shared" si="45"/>
        <v>3.1880023532776136E-2</v>
      </c>
      <c r="AO31" s="14">
        <f t="shared" si="46"/>
        <v>11.274717150427882</v>
      </c>
      <c r="AP31" s="27">
        <f t="shared" si="47"/>
        <v>2.1853531255805554</v>
      </c>
      <c r="AS31" s="27">
        <f>VLOOKUP($B31,TwoStageCT!$A$10:$H$72,5,FALSE)</f>
        <v>42.291164682130272</v>
      </c>
      <c r="AT31" s="27">
        <f>VLOOKUP($B31,TwoStageCT!$A$10:$H$72,8,FALSE)</f>
        <v>48.978667479860043</v>
      </c>
    </row>
    <row r="32" spans="1:46" ht="13.15" customHeight="1" x14ac:dyDescent="0.2">
      <c r="A32">
        <v>122</v>
      </c>
      <c r="B32" s="5" t="str">
        <f>B25&amp;D32</f>
        <v>120/200100</v>
      </c>
      <c r="C32" s="83">
        <f>VLOOKUP($A32,'5 A data'!$A$5:$U$650,3,FALSE)</f>
        <v>0.21600059637204713</v>
      </c>
      <c r="D32" s="164">
        <f>ROUND(VLOOKUP($A32,'5 A data'!$A$5:$U$650,9,FALSE)/10,0)*10</f>
        <v>100</v>
      </c>
      <c r="E32" s="23">
        <f t="shared" si="48"/>
        <v>0.99936709902044762</v>
      </c>
      <c r="F32" s="23">
        <f t="shared" si="49"/>
        <v>1.0011822386327505</v>
      </c>
      <c r="G32" s="486">
        <f>VLOOKUP(B32,TwoStageCT!A$10:H$72,3,FALSE)/10000</f>
        <v>1.6881396356939836E-5</v>
      </c>
      <c r="H32" s="486">
        <f>VLOOKUP(B32,TwoStageCT!A$10:H$72,6,FALSE)/10000</f>
        <v>7.3590724152435355E-6</v>
      </c>
      <c r="I32" s="143">
        <f>VLOOKUP($A32,'5 A data'!$A$5:$U$650,10,FALSE)</f>
        <v>-0.47</v>
      </c>
      <c r="J32" s="145">
        <f>VLOOKUP($A32,'5 A data'!$A$5:$U$650,11,FALSE)</f>
        <v>0.52650765768495611</v>
      </c>
      <c r="K32" s="146">
        <f t="shared" si="55"/>
        <v>-0.34899999999999998</v>
      </c>
      <c r="L32" s="146">
        <f t="shared" si="55"/>
        <v>0.35197473248552313</v>
      </c>
      <c r="M32" s="31">
        <f t="shared" si="50"/>
        <v>-0.46968565514325344</v>
      </c>
      <c r="N32" s="31">
        <f t="shared" si="51"/>
        <v>0.52713747445072545</v>
      </c>
      <c r="O32" s="20"/>
      <c r="P32" s="634">
        <f>VLOOKUP(B32,TwoStageCT!A$10:H$72,4,FALSE)/10000</f>
        <v>2.4131313466023584E-6</v>
      </c>
      <c r="Q32" s="58">
        <f>VLOOKUP($A32,'5 A data'!$A$5:$U$650,7,FALSE)*slidewire_res</f>
        <v>2E-3</v>
      </c>
      <c r="R32" s="347">
        <f t="shared" si="35"/>
        <v>-2.199999999999991E-3</v>
      </c>
      <c r="S32" s="4">
        <v>0</v>
      </c>
      <c r="T32" s="21">
        <f t="shared" si="52"/>
        <v>-1.745E-2</v>
      </c>
      <c r="U32" s="29">
        <f t="shared" si="36"/>
        <v>-1.8787426205730139E-3</v>
      </c>
      <c r="V32" s="29">
        <f t="shared" si="37"/>
        <v>5.0000000000000001E-4</v>
      </c>
      <c r="W32" s="23">
        <f>VLOOKUP($D32,Uncertainties!$B$35:$D$41,2,FALSE)</f>
        <v>1.999999999999974E-3</v>
      </c>
      <c r="X32" s="23"/>
      <c r="Y32" s="24">
        <f t="shared" si="38"/>
        <v>-3.6446060507897375E-5</v>
      </c>
      <c r="Z32" s="23">
        <f t="shared" si="39"/>
        <v>1.7919919307097531E-2</v>
      </c>
      <c r="AA32" s="25">
        <f t="shared" si="40"/>
        <v>5.5572415866663629</v>
      </c>
      <c r="AB32" s="26">
        <f t="shared" si="41"/>
        <v>2.4694206880533858</v>
      </c>
      <c r="AC32" s="14"/>
      <c r="AD32" s="635">
        <f>VLOOKUP(B32,TwoStageCT!A$10:H$72,7,FALSE)/10000</f>
        <v>1.6933288916776063E-6</v>
      </c>
      <c r="AE32" s="366">
        <f>IF(ABS(VLOOKUP($A32,'5 A data'!$A$5:$U$1148,6,FALSE))&lt;4.5,IF(ABS(VLOOKUP($A32,'5 A data'!$A$5:$U$1148,6,FALSE))&lt;1.25,0.0008,0.002),0.004)*VLOOKUP($A32,'5 A data'!$A$5:$U$1148,7,FALSE)*25*RADIANS(1/60)*100</f>
        <v>5.8177641733144318E-3</v>
      </c>
      <c r="AF32" s="23">
        <f t="shared" si="53"/>
        <v>8.7266462599716495E-3</v>
      </c>
      <c r="AG32" s="29">
        <f t="shared" si="42"/>
        <v>5.2713747445072546E-4</v>
      </c>
      <c r="AH32" s="4">
        <f t="shared" si="54"/>
        <v>1.7598736624276159E-2</v>
      </c>
      <c r="AI32" s="4">
        <f t="shared" si="43"/>
        <v>2.1085498978029018E-3</v>
      </c>
      <c r="AJ32" s="4">
        <f t="shared" si="44"/>
        <v>5.0000000000000001E-4</v>
      </c>
      <c r="AK32" s="21">
        <f>VLOOKUP($D32,Uncertainties!$B$35:$D$41,3,FALSE)</f>
        <v>-2.9088820866572385E-3</v>
      </c>
      <c r="AL32" s="21"/>
      <c r="AM32" s="369">
        <f>SQRT((VLOOKUP($A32,'5 A data'!$A$5:$U$1148,7,FALSE)*mutual_ind)^2+(aux_CT_phase*J32)^2)</f>
        <v>3.4048080111087039E-3</v>
      </c>
      <c r="AN32" s="29">
        <f t="shared" si="45"/>
        <v>2.1088964833202696E-2</v>
      </c>
      <c r="AO32" s="14">
        <f t="shared" si="46"/>
        <v>9.5970078739551177</v>
      </c>
      <c r="AP32" s="27">
        <f t="shared" si="47"/>
        <v>2.2290177189748839</v>
      </c>
      <c r="AS32" s="27">
        <f>VLOOKUP($B32,TwoStageCT!$A$10:$H$72,5,FALSE)</f>
        <v>59.567261398457461</v>
      </c>
      <c r="AT32" s="27">
        <f>VLOOKUP($B32,TwoStageCT!$A$10:$H$72,8,FALSE)</f>
        <v>45.732629829898706</v>
      </c>
    </row>
    <row r="33" spans="1:46" ht="13.15" customHeight="1" x14ac:dyDescent="0.2">
      <c r="A33" s="68">
        <v>123</v>
      </c>
      <c r="B33" s="5" t="str">
        <f>B25&amp;D33</f>
        <v>120/200120</v>
      </c>
      <c r="C33" s="83">
        <f>VLOOKUP($A33,'5 A data'!$A$5:$U$650,3,FALSE)</f>
        <v>0.21600059637204713</v>
      </c>
      <c r="D33" s="164">
        <f>ROUND(VLOOKUP($A33,'5 A data'!$A$5:$U$650,9,FALSE)/10,0)*10</f>
        <v>120</v>
      </c>
      <c r="E33" s="23">
        <f t="shared" si="48"/>
        <v>0.99936709902044762</v>
      </c>
      <c r="F33" s="23">
        <f t="shared" si="49"/>
        <v>1.0011822386327505</v>
      </c>
      <c r="G33" s="486">
        <f>VLOOKUP(B33,TwoStageCT!A$10:H$72,3,FALSE)/10000</f>
        <v>1.5213305302217845E-5</v>
      </c>
      <c r="H33" s="486">
        <f>VLOOKUP(B33,TwoStageCT!A$10:H$72,6,FALSE)/10000</f>
        <v>7.5885012454326174E-6</v>
      </c>
      <c r="I33" s="143">
        <f>VLOOKUP($A33,'5 A data'!$A$5:$U$650,10,FALSE)</f>
        <v>-0.45900000000000002</v>
      </c>
      <c r="J33" s="145">
        <f>VLOOKUP($A33,'5 A data'!$A$5:$U$650,11,FALSE)</f>
        <v>0.48287442638509787</v>
      </c>
      <c r="K33" s="146">
        <f t="shared" si="55"/>
        <v>-0.33950000000000002</v>
      </c>
      <c r="L33" s="146">
        <f t="shared" si="55"/>
        <v>0.31125038327232213</v>
      </c>
      <c r="M33" s="31">
        <f t="shared" si="50"/>
        <v>-0.45869428514508326</v>
      </c>
      <c r="N33" s="31">
        <f t="shared" si="51"/>
        <v>0.483452887687983</v>
      </c>
      <c r="O33" s="20"/>
      <c r="P33" s="634">
        <f>VLOOKUP(B33,TwoStageCT!A$10:H$72,4,FALSE)/10000</f>
        <v>2.2681305202526645E-6</v>
      </c>
      <c r="Q33" s="58">
        <f>VLOOKUP($A33,'5 A data'!$A$5:$U$650,7,FALSE)*slidewire_res</f>
        <v>2E-3</v>
      </c>
      <c r="R33" s="347">
        <f t="shared" si="35"/>
        <v>0</v>
      </c>
      <c r="S33" s="4">
        <v>0</v>
      </c>
      <c r="T33" s="21">
        <f t="shared" si="52"/>
        <v>-1.6975000000000001E-2</v>
      </c>
      <c r="U33" s="29">
        <f t="shared" si="36"/>
        <v>-1.8347771405803331E-3</v>
      </c>
      <c r="V33" s="29">
        <f t="shared" si="37"/>
        <v>5.0000000000000001E-4</v>
      </c>
      <c r="W33" s="23">
        <f>VLOOKUP($D33,Uncertainties!$B$35:$D$41,2,FALSE)</f>
        <v>-1.0000000000000009E-3</v>
      </c>
      <c r="X33" s="23"/>
      <c r="Y33" s="24">
        <f t="shared" si="38"/>
        <v>-3.5593067602393399E-5</v>
      </c>
      <c r="Z33" s="23">
        <f t="shared" si="39"/>
        <v>1.7226964450142504E-2</v>
      </c>
      <c r="AA33" s="25">
        <f t="shared" si="40"/>
        <v>5.301765850003707</v>
      </c>
      <c r="AB33" s="26">
        <f t="shared" si="41"/>
        <v>2.5003286844777652</v>
      </c>
      <c r="AC33" s="14"/>
      <c r="AD33" s="635">
        <f>VLOOKUP(B33,TwoStageCT!A$10:H$72,7,FALSE)/10000</f>
        <v>1.7092397901526349E-6</v>
      </c>
      <c r="AE33" s="366">
        <f>IF(ABS(VLOOKUP($A33,'5 A data'!$A$5:$U$1148,6,FALSE))&lt;4.5,IF(ABS(VLOOKUP($A33,'5 A data'!$A$5:$U$1148,6,FALSE))&lt;1.25,0.0008,0.002),0.004)*VLOOKUP($A33,'5 A data'!$A$5:$U$1148,7,FALSE)*25*RADIANS(1/60)*100</f>
        <v>5.8177641733144318E-3</v>
      </c>
      <c r="AF33" s="23">
        <f t="shared" si="53"/>
        <v>0</v>
      </c>
      <c r="AG33" s="29">
        <f t="shared" si="42"/>
        <v>4.8345288768798301E-4</v>
      </c>
      <c r="AH33" s="4">
        <f t="shared" si="54"/>
        <v>1.5562519163616107E-2</v>
      </c>
      <c r="AI33" s="4">
        <f t="shared" si="43"/>
        <v>1.933811550751932E-3</v>
      </c>
      <c r="AJ33" s="4">
        <f t="shared" si="44"/>
        <v>5.0000000000000001E-4</v>
      </c>
      <c r="AK33" s="21">
        <f>VLOOKUP($D33,Uncertainties!$B$35:$D$41,3,FALSE)</f>
        <v>1.4544410433285915E-3</v>
      </c>
      <c r="AL33" s="21"/>
      <c r="AM33" s="369">
        <f>SQRT((VLOOKUP($A33,'5 A data'!$A$5:$U$1148,7,FALSE)*mutual_ind)^2+(aux_CT_phase*J33)^2)</f>
        <v>3.4041163087651571E-3</v>
      </c>
      <c r="AN33" s="29">
        <f t="shared" si="45"/>
        <v>1.7145411806552657E-2</v>
      </c>
      <c r="AO33" s="14">
        <f t="shared" si="46"/>
        <v>7.2069716562728576</v>
      </c>
      <c r="AP33" s="27">
        <f t="shared" si="47"/>
        <v>2.332604978505266</v>
      </c>
      <c r="AS33" s="27">
        <f>VLOOKUP($B33,TwoStageCT!$A$10:$H$72,5,FALSE)</f>
        <v>68.00069900375496</v>
      </c>
      <c r="AT33" s="27">
        <f>VLOOKUP($B33,TwoStageCT!$A$10:$H$72,8,FALSE)</f>
        <v>47.345132453902309</v>
      </c>
    </row>
    <row r="34" spans="1:46" ht="13.15" customHeight="1" x14ac:dyDescent="0.2">
      <c r="A34">
        <v>124</v>
      </c>
      <c r="B34" s="5"/>
      <c r="C34" s="83"/>
      <c r="D34" s="19"/>
      <c r="E34" s="23"/>
      <c r="F34" s="23"/>
      <c r="G34" s="347"/>
      <c r="H34" s="347"/>
      <c r="I34" s="143"/>
      <c r="J34" s="145"/>
      <c r="K34" s="148"/>
      <c r="L34" s="148"/>
      <c r="M34" s="638" t="s">
        <v>430</v>
      </c>
      <c r="N34" s="638"/>
      <c r="O34" s="20"/>
      <c r="P34" s="634"/>
      <c r="Q34" s="58"/>
      <c r="R34" s="347"/>
      <c r="S34" s="4"/>
      <c r="T34" s="4"/>
      <c r="U34" s="29"/>
      <c r="V34" s="29"/>
      <c r="W34" s="29"/>
      <c r="X34" s="29"/>
      <c r="Y34" s="24"/>
      <c r="Z34" s="29"/>
      <c r="AA34" s="25"/>
      <c r="AB34" s="26"/>
      <c r="AC34" s="14"/>
      <c r="AD34" s="635"/>
      <c r="AE34" s="35"/>
      <c r="AF34" s="28"/>
      <c r="AG34" s="29"/>
      <c r="AH34" s="4"/>
      <c r="AI34" s="4"/>
      <c r="AJ34" s="4"/>
      <c r="AK34" s="4"/>
      <c r="AL34" s="4"/>
      <c r="AM34" s="24"/>
      <c r="AN34" s="29"/>
      <c r="AO34" s="14"/>
      <c r="AP34" s="27"/>
    </row>
    <row r="35" spans="1:46" ht="13.15" customHeight="1" x14ac:dyDescent="0.2">
      <c r="A35" s="68">
        <v>125</v>
      </c>
      <c r="B35" s="5" t="str">
        <f>B25&amp;D35</f>
        <v>120/2005</v>
      </c>
      <c r="C35" s="83">
        <f>VLOOKUP($A35,'5 A data'!$A$5:$U$650,3,FALSE)</f>
        <v>2.1000057980615688E-2</v>
      </c>
      <c r="D35" s="19">
        <f>ROUND(VLOOKUP($A35,'5 A data'!$A$5:$U$650,9,FALSE),0)</f>
        <v>5</v>
      </c>
      <c r="E35" s="23">
        <f t="shared" si="48"/>
        <v>0.99936709902044762</v>
      </c>
      <c r="F35" s="23">
        <f t="shared" si="49"/>
        <v>1.0011822386327505</v>
      </c>
      <c r="G35" s="486">
        <f>VLOOKUP(B35,TwoStageCT!A$10:H$72,3,FALSE)/10000</f>
        <v>3.6805932694608759E-5</v>
      </c>
      <c r="H35" s="486">
        <f>VLOOKUP(B35,TwoStageCT!A$10:H$72,6,FALSE)/10000</f>
        <v>4.6965346060309593E-6</v>
      </c>
      <c r="I35" s="152">
        <f>VLOOKUP($A35,'5 A data'!$A$5:$U$650,10,FALSE)</f>
        <v>-0.23200000000000001</v>
      </c>
      <c r="J35" s="152">
        <f>VLOOKUP($A35,'5 A data'!$A$5:$U$650,11,FALSE)</f>
        <v>0.39560796378538138</v>
      </c>
      <c r="K35" s="153"/>
      <c r="L35" s="153"/>
      <c r="M35" s="31">
        <f>I35*E35+G35</f>
        <v>-0.23181636104004924</v>
      </c>
      <c r="N35" s="31">
        <f>J35*F35+H35</f>
        <v>0.39608036333819824</v>
      </c>
      <c r="O35" s="20"/>
      <c r="P35" s="634">
        <f>VLOOKUP(B35,TwoStageCT!A$10:H$72,4,FALSE)/10000</f>
        <v>6.4429594675743464E-6</v>
      </c>
      <c r="Q35" s="58">
        <f>VLOOKUP($A35,'5 A data'!$A$5:$U$650,7,FALSE)*slidewire_res</f>
        <v>1E-3</v>
      </c>
      <c r="R35" s="347">
        <f t="shared" ref="R35:R41" si="56">current_coef*(I35-I36)*IF(I36=0,0,1)</f>
        <v>-9.4000000000000038E-3</v>
      </c>
      <c r="S35" s="4">
        <v>0</v>
      </c>
      <c r="T35" s="4">
        <f>BurdenUnc*K27</f>
        <v>-2.2400000000000003E-2</v>
      </c>
      <c r="U35" s="29">
        <f t="shared" ref="U35:U41" si="57">0.004*M35</f>
        <v>-9.2726544416019694E-4</v>
      </c>
      <c r="V35" s="29">
        <f t="shared" si="37"/>
        <v>5.0000000000000001E-4</v>
      </c>
      <c r="W35" s="23">
        <f>VLOOKUP($D35,Uncertainties!$B$35:$D$41,2,FALSE)</f>
        <v>5.0000000000000044E-3</v>
      </c>
      <c r="X35" s="23"/>
      <c r="Y35" s="24">
        <f t="shared" ref="Y35:Y41" si="58">I35*aux_CT_ratio</f>
        <v>-1.7990395825174879E-5</v>
      </c>
      <c r="Z35" s="23">
        <f t="shared" ref="Z35:Z41" si="59">SQRT(SUMSQ(P35:Y35))</f>
        <v>2.4844117741831821E-2</v>
      </c>
      <c r="AA35" s="25">
        <f t="shared" ref="AA35:AA41" si="60">DoF_A(P35:Y35,$P$7:$Y$7)</f>
        <v>7.3314140564150332</v>
      </c>
      <c r="AB35" s="26">
        <f t="shared" ref="AB35:AB41" si="61">CoverFactor(AA35)</f>
        <v>2.3252440090506048</v>
      </c>
      <c r="AC35" s="14"/>
      <c r="AD35" s="635">
        <f>VLOOKUP(B35,TwoStageCT!A$10:H$72,7,FALSE)/10000</f>
        <v>4.6788986298833412E-6</v>
      </c>
      <c r="AE35" s="366">
        <f>IF(ABS(VLOOKUP($A35,'5 A data'!$A$5:$U$1148,6,FALSE))&lt;4.5,IF(ABS(VLOOKUP($A35,'5 A data'!$A$5:$U$1148,6,FALSE))&lt;1.25,0.0008,0.002),0.004)*VLOOKUP($A35,'5 A data'!$A$5:$U$1148,7,FALSE)*25*RADIANS(1/60)*100</f>
        <v>2.9088820866572159E-3</v>
      </c>
      <c r="AF35" s="23">
        <f t="shared" ref="AF35:AF41" si="62">current_coef*(J35-J36)*IF(J36=0,0,1)</f>
        <v>1.9780398189269077E-2</v>
      </c>
      <c r="AG35" s="29">
        <f t="shared" ref="AG35:AG41" si="63">0.001*N35</f>
        <v>3.9608036333819822E-4</v>
      </c>
      <c r="AH35" s="4">
        <f>BurdenUnc*L27</f>
        <v>3.2288591161895086E-2</v>
      </c>
      <c r="AI35" s="4">
        <f t="shared" ref="AI35:AI41" si="64">0.004*N35</f>
        <v>1.5843214533527929E-3</v>
      </c>
      <c r="AJ35" s="4">
        <f t="shared" si="44"/>
        <v>5.0000000000000001E-4</v>
      </c>
      <c r="AK35" s="21">
        <f>VLOOKUP($D35,Uncertainties!$B$35:$D$41,3,FALSE)</f>
        <v>-1.1635528346628732E-2</v>
      </c>
      <c r="AL35" s="21"/>
      <c r="AM35" s="369">
        <f>SQRT((VLOOKUP($A35,'5 A data'!$A$5:$U$1148,7,FALSE)*mutual_ind)^2+(aux_CT_phase*J35)^2)</f>
        <v>1.7051406291681245E-3</v>
      </c>
      <c r="AN35" s="29">
        <f t="shared" ref="AN35:AN41" si="65">SQRT(SUMSQ(AD35:AM35))</f>
        <v>3.9793075619062583E-2</v>
      </c>
      <c r="AO35" s="14">
        <f t="shared" ref="AO35:AO41" si="66">DoF_A(AD35:AM35,$AD$7:$AM$7)</f>
        <v>10.050469797520444</v>
      </c>
      <c r="AP35" s="27">
        <f t="shared" si="47"/>
        <v>2.2156081004011443</v>
      </c>
      <c r="AS35" s="27">
        <f>VLOOKUP($B35,TwoStageCT!$A$10:$H$72,5,FALSE)</f>
        <v>26.31606241070681</v>
      </c>
      <c r="AT35" s="27">
        <f>VLOOKUP($B35,TwoStageCT!$A$10:$H$72,8,FALSE)</f>
        <v>9.9413455012810044</v>
      </c>
    </row>
    <row r="36" spans="1:46" ht="13.15" customHeight="1" x14ac:dyDescent="0.2">
      <c r="A36">
        <v>126</v>
      </c>
      <c r="B36" s="5" t="str">
        <f>B25&amp;D36</f>
        <v>120/20010</v>
      </c>
      <c r="C36" s="83">
        <f>VLOOKUP($A36,'5 A data'!$A$5:$U$650,3,FALSE)</f>
        <v>2.1000057980615688E-2</v>
      </c>
      <c r="D36" s="163">
        <f>ROUND(VLOOKUP($A36,'5 A data'!$A$5:$U$650,9,FALSE)/10,0)*10</f>
        <v>10</v>
      </c>
      <c r="E36" s="23">
        <f t="shared" si="48"/>
        <v>0.99936709902044762</v>
      </c>
      <c r="F36" s="23">
        <f t="shared" si="49"/>
        <v>1.0011822386327505</v>
      </c>
      <c r="G36" s="486">
        <f>VLOOKUP(B36,TwoStageCT!A$10:H$72,3,FALSE)/10000</f>
        <v>3.4690340839935311E-5</v>
      </c>
      <c r="H36" s="486">
        <f>VLOOKUP(B36,TwoStageCT!A$10:H$72,6,FALSE)/10000</f>
        <v>2.6036797087866982E-6</v>
      </c>
      <c r="I36" s="152">
        <f>VLOOKUP($A36,'5 A data'!$A$5:$U$650,10,FALSE)</f>
        <v>-0.185</v>
      </c>
      <c r="J36" s="152">
        <f>VLOOKUP($A36,'5 A data'!$A$5:$U$650,11,FALSE)</f>
        <v>0.29670597283903599</v>
      </c>
      <c r="K36" s="153"/>
      <c r="L36" s="153"/>
      <c r="M36" s="31">
        <f t="shared" ref="M36:M41" si="67">I36*E36+G36</f>
        <v>-0.18484822297794287</v>
      </c>
      <c r="N36" s="31">
        <f t="shared" ref="N36:N41" si="68">J36*F36+H36</f>
        <v>0.29705935378240289</v>
      </c>
      <c r="O36" s="20"/>
      <c r="P36" s="634">
        <f>VLOOKUP(B36,TwoStageCT!A$10:H$72,4,FALSE)/10000</f>
        <v>5.0170517941146892E-6</v>
      </c>
      <c r="Q36" s="58">
        <f>VLOOKUP($A36,'5 A data'!$A$5:$U$650,7,FALSE)*slidewire_res</f>
        <v>1E-3</v>
      </c>
      <c r="R36" s="347">
        <f t="shared" si="56"/>
        <v>-5.5999999999999999E-3</v>
      </c>
      <c r="S36" s="4">
        <v>0</v>
      </c>
      <c r="T36" s="4">
        <f t="shared" ref="T36:T41" si="69">BurdenUnc*K28</f>
        <v>-2.095E-2</v>
      </c>
      <c r="U36" s="29">
        <f t="shared" si="57"/>
        <v>-7.393928919117715E-4</v>
      </c>
      <c r="V36" s="29">
        <f t="shared" si="37"/>
        <v>5.0000000000000001E-4</v>
      </c>
      <c r="W36" s="23">
        <f>VLOOKUP($D36,Uncertainties!$B$35:$D$41,2,FALSE)</f>
        <v>2.5000000000000022E-3</v>
      </c>
      <c r="X36" s="23"/>
      <c r="Y36" s="24">
        <f t="shared" si="58"/>
        <v>-1.4345789774385138E-5</v>
      </c>
      <c r="Z36" s="23">
        <f t="shared" si="59"/>
        <v>2.1870286528097947E-2</v>
      </c>
      <c r="AA36" s="25">
        <f t="shared" si="60"/>
        <v>5.9074785160549999</v>
      </c>
      <c r="AB36" s="26">
        <f t="shared" si="61"/>
        <v>2.4324431005541975</v>
      </c>
      <c r="AC36" s="14"/>
      <c r="AD36" s="635">
        <f>VLOOKUP(B36,TwoStageCT!A$10:H$72,7,FALSE)/10000</f>
        <v>2.600738521505678E-6</v>
      </c>
      <c r="AE36" s="366">
        <f>IF(ABS(VLOOKUP($A36,'5 A data'!$A$5:$U$1148,6,FALSE))&lt;4.5,IF(ABS(VLOOKUP($A36,'5 A data'!$A$5:$U$1148,6,FALSE))&lt;1.25,0.0008,0.002),0.004)*VLOOKUP($A36,'5 A data'!$A$5:$U$1148,7,FALSE)*25*RADIANS(1/60)*100</f>
        <v>2.9088820866572159E-3</v>
      </c>
      <c r="AF36" s="23">
        <f t="shared" si="62"/>
        <v>1.1053751929297412E-2</v>
      </c>
      <c r="AG36" s="29">
        <f t="shared" si="63"/>
        <v>2.9705935378240291E-4</v>
      </c>
      <c r="AH36" s="4">
        <f t="shared" ref="AH36:AH41" si="70">BurdenUnc*L28</f>
        <v>2.9961485492569318E-2</v>
      </c>
      <c r="AI36" s="4">
        <f t="shared" si="64"/>
        <v>1.1882374151296116E-3</v>
      </c>
      <c r="AJ36" s="4">
        <f t="shared" si="44"/>
        <v>5.0000000000000001E-4</v>
      </c>
      <c r="AK36" s="21">
        <f>VLOOKUP($D36,Uncertainties!$B$35:$D$41,3,FALSE)</f>
        <v>4.363323129985941E-3</v>
      </c>
      <c r="AL36" s="21"/>
      <c r="AM36" s="369">
        <f>SQRT((VLOOKUP($A36,'5 A data'!$A$5:$U$1148,7,FALSE)*mutual_ind)^2+(aux_CT_phase*J36)^2)</f>
        <v>1.7029922230581589E-3</v>
      </c>
      <c r="AN36" s="29">
        <f t="shared" si="65"/>
        <v>3.2434959072837666E-2</v>
      </c>
      <c r="AO36" s="14">
        <f t="shared" si="66"/>
        <v>6.7402768860773916</v>
      </c>
      <c r="AP36" s="27">
        <f t="shared" si="47"/>
        <v>2.36312359730467</v>
      </c>
      <c r="AS36" s="27">
        <f>VLOOKUP($B36,TwoStageCT!$A$10:$H$72,5,FALSE)</f>
        <v>38.265350164989712</v>
      </c>
      <c r="AT36" s="27">
        <f>VLOOKUP($B36,TwoStageCT!$A$10:$H$72,8,FALSE)</f>
        <v>16.586629386739094</v>
      </c>
    </row>
    <row r="37" spans="1:46" ht="13.15" customHeight="1" x14ac:dyDescent="0.2">
      <c r="A37" s="68">
        <v>127</v>
      </c>
      <c r="B37" s="5" t="str">
        <f>B25&amp;D37</f>
        <v>120/20020</v>
      </c>
      <c r="C37" s="19">
        <f>VLOOKUP($A37,'5 A data'!$A$5:$U$650,3,FALSE)</f>
        <v>2.1000057980615688E-2</v>
      </c>
      <c r="D37" s="163">
        <f>ROUND(VLOOKUP($A37,'5 A data'!$A$5:$U$650,9,FALSE)/10,0)*10</f>
        <v>20</v>
      </c>
      <c r="E37" s="23">
        <f t="shared" si="48"/>
        <v>0.99936709902044762</v>
      </c>
      <c r="F37" s="23">
        <f t="shared" si="49"/>
        <v>1.0011822386327505</v>
      </c>
      <c r="G37" s="486">
        <f>VLOOKUP(B37,TwoStageCT!A$10:H$72,3,FALSE)/10000</f>
        <v>3.1280516301103777E-5</v>
      </c>
      <c r="H37" s="486">
        <f>VLOOKUP(B37,TwoStageCT!A$10:H$72,6,FALSE)/10000</f>
        <v>4.5493238991726806E-6</v>
      </c>
      <c r="I37" s="152">
        <f>VLOOKUP($A37,'5 A data'!$A$5:$U$650,10,FALSE)</f>
        <v>-0.157</v>
      </c>
      <c r="J37" s="152">
        <f>VLOOKUP($A37,'5 A data'!$A$5:$U$650,11,FALSE)</f>
        <v>0.24143721319254893</v>
      </c>
      <c r="K37" s="153"/>
      <c r="L37" s="153"/>
      <c r="M37" s="31">
        <f t="shared" si="67"/>
        <v>-0.15686935402990917</v>
      </c>
      <c r="N37" s="31">
        <f t="shared" si="68"/>
        <v>0.24172719891726796</v>
      </c>
      <c r="O37" s="20"/>
      <c r="P37" s="634">
        <f>VLOOKUP(B37,TwoStageCT!A$10:H$72,4,FALSE)/10000</f>
        <v>4.17832023036102E-6</v>
      </c>
      <c r="Q37" s="58">
        <f>VLOOKUP($A37,'5 A data'!$A$5:$U$650,7,FALSE)*slidewire_res</f>
        <v>1E-3</v>
      </c>
      <c r="R37" s="347">
        <f t="shared" si="56"/>
        <v>-3.7999999999999978E-3</v>
      </c>
      <c r="S37" s="4">
        <v>0</v>
      </c>
      <c r="T37" s="4">
        <f t="shared" si="69"/>
        <v>-1.9550000000000001E-2</v>
      </c>
      <c r="U37" s="29">
        <f t="shared" si="57"/>
        <v>-6.2747741611963667E-4</v>
      </c>
      <c r="V37" s="29">
        <f t="shared" si="37"/>
        <v>5.0000000000000001E-4</v>
      </c>
      <c r="W37" s="23">
        <f>VLOOKUP($D37,Uncertainties!$B$35:$D$41,2,FALSE)</f>
        <v>-1.0000000000000009E-3</v>
      </c>
      <c r="X37" s="23"/>
      <c r="Y37" s="24">
        <f t="shared" si="58"/>
        <v>-1.2174535105829549E-5</v>
      </c>
      <c r="Z37" s="23">
        <f t="shared" si="59"/>
        <v>1.9982151875746645E-2</v>
      </c>
      <c r="AA37" s="25">
        <f t="shared" si="60"/>
        <v>5.4491367280737526</v>
      </c>
      <c r="AB37" s="26">
        <f t="shared" si="61"/>
        <v>2.4820511936165244</v>
      </c>
      <c r="AC37" s="14"/>
      <c r="AD37" s="635">
        <f>VLOOKUP(B37,TwoStageCT!A$10:H$72,7,FALSE)/10000</f>
        <v>1.9770475075939077E-6</v>
      </c>
      <c r="AE37" s="366">
        <f>IF(ABS(VLOOKUP($A37,'5 A data'!$A$5:$U$1148,6,FALSE))&lt;4.5,IF(ABS(VLOOKUP($A37,'5 A data'!$A$5:$U$1148,6,FALSE))&lt;1.25,0.0008,0.002),0.004)*VLOOKUP($A37,'5 A data'!$A$5:$U$1148,7,FALSE)*25*RADIANS(1/60)*100</f>
        <v>2.9088820866572159E-3</v>
      </c>
      <c r="AF37" s="23">
        <f t="shared" si="62"/>
        <v>7.2722052166430467E-3</v>
      </c>
      <c r="AG37" s="29">
        <f t="shared" si="63"/>
        <v>2.4172719891726798E-4</v>
      </c>
      <c r="AH37" s="4">
        <f t="shared" si="70"/>
        <v>2.7198047510244974E-2</v>
      </c>
      <c r="AI37" s="4">
        <f t="shared" si="64"/>
        <v>9.6690879566907191E-4</v>
      </c>
      <c r="AJ37" s="4">
        <f t="shared" si="44"/>
        <v>5.0000000000000001E-4</v>
      </c>
      <c r="AK37" s="21">
        <f>VLOOKUP($D37,Uncertainties!$B$35:$D$41,3,FALSE)</f>
        <v>-1.454441043328647E-3</v>
      </c>
      <c r="AL37" s="21"/>
      <c r="AM37" s="369">
        <f>SQRT((VLOOKUP($A37,'5 A data'!$A$5:$U$1148,7,FALSE)*mutual_ind)^2+(aux_CT_phase*J37)^2)</f>
        <v>1.7020581543825786E-3</v>
      </c>
      <c r="AN37" s="29">
        <f t="shared" si="65"/>
        <v>2.841366047084682E-2</v>
      </c>
      <c r="AO37" s="14">
        <f t="shared" si="66"/>
        <v>5.9244557425553586</v>
      </c>
      <c r="AP37" s="27">
        <f t="shared" si="47"/>
        <v>2.4307885451690012</v>
      </c>
      <c r="AS37" s="27">
        <f>VLOOKUP($B37,TwoStageCT!$A$10:$H$72,5,FALSE)</f>
        <v>36.657700403051521</v>
      </c>
      <c r="AT37" s="27">
        <f>VLOOKUP($B37,TwoStageCT!$A$10:$H$72,8,FALSE)</f>
        <v>53.09445811850042</v>
      </c>
    </row>
    <row r="38" spans="1:46" ht="13.15" customHeight="1" x14ac:dyDescent="0.2">
      <c r="A38">
        <v>128</v>
      </c>
      <c r="B38" s="5" t="str">
        <f>B25&amp;D38</f>
        <v>120/20040</v>
      </c>
      <c r="C38" s="19">
        <f>VLOOKUP($A38,'5 A data'!$A$5:$U$650,3,FALSE)</f>
        <v>2.1000057980615688E-2</v>
      </c>
      <c r="D38" s="163">
        <f>ROUND(VLOOKUP($A38,'5 A data'!$A$5:$U$650,9,FALSE)/10,0)*10</f>
        <v>40</v>
      </c>
      <c r="E38" s="23">
        <f t="shared" si="48"/>
        <v>0.99936709902044762</v>
      </c>
      <c r="F38" s="23">
        <f t="shared" si="49"/>
        <v>1.0011822386327505</v>
      </c>
      <c r="G38" s="486">
        <f>VLOOKUP(B38,TwoStageCT!A$10:H$72,3,FALSE)/10000</f>
        <v>2.5200167333853628E-5</v>
      </c>
      <c r="H38" s="486">
        <f>VLOOKUP(B38,TwoStageCT!A$10:H$72,6,FALSE)/10000</f>
        <v>5.7416420558101514E-6</v>
      </c>
      <c r="I38" s="152">
        <f>VLOOKUP($A38,'5 A data'!$A$5:$U$650,10,FALSE)</f>
        <v>-0.13800000000000001</v>
      </c>
      <c r="J38" s="152">
        <f>VLOOKUP($A38,'5 A data'!$A$5:$U$650,11,FALSE)</f>
        <v>0.2050761871093337</v>
      </c>
      <c r="K38" s="153"/>
      <c r="L38" s="153"/>
      <c r="M38" s="31">
        <f t="shared" si="67"/>
        <v>-0.13788745949748793</v>
      </c>
      <c r="N38" s="31">
        <f t="shared" si="68"/>
        <v>0.20532437774244733</v>
      </c>
      <c r="O38" s="20"/>
      <c r="P38" s="634">
        <f>VLOOKUP(B38,TwoStageCT!A$10:H$72,4,FALSE)/10000</f>
        <v>3.3964590328801363E-6</v>
      </c>
      <c r="Q38" s="58">
        <f>VLOOKUP($A38,'5 A data'!$A$5:$U$650,7,FALSE)*slidewire_res</f>
        <v>1E-3</v>
      </c>
      <c r="R38" s="347">
        <f t="shared" si="56"/>
        <v>-1.6000000000000016E-3</v>
      </c>
      <c r="S38" s="4">
        <v>0</v>
      </c>
      <c r="T38" s="4">
        <f t="shared" si="69"/>
        <v>-1.8200000000000001E-2</v>
      </c>
      <c r="U38" s="29">
        <f t="shared" si="57"/>
        <v>-5.5154983798995176E-4</v>
      </c>
      <c r="V38" s="29">
        <f t="shared" si="37"/>
        <v>5.0000000000000001E-4</v>
      </c>
      <c r="W38" s="23">
        <f>VLOOKUP($D38,Uncertainties!$B$35:$D$41,2,FALSE)</f>
        <v>-1.0000000000000009E-3</v>
      </c>
      <c r="X38" s="23"/>
      <c r="Y38" s="24">
        <f t="shared" si="58"/>
        <v>-1.0701183723595402E-5</v>
      </c>
      <c r="Z38" s="23">
        <f t="shared" si="59"/>
        <v>1.8339965465481493E-2</v>
      </c>
      <c r="AA38" s="25">
        <f t="shared" si="60"/>
        <v>5.1552106041943073</v>
      </c>
      <c r="AB38" s="26">
        <f t="shared" si="61"/>
        <v>2.5198381930923803</v>
      </c>
      <c r="AC38" s="14"/>
      <c r="AD38" s="635">
        <f>VLOOKUP(B38,TwoStageCT!A$10:H$72,7,FALSE)/10000</f>
        <v>1.6849048737447556E-6</v>
      </c>
      <c r="AE38" s="366">
        <f>IF(ABS(VLOOKUP($A38,'5 A data'!$A$5:$U$1148,6,FALSE))&lt;4.5,IF(ABS(VLOOKUP($A38,'5 A data'!$A$5:$U$1148,6,FALSE))&lt;1.25,0.0008,0.002),0.004)*VLOOKUP($A38,'5 A data'!$A$5:$U$1148,7,FALSE)*25*RADIANS(1/60)*100</f>
        <v>2.9088820866572159E-3</v>
      </c>
      <c r="AF38" s="23">
        <f t="shared" si="62"/>
        <v>2.9088820866572107E-3</v>
      </c>
      <c r="AG38" s="29">
        <f t="shared" si="63"/>
        <v>2.0532437774244732E-4</v>
      </c>
      <c r="AH38" s="4">
        <f t="shared" si="70"/>
        <v>2.4798219788752764E-2</v>
      </c>
      <c r="AI38" s="4">
        <f t="shared" si="64"/>
        <v>8.2129751096978929E-4</v>
      </c>
      <c r="AJ38" s="4">
        <f t="shared" si="44"/>
        <v>5.0000000000000001E-4</v>
      </c>
      <c r="AK38" s="21">
        <f>VLOOKUP($D38,Uncertainties!$B$35:$D$41,3,FALSE)</f>
        <v>-2.908882086657183E-3</v>
      </c>
      <c r="AL38" s="21"/>
      <c r="AM38" s="369">
        <f>SQRT((VLOOKUP($A38,'5 A data'!$A$5:$U$1148,7,FALSE)*mutual_ind)^2+(aux_CT_phase*J38)^2)</f>
        <v>1.7015480534634398E-3</v>
      </c>
      <c r="AN38" s="29">
        <f t="shared" si="65"/>
        <v>2.5381064713527777E-2</v>
      </c>
      <c r="AO38" s="14">
        <f t="shared" si="66"/>
        <v>5.4842824765588194</v>
      </c>
      <c r="AP38" s="27">
        <f t="shared" si="47"/>
        <v>2.4778757989793108</v>
      </c>
      <c r="AS38" s="27">
        <f>VLOOKUP($B38,TwoStageCT!$A$10:$H$72,5,FALSE)</f>
        <v>38.659909732018328</v>
      </c>
      <c r="AT38" s="27">
        <f>VLOOKUP($B38,TwoStageCT!$A$10:$H$72,8,FALSE)</f>
        <v>52.499330597885681</v>
      </c>
    </row>
    <row r="39" spans="1:46" ht="13.15" customHeight="1" x14ac:dyDescent="0.2">
      <c r="A39" s="68">
        <v>129</v>
      </c>
      <c r="B39" s="5" t="str">
        <f>B25&amp;D39</f>
        <v>120/20060</v>
      </c>
      <c r="C39" s="19">
        <f>VLOOKUP($A39,'5 A data'!$A$5:$U$650,3,FALSE)</f>
        <v>2.1000057980615688E-2</v>
      </c>
      <c r="D39" s="163">
        <f>ROUND(VLOOKUP($A39,'5 A data'!$A$5:$U$650,9,FALSE)/10,0)*10</f>
        <v>60</v>
      </c>
      <c r="E39" s="23">
        <f t="shared" si="48"/>
        <v>0.99936709902044762</v>
      </c>
      <c r="F39" s="23">
        <f t="shared" si="49"/>
        <v>1.0011822386327505</v>
      </c>
      <c r="G39" s="486">
        <f>VLOOKUP(B39,TwoStageCT!A$10:H$72,3,FALSE)/10000</f>
        <v>2.195627602528684E-5</v>
      </c>
      <c r="H39" s="486">
        <f>VLOOKUP(B39,TwoStageCT!A$10:H$72,6,FALSE)/10000</f>
        <v>5.5507836163637805E-6</v>
      </c>
      <c r="I39" s="152">
        <f>VLOOKUP($A39,'5 A data'!$A$5:$U$650,10,FALSE)</f>
        <v>-0.13</v>
      </c>
      <c r="J39" s="152">
        <f>VLOOKUP($A39,'5 A data'!$A$5:$U$650,11,FALSE)</f>
        <v>0.19053177667604765</v>
      </c>
      <c r="K39" s="153"/>
      <c r="L39" s="153"/>
      <c r="M39" s="31">
        <f t="shared" si="67"/>
        <v>-0.12989576659663293</v>
      </c>
      <c r="N39" s="31">
        <f t="shared" si="68"/>
        <v>0.19076258148681702</v>
      </c>
      <c r="O39" s="20"/>
      <c r="P39" s="634">
        <f>VLOOKUP(B39,TwoStageCT!A$10:H$72,4,FALSE)/10000</f>
        <v>2.9709098248278708E-6</v>
      </c>
      <c r="Q39" s="58">
        <f>VLOOKUP($A39,'5 A data'!$A$5:$U$650,7,FALSE)*slidewire_res</f>
        <v>1E-3</v>
      </c>
      <c r="R39" s="347">
        <f t="shared" si="56"/>
        <v>-1.8000000000000017E-3</v>
      </c>
      <c r="S39" s="4">
        <v>0</v>
      </c>
      <c r="T39" s="4">
        <f t="shared" si="69"/>
        <v>-1.8100000000000002E-2</v>
      </c>
      <c r="U39" s="29">
        <f t="shared" si="57"/>
        <v>-5.1958306638653169E-4</v>
      </c>
      <c r="V39" s="29">
        <f t="shared" si="37"/>
        <v>5.0000000000000001E-4</v>
      </c>
      <c r="W39" s="23">
        <f>VLOOKUP($D39,Uncertainties!$B$35:$D$41,2,FALSE)</f>
        <v>-1.0000000000000009E-3</v>
      </c>
      <c r="X39" s="23"/>
      <c r="Y39" s="24">
        <f t="shared" si="58"/>
        <v>-1.0080825246865232E-5</v>
      </c>
      <c r="Z39" s="23">
        <f t="shared" si="59"/>
        <v>1.8258424822865157E-2</v>
      </c>
      <c r="AA39" s="25">
        <f t="shared" si="60"/>
        <v>5.17678642463276</v>
      </c>
      <c r="AB39" s="26">
        <f t="shared" si="61"/>
        <v>2.5168769373669506</v>
      </c>
      <c r="AC39" s="14"/>
      <c r="AD39" s="635">
        <f>VLOOKUP(B39,TwoStageCT!A$10:H$72,7,FALSE)/10000</f>
        <v>1.6017059195029239E-6</v>
      </c>
      <c r="AE39" s="366">
        <f>IF(ABS(VLOOKUP($A39,'5 A data'!$A$5:$U$1148,6,FALSE))&lt;4.5,IF(ABS(VLOOKUP($A39,'5 A data'!$A$5:$U$1148,6,FALSE))&lt;1.25,0.0008,0.002),0.004)*VLOOKUP($A39,'5 A data'!$A$5:$U$1148,7,FALSE)*25*RADIANS(1/60)*100</f>
        <v>2.9088820866572159E-3</v>
      </c>
      <c r="AF39" s="23">
        <f t="shared" si="62"/>
        <v>3.1997702953229404E-3</v>
      </c>
      <c r="AG39" s="29">
        <f t="shared" si="63"/>
        <v>1.9076258148681703E-4</v>
      </c>
      <c r="AH39" s="4">
        <f t="shared" si="70"/>
        <v>2.2180225910761273E-2</v>
      </c>
      <c r="AI39" s="4">
        <f t="shared" si="64"/>
        <v>7.6305032594726813E-4</v>
      </c>
      <c r="AJ39" s="4">
        <f t="shared" si="44"/>
        <v>5.0000000000000001E-4</v>
      </c>
      <c r="AK39" s="21">
        <f>VLOOKUP($D39,Uncertainties!$B$35:$D$41,3,FALSE)</f>
        <v>-2.908882086657183E-3</v>
      </c>
      <c r="AL39" s="21"/>
      <c r="AM39" s="369">
        <f>SQRT((VLOOKUP($A39,'5 A data'!$A$5:$U$1148,7,FALSE)*mutual_ind)^2+(aux_CT_phase*J39)^2)</f>
        <v>1.7013672383223266E-3</v>
      </c>
      <c r="AN39" s="29">
        <f t="shared" si="65"/>
        <v>2.2866731961321215E-2</v>
      </c>
      <c r="AO39" s="14">
        <f t="shared" si="66"/>
        <v>5.6433760207644781</v>
      </c>
      <c r="AP39" s="27">
        <f t="shared" si="47"/>
        <v>2.4597921441410406</v>
      </c>
      <c r="AS39" s="27">
        <f>VLOOKUP($B39,TwoStageCT!$A$10:$H$72,5,FALSE)</f>
        <v>42.291164682130272</v>
      </c>
      <c r="AT39" s="27">
        <f>VLOOKUP($B39,TwoStageCT!$A$10:$H$72,8,FALSE)</f>
        <v>48.978667479860043</v>
      </c>
    </row>
    <row r="40" spans="1:46" ht="13.15" customHeight="1" x14ac:dyDescent="0.2">
      <c r="A40">
        <v>130</v>
      </c>
      <c r="B40" s="5" t="str">
        <f>B25&amp;D40</f>
        <v>120/200100</v>
      </c>
      <c r="C40" s="19">
        <f>VLOOKUP($A40,'5 A data'!$A$5:$U$650,3,FALSE)</f>
        <v>2.1000057980615688E-2</v>
      </c>
      <c r="D40" s="164">
        <f>ROUND(VLOOKUP($A40,'5 A data'!$A$5:$U$650,9,FALSE)/10,0)*10</f>
        <v>100</v>
      </c>
      <c r="E40" s="23">
        <f t="shared" si="48"/>
        <v>0.99936709902044762</v>
      </c>
      <c r="F40" s="23">
        <f t="shared" si="49"/>
        <v>1.0011822386327505</v>
      </c>
      <c r="G40" s="486">
        <f>VLOOKUP(B40,TwoStageCT!A$10:H$72,3,FALSE)/10000</f>
        <v>1.6881396356939836E-5</v>
      </c>
      <c r="H40" s="486">
        <f>VLOOKUP(B40,TwoStageCT!A$10:H$72,6,FALSE)/10000</f>
        <v>7.3590724152435355E-6</v>
      </c>
      <c r="I40" s="32">
        <f>VLOOKUP($A40,'5 A data'!$A$5:$U$650,10,FALSE)</f>
        <v>-0.121</v>
      </c>
      <c r="J40" s="32">
        <f>VLOOKUP($A40,'5 A data'!$A$5:$U$650,11,FALSE)</f>
        <v>0.17453292519943295</v>
      </c>
      <c r="K40" s="31"/>
      <c r="L40" s="31"/>
      <c r="M40" s="31">
        <f t="shared" si="67"/>
        <v>-0.12090653758511721</v>
      </c>
      <c r="N40" s="31">
        <f t="shared" si="68"/>
        <v>0.17474662383870593</v>
      </c>
      <c r="O40" s="20"/>
      <c r="P40" s="634">
        <f>VLOOKUP(B40,TwoStageCT!A$10:H$72,4,FALSE)/10000</f>
        <v>2.4131313466023584E-6</v>
      </c>
      <c r="Q40" s="58">
        <f>VLOOKUP($A40,'5 A data'!$A$5:$U$650,7,FALSE)*slidewire_res</f>
        <v>1E-3</v>
      </c>
      <c r="R40" s="347">
        <f t="shared" si="56"/>
        <v>-3.000000000000003E-4</v>
      </c>
      <c r="S40" s="4">
        <v>0</v>
      </c>
      <c r="T40" s="4">
        <f t="shared" si="69"/>
        <v>-1.745E-2</v>
      </c>
      <c r="U40" s="29">
        <f t="shared" si="57"/>
        <v>-4.8362615034046888E-4</v>
      </c>
      <c r="V40" s="29">
        <f t="shared" si="37"/>
        <v>5.0000000000000001E-4</v>
      </c>
      <c r="W40" s="23">
        <f>VLOOKUP($D40,Uncertainties!$B$35:$D$41,2,FALSE)</f>
        <v>1.999999999999974E-3</v>
      </c>
      <c r="X40" s="23"/>
      <c r="Y40" s="24">
        <f t="shared" si="58"/>
        <v>-9.3829219605437922E-6</v>
      </c>
      <c r="Z40" s="23">
        <f t="shared" si="59"/>
        <v>1.7608988844215911E-2</v>
      </c>
      <c r="AA40" s="25">
        <f t="shared" si="60"/>
        <v>5.1843069423592647</v>
      </c>
      <c r="AB40" s="26">
        <f t="shared" si="61"/>
        <v>2.5158521924992119</v>
      </c>
      <c r="AC40" s="14"/>
      <c r="AD40" s="635">
        <f>VLOOKUP(B40,TwoStageCT!A$10:H$72,7,FALSE)/10000</f>
        <v>1.6933288916776063E-6</v>
      </c>
      <c r="AE40" s="366">
        <f>IF(ABS(VLOOKUP($A40,'5 A data'!$A$5:$U$1148,6,FALSE))&lt;4.5,IF(ABS(VLOOKUP($A40,'5 A data'!$A$5:$U$1148,6,FALSE))&lt;1.25,0.0008,0.002),0.004)*VLOOKUP($A40,'5 A data'!$A$5:$U$1148,7,FALSE)*25*RADIANS(1/60)*100</f>
        <v>2.9088820866572159E-3</v>
      </c>
      <c r="AF40" s="23">
        <f t="shared" si="62"/>
        <v>5.8177641733143666E-4</v>
      </c>
      <c r="AG40" s="29">
        <f t="shared" si="63"/>
        <v>1.7474662383870594E-4</v>
      </c>
      <c r="AH40" s="4">
        <f t="shared" si="70"/>
        <v>1.7598736624276159E-2</v>
      </c>
      <c r="AI40" s="4">
        <f t="shared" si="64"/>
        <v>6.9898649535482375E-4</v>
      </c>
      <c r="AJ40" s="4">
        <f t="shared" si="44"/>
        <v>5.0000000000000001E-4</v>
      </c>
      <c r="AK40" s="21">
        <f>VLOOKUP($D40,Uncertainties!$B$35:$D$41,3,FALSE)</f>
        <v>-2.9088820866572385E-3</v>
      </c>
      <c r="AL40" s="21"/>
      <c r="AM40" s="369">
        <f>SQRT((VLOOKUP($A40,'5 A data'!$A$5:$U$1148,7,FALSE)*mutual_ind)^2+(aux_CT_phase*J40)^2)</f>
        <v>1.7011836780036968E-3</v>
      </c>
      <c r="AN40" s="29">
        <f t="shared" si="65"/>
        <v>1.8183518136913247E-2</v>
      </c>
      <c r="AO40" s="14">
        <f t="shared" si="66"/>
        <v>5.691966557726988</v>
      </c>
      <c r="AP40" s="27">
        <f t="shared" si="47"/>
        <v>2.4545215790794752</v>
      </c>
      <c r="AS40" s="27">
        <f>VLOOKUP($B40,TwoStageCT!$A$10:$H$72,5,FALSE)</f>
        <v>59.567261398457461</v>
      </c>
      <c r="AT40" s="27">
        <f>VLOOKUP($B40,TwoStageCT!$A$10:$H$72,8,FALSE)</f>
        <v>45.732629829898706</v>
      </c>
    </row>
    <row r="41" spans="1:46" ht="13.15" customHeight="1" x14ac:dyDescent="0.2">
      <c r="A41" s="68">
        <v>131</v>
      </c>
      <c r="B41" s="5" t="str">
        <f>B25&amp;D41</f>
        <v>120/200120</v>
      </c>
      <c r="C41" s="19">
        <f>VLOOKUP($A41,'5 A data'!$A$5:$U$650,3,FALSE)</f>
        <v>2.1000057980615688E-2</v>
      </c>
      <c r="D41" s="164">
        <f>ROUND(VLOOKUP($A41,'5 A data'!$A$5:$U$650,9,FALSE)/10,0)*10</f>
        <v>120</v>
      </c>
      <c r="E41" s="23">
        <f t="shared" si="48"/>
        <v>0.99936709902044762</v>
      </c>
      <c r="F41" s="23">
        <f t="shared" si="49"/>
        <v>1.0011822386327505</v>
      </c>
      <c r="G41" s="486">
        <f>VLOOKUP(B41,TwoStageCT!A$10:H$72,3,FALSE)/10000</f>
        <v>1.5213305302217845E-5</v>
      </c>
      <c r="H41" s="486">
        <f>VLOOKUP(B41,TwoStageCT!A$10:H$72,6,FALSE)/10000</f>
        <v>7.5885012454326174E-6</v>
      </c>
      <c r="I41" s="32">
        <f>VLOOKUP($A41,'5 A data'!$A$5:$U$650,10,FALSE)</f>
        <v>-0.1195</v>
      </c>
      <c r="J41" s="32">
        <f>VLOOKUP($A41,'5 A data'!$A$5:$U$650,11,FALSE)</f>
        <v>0.17162404311277576</v>
      </c>
      <c r="K41" s="31"/>
      <c r="L41" s="31"/>
      <c r="M41" s="31">
        <f t="shared" si="67"/>
        <v>-0.11940915502764127</v>
      </c>
      <c r="N41" s="31">
        <f t="shared" si="68"/>
        <v>0.17183453218809797</v>
      </c>
      <c r="O41" s="20"/>
      <c r="P41" s="634">
        <f>VLOOKUP(B41,TwoStageCT!A$10:H$72,4,FALSE)/10000</f>
        <v>2.2681305202526645E-6</v>
      </c>
      <c r="Q41" s="58">
        <f>VLOOKUP($A41,'5 A data'!$A$5:$U$650,7,FALSE)*slidewire_res</f>
        <v>1E-3</v>
      </c>
      <c r="R41" s="347">
        <f t="shared" si="56"/>
        <v>0</v>
      </c>
      <c r="S41" s="4">
        <v>0</v>
      </c>
      <c r="T41" s="4">
        <f t="shared" si="69"/>
        <v>-1.6975000000000001E-2</v>
      </c>
      <c r="U41" s="29">
        <f t="shared" si="57"/>
        <v>-4.7763662011056509E-4</v>
      </c>
      <c r="V41" s="29">
        <f t="shared" si="37"/>
        <v>5.0000000000000001E-4</v>
      </c>
      <c r="W41" s="23">
        <f>VLOOKUP($D41,Uncertainties!$B$35:$D$41,2,FALSE)</f>
        <v>-1.0000000000000009E-3</v>
      </c>
      <c r="X41" s="23"/>
      <c r="Y41" s="24">
        <f t="shared" si="58"/>
        <v>-9.2666047461568862E-6</v>
      </c>
      <c r="Z41" s="23">
        <f t="shared" si="59"/>
        <v>1.7047840119946287E-2</v>
      </c>
      <c r="AA41" s="25">
        <f t="shared" si="60"/>
        <v>5.0862816558910646</v>
      </c>
      <c r="AB41" s="26">
        <f t="shared" si="61"/>
        <v>2.5295158861546496</v>
      </c>
      <c r="AC41" s="14"/>
      <c r="AD41" s="635">
        <f>VLOOKUP(B41,TwoStageCT!A$10:H$72,7,FALSE)/10000</f>
        <v>1.7092397901526349E-6</v>
      </c>
      <c r="AE41" s="366">
        <f>IF(ABS(VLOOKUP($A41,'5 A data'!$A$5:$U$1148,6,FALSE))&lt;4.5,IF(ABS(VLOOKUP($A41,'5 A data'!$A$5:$U$1148,6,FALSE))&lt;1.25,0.0008,0.002),0.004)*VLOOKUP($A41,'5 A data'!$A$5:$U$1148,7,FALSE)*25*RADIANS(1/60)*100</f>
        <v>2.9088820866572159E-3</v>
      </c>
      <c r="AF41" s="23">
        <f t="shared" si="62"/>
        <v>0</v>
      </c>
      <c r="AG41" s="29">
        <f t="shared" si="63"/>
        <v>1.7183453218809797E-4</v>
      </c>
      <c r="AH41" s="4">
        <f t="shared" si="70"/>
        <v>1.5562519163616107E-2</v>
      </c>
      <c r="AI41" s="4">
        <f t="shared" si="64"/>
        <v>6.873381287523919E-4</v>
      </c>
      <c r="AJ41" s="4">
        <f t="shared" si="44"/>
        <v>5.0000000000000001E-4</v>
      </c>
      <c r="AK41" s="21">
        <f>VLOOKUP($D41,Uncertainties!$B$35:$D$41,3,FALSE)</f>
        <v>1.4544410433285915E-3</v>
      </c>
      <c r="AL41" s="21"/>
      <c r="AM41" s="369">
        <f>SQRT((VLOOKUP($A41,'5 A data'!$A$5:$U$1148,7,FALSE)*mutual_ind)^2+(aux_CT_phase*J41)^2)</f>
        <v>1.7011520299637143E-3</v>
      </c>
      <c r="AN41" s="29">
        <f t="shared" si="65"/>
        <v>1.6012959702089807E-2</v>
      </c>
      <c r="AO41" s="14">
        <f t="shared" si="66"/>
        <v>5.5966710273714382</v>
      </c>
      <c r="AP41" s="27">
        <f t="shared" si="47"/>
        <v>2.4649667671133018</v>
      </c>
      <c r="AS41" s="27">
        <f>VLOOKUP($B41,TwoStageCT!$A$10:$H$72,5,FALSE)</f>
        <v>68.00069900375496</v>
      </c>
      <c r="AT41" s="27">
        <f>VLOOKUP($B41,TwoStageCT!$A$10:$H$72,8,FALSE)</f>
        <v>47.345132453902309</v>
      </c>
    </row>
    <row r="42" spans="1:46" ht="13.15" customHeight="1" x14ac:dyDescent="0.2">
      <c r="A42">
        <v>132</v>
      </c>
      <c r="P42" s="97"/>
      <c r="R42" s="42"/>
      <c r="AD42" s="250"/>
    </row>
    <row r="43" spans="1:46" ht="13.15" customHeight="1" x14ac:dyDescent="0.2">
      <c r="A43" s="68">
        <v>133</v>
      </c>
      <c r="B43" s="474" t="str">
        <f>MID(D43,FIND("AT,",D43,1)-4,3)&amp;"/"&amp;MID(D43,FIND("AT,",D43,1)+4,3)</f>
        <v>120/200</v>
      </c>
      <c r="C43" t="s">
        <v>113</v>
      </c>
      <c r="D43" s="161" t="str">
        <f>VLOOKUP($A43,'5 A data'!$A$5:$U$650,2,FALSE)</f>
        <v>200/5 Range, 1 turns @ 6VA burden, vs 120 AT, 200 range, 2 Stage CT</v>
      </c>
      <c r="E43" s="158"/>
      <c r="F43" s="158"/>
      <c r="G43" s="158"/>
      <c r="H43" s="158"/>
      <c r="I43" s="158"/>
      <c r="J43" s="158"/>
      <c r="K43" s="158"/>
      <c r="P43" s="97"/>
      <c r="R43" s="42"/>
      <c r="Z43" s="29"/>
      <c r="AA43" s="25"/>
      <c r="AD43" s="250"/>
      <c r="AN43" s="29"/>
      <c r="AO43" s="14"/>
    </row>
    <row r="44" spans="1:46" ht="13.15" customHeight="1" x14ac:dyDescent="0.2">
      <c r="A44">
        <v>134</v>
      </c>
      <c r="C44" s="2"/>
      <c r="D44" s="19"/>
      <c r="M44" s="638" t="s">
        <v>160</v>
      </c>
      <c r="N44" s="638"/>
      <c r="O44" s="19"/>
      <c r="P44" s="97"/>
      <c r="R44" s="42"/>
      <c r="Z44" s="29"/>
      <c r="AA44" s="25"/>
      <c r="AD44" s="250"/>
      <c r="AN44" s="29"/>
      <c r="AO44" s="14"/>
    </row>
    <row r="45" spans="1:46" ht="13.15" customHeight="1" x14ac:dyDescent="0.2">
      <c r="A45" s="68">
        <v>135</v>
      </c>
      <c r="B45" s="5" t="str">
        <f>B43&amp;D45</f>
        <v>120/2005</v>
      </c>
      <c r="C45" s="19">
        <f>VLOOKUP($A45,'5 A data'!$A$5:$U$650,3,FALSE)</f>
        <v>0.21600059637204713</v>
      </c>
      <c r="D45" s="19">
        <f>ROUND(VLOOKUP($A45,'5 A data'!$A$5:$U$650,9,FALSE),0)</f>
        <v>5</v>
      </c>
      <c r="E45" s="23">
        <f>TestSetRatioCor</f>
        <v>0.99936709902044762</v>
      </c>
      <c r="F45" s="23">
        <f>TestSetPhaseCor</f>
        <v>1.0011822386327505</v>
      </c>
      <c r="G45" s="486">
        <f>VLOOKUP(B45,TwoStageCT!A$10:H$72,3,FALSE)/10000</f>
        <v>3.6805932694608759E-5</v>
      </c>
      <c r="H45" s="486">
        <f>VLOOKUP(B45,TwoStageCT!A$10:H$72,6,FALSE)/10000</f>
        <v>4.6965346060309593E-6</v>
      </c>
      <c r="I45" s="83">
        <f>VLOOKUP($A45,'5 A data'!$A$5:$U$650,10,FALSE)</f>
        <v>-0.77600000000000002</v>
      </c>
      <c r="J45" s="31">
        <f>VLOOKUP($A45,'5 A data'!$A$5:$U$650,11,FALSE)</f>
        <v>1.1693705988362009</v>
      </c>
      <c r="K45" s="22">
        <f t="shared" ref="K45:L48" si="71">I45-I53</f>
        <v>-0.54400000000000004</v>
      </c>
      <c r="L45" s="22">
        <f t="shared" si="71"/>
        <v>0.77376263505081955</v>
      </c>
      <c r="M45" s="31">
        <f>I45*E45+G45</f>
        <v>-0.77547206290717274</v>
      </c>
      <c r="N45" s="31">
        <f>J45*F45+H45</f>
        <v>1.1707577704687537</v>
      </c>
      <c r="O45" s="20"/>
      <c r="P45" s="634">
        <f>VLOOKUP(B45,TwoStageCT!A$10:H$72,4,FALSE)/10000</f>
        <v>6.4429594675743464E-6</v>
      </c>
      <c r="Q45" s="58">
        <f>VLOOKUP($A45,'5 A data'!$A$5:$U$650,7,FALSE)*slidewire_res</f>
        <v>2E-3</v>
      </c>
      <c r="R45" s="347">
        <f t="shared" ref="R45:R51" si="72">current_coef*(I45-I46)*IF(I46=0,0,1)</f>
        <v>-1.7200000000000017E-2</v>
      </c>
      <c r="S45" s="21">
        <v>0</v>
      </c>
      <c r="T45" s="21">
        <f>BurdenUnc*K45</f>
        <v>-2.7200000000000002E-2</v>
      </c>
      <c r="U45" s="23">
        <f t="shared" ref="U45:U51" si="73">0.004*M45</f>
        <v>-3.1018882516286911E-3</v>
      </c>
      <c r="V45" s="23">
        <f t="shared" ref="V45:V59" si="74">earthing_Re</f>
        <v>5.0000000000000001E-4</v>
      </c>
      <c r="W45" s="23">
        <f>VLOOKUP($D45,Uncertainties!$B$35:$D$41,2,FALSE)</f>
        <v>5.0000000000000044E-3</v>
      </c>
      <c r="X45" s="23"/>
      <c r="Y45" s="24">
        <f t="shared" ref="Y45:Y51" si="75">I45*aux_CT_ratio</f>
        <v>-6.017477224282631E-5</v>
      </c>
      <c r="Z45" s="23">
        <f t="shared" ref="Z45:Z51" si="76">SQRT(SUMSQ(P45:Y45))</f>
        <v>3.2780411425736164E-2</v>
      </c>
      <c r="AA45" s="25">
        <f t="shared" ref="AA45:AA51" si="77">DoF_A(P45:Y45,$P$7:$Y$7)</f>
        <v>9.0884034871808748</v>
      </c>
      <c r="AB45" s="26">
        <f t="shared" ref="AB45:AB51" si="78">CoverFactor(AA45)</f>
        <v>2.2458650587795654</v>
      </c>
      <c r="AC45" s="14"/>
      <c r="AD45" s="635">
        <f>VLOOKUP(B45,TwoStageCT!A$10:H$72,7,FALSE)/10000</f>
        <v>4.6788986298833412E-6</v>
      </c>
      <c r="AE45" s="366">
        <f>IF(ABS(VLOOKUP($A45,'5 A data'!$A$5:$U$1148,6,FALSE))&lt;4.5,IF(ABS(VLOOKUP($A45,'5 A data'!$A$5:$U$1148,6,FALSE))&lt;1.25,0.0008,0.002),0.004)*VLOOKUP($A45,'5 A data'!$A$5:$U$1148,7,FALSE)*25*RADIANS(1/60)*100</f>
        <v>5.8177641733144318E-3</v>
      </c>
      <c r="AF45" s="23">
        <f>current_coef*(J45-J46)*IF(J46=0,0,1)</f>
        <v>3.3161255787892287E-2</v>
      </c>
      <c r="AG45" s="29">
        <f t="shared" ref="AG45:AG51" si="79">0.001*N45</f>
        <v>1.1707577704687538E-3</v>
      </c>
      <c r="AH45" s="4">
        <f>BurdenUnc*L45</f>
        <v>3.8688131752540982E-2</v>
      </c>
      <c r="AI45" s="4">
        <f t="shared" ref="AI45:AI51" si="80">0.004*N45</f>
        <v>4.6830310818750153E-3</v>
      </c>
      <c r="AJ45" s="4">
        <f t="shared" ref="AJ45:AJ59" si="81">earthing_Im</f>
        <v>5.0000000000000001E-4</v>
      </c>
      <c r="AK45" s="21">
        <f>VLOOKUP($D45,Uncertainties!$B$35:$D$41,3,FALSE)</f>
        <v>-1.1635528346628732E-2</v>
      </c>
      <c r="AL45" s="21"/>
      <c r="AM45" s="369">
        <f>SQRT((VLOOKUP($A45,'5 A data'!$A$5:$U$1148,7,FALSE)*mutual_ind)^2+(aux_CT_phase*J45)^2)</f>
        <v>3.4218856346157644E-3</v>
      </c>
      <c r="AN45" s="29">
        <f t="shared" ref="AN45:AN51" si="82">SQRT(SUMSQ(AD45:AM45))</f>
        <v>5.2923842461341498E-2</v>
      </c>
      <c r="AO45" s="14">
        <f t="shared" ref="AO45:AO51" si="83">DoF_A(AD45:AM45,$AD$7:$AM$7)</f>
        <v>11.341313061093393</v>
      </c>
      <c r="AP45" s="27">
        <f t="shared" ref="AP45:AP59" si="84">CoverFactor(AO45)</f>
        <v>2.1839137321948257</v>
      </c>
      <c r="AS45" s="27">
        <f>VLOOKUP($B45,TwoStageCT!$A$10:$H$72,5,FALSE)</f>
        <v>26.31606241070681</v>
      </c>
      <c r="AT45" s="27">
        <f>VLOOKUP($B45,TwoStageCT!$A$10:$H$72,8,FALSE)</f>
        <v>9.9413455012810044</v>
      </c>
    </row>
    <row r="46" spans="1:46" ht="13.15" customHeight="1" x14ac:dyDescent="0.2">
      <c r="A46">
        <v>136</v>
      </c>
      <c r="B46" s="5" t="str">
        <f>B43&amp;D46</f>
        <v>120/20010</v>
      </c>
      <c r="C46" s="19">
        <f>VLOOKUP($A46,'5 A data'!$A$5:$U$650,3,FALSE)</f>
        <v>0.21600059637204713</v>
      </c>
      <c r="D46" s="163">
        <f>ROUND(VLOOKUP($A46,'5 A data'!$A$5:$U$650,9,FALSE)/10,0)*10</f>
        <v>10</v>
      </c>
      <c r="E46" s="23">
        <f t="shared" ref="E46:E59" si="85">TestSetRatioCor</f>
        <v>0.99936709902044762</v>
      </c>
      <c r="F46" s="23">
        <f t="shared" ref="F46:F59" si="86">TestSetPhaseCor</f>
        <v>1.0011822386327505</v>
      </c>
      <c r="G46" s="486">
        <f>VLOOKUP(B46,TwoStageCT!A$10:H$72,3,FALSE)/10000</f>
        <v>3.4690340839935311E-5</v>
      </c>
      <c r="H46" s="486">
        <f>VLOOKUP(B46,TwoStageCT!A$10:H$72,6,FALSE)/10000</f>
        <v>2.6036797087866982E-6</v>
      </c>
      <c r="I46" s="19">
        <f>VLOOKUP($A46,'5 A data'!$A$5:$U$650,10,FALSE)</f>
        <v>-0.69</v>
      </c>
      <c r="J46" s="32">
        <f>VLOOKUP($A46,'5 A data'!$A$5:$U$650,11,FALSE)</f>
        <v>1.0035643198967394</v>
      </c>
      <c r="K46" s="22">
        <f t="shared" si="71"/>
        <v>-0.50499999999999989</v>
      </c>
      <c r="L46" s="22">
        <f t="shared" si="71"/>
        <v>0.70685834705770345</v>
      </c>
      <c r="M46" s="31">
        <f t="shared" ref="M46:M51" si="87">I46*E46+G46</f>
        <v>-0.68952860798326887</v>
      </c>
      <c r="N46" s="31">
        <f t="shared" ref="N46:N51" si="88">J46*F46+H46</f>
        <v>1.00475337608588</v>
      </c>
      <c r="O46" s="20"/>
      <c r="P46" s="634">
        <f>VLOOKUP(B46,TwoStageCT!A$10:H$72,4,FALSE)/10000</f>
        <v>5.0170517941146892E-6</v>
      </c>
      <c r="Q46" s="58">
        <f>VLOOKUP($A46,'5 A data'!$A$5:$U$650,7,FALSE)*slidewire_res</f>
        <v>2E-3</v>
      </c>
      <c r="R46" s="347">
        <f t="shared" si="72"/>
        <v>-1.319999999999999E-2</v>
      </c>
      <c r="S46" s="4">
        <v>0</v>
      </c>
      <c r="T46" s="21">
        <f t="shared" ref="T46:T51" si="89">BurdenUnc*K46</f>
        <v>-2.5249999999999995E-2</v>
      </c>
      <c r="U46" s="29">
        <f t="shared" si="73"/>
        <v>-2.7581144319330756E-3</v>
      </c>
      <c r="V46" s="29">
        <f t="shared" si="74"/>
        <v>5.0000000000000001E-4</v>
      </c>
      <c r="W46" s="23">
        <f>VLOOKUP($D46,Uncertainties!$B$35:$D$41,2,FALSE)</f>
        <v>2.5000000000000022E-3</v>
      </c>
      <c r="X46" s="23"/>
      <c r="Y46" s="24">
        <f t="shared" si="75"/>
        <v>-5.3505918617976998E-5</v>
      </c>
      <c r="Z46" s="23">
        <f t="shared" si="76"/>
        <v>2.8808203402395174E-2</v>
      </c>
      <c r="AA46" s="25">
        <f t="shared" si="77"/>
        <v>7.8816617595251808</v>
      </c>
      <c r="AB46" s="26">
        <f t="shared" si="78"/>
        <v>2.2959489038759981</v>
      </c>
      <c r="AC46" s="14"/>
      <c r="AD46" s="635">
        <f>VLOOKUP(B46,TwoStageCT!A$10:H$72,7,FALSE)/10000</f>
        <v>2.600738521505678E-6</v>
      </c>
      <c r="AE46" s="366">
        <f>IF(ABS(VLOOKUP($A46,'5 A data'!$A$5:$U$1148,6,FALSE))&lt;4.5,IF(ABS(VLOOKUP($A46,'5 A data'!$A$5:$U$1148,6,FALSE))&lt;1.25,0.0008,0.002),0.004)*VLOOKUP($A46,'5 A data'!$A$5:$U$1148,7,FALSE)*25*RADIANS(1/60)*100</f>
        <v>5.8177641733144318E-3</v>
      </c>
      <c r="AF46" s="23">
        <f t="shared" ref="AF46:AF51" si="90">current_coef*(J46-J47)*IF(J47=0,0,1)</f>
        <v>2.2689280275926295E-2</v>
      </c>
      <c r="AG46" s="29">
        <f t="shared" si="79"/>
        <v>1.00475337608588E-3</v>
      </c>
      <c r="AH46" s="4">
        <f t="shared" ref="AH46:AH51" si="91">BurdenUnc*L46</f>
        <v>3.5342917352885174E-2</v>
      </c>
      <c r="AI46" s="4">
        <f t="shared" si="80"/>
        <v>4.0190135043435202E-3</v>
      </c>
      <c r="AJ46" s="4">
        <f t="shared" si="81"/>
        <v>5.0000000000000001E-4</v>
      </c>
      <c r="AK46" s="21">
        <f>VLOOKUP($D46,Uncertainties!$B$35:$D$41,3,FALSE)</f>
        <v>4.363323129985941E-3</v>
      </c>
      <c r="AL46" s="21"/>
      <c r="AM46" s="369">
        <f>SQRT((VLOOKUP($A46,'5 A data'!$A$5:$U$1148,7,FALSE)*mutual_ind)^2+(aux_CT_phase*J46)^2)</f>
        <v>3.4162514032381299E-3</v>
      </c>
      <c r="AN46" s="29">
        <f t="shared" si="82"/>
        <v>4.2963856838908215E-2</v>
      </c>
      <c r="AO46" s="14">
        <f t="shared" si="83"/>
        <v>9.3248219516401658</v>
      </c>
      <c r="AP46" s="27">
        <f t="shared" si="84"/>
        <v>2.2377750279667672</v>
      </c>
      <c r="AS46" s="27">
        <f>VLOOKUP($B46,TwoStageCT!$A$10:$H$72,5,FALSE)</f>
        <v>38.265350164989712</v>
      </c>
      <c r="AT46" s="27">
        <f>VLOOKUP($B46,TwoStageCT!$A$10:$H$72,8,FALSE)</f>
        <v>16.586629386739094</v>
      </c>
    </row>
    <row r="47" spans="1:46" ht="13.15" customHeight="1" x14ac:dyDescent="0.2">
      <c r="A47" s="68">
        <v>137</v>
      </c>
      <c r="B47" s="5" t="str">
        <f>B43&amp;D47</f>
        <v>120/20020</v>
      </c>
      <c r="C47" s="19">
        <f>VLOOKUP($A47,'5 A data'!$A$5:$U$650,3,FALSE)</f>
        <v>0.21600059637204713</v>
      </c>
      <c r="D47" s="163">
        <f>ROUND(VLOOKUP($A47,'5 A data'!$A$5:$U$650,9,FALSE)/10,0)*10</f>
        <v>20</v>
      </c>
      <c r="E47" s="23">
        <f t="shared" si="85"/>
        <v>0.99936709902044762</v>
      </c>
      <c r="F47" s="23">
        <f t="shared" si="86"/>
        <v>1.0011822386327505</v>
      </c>
      <c r="G47" s="486">
        <f>VLOOKUP(B47,TwoStageCT!A$10:H$72,3,FALSE)/10000</f>
        <v>3.1280516301103777E-5</v>
      </c>
      <c r="H47" s="486">
        <f>VLOOKUP(B47,TwoStageCT!A$10:H$72,6,FALSE)/10000</f>
        <v>4.5493238991726806E-6</v>
      </c>
      <c r="I47" s="19">
        <f>VLOOKUP($A47,'5 A data'!$A$5:$U$650,10,FALSE)</f>
        <v>-0.624</v>
      </c>
      <c r="J47" s="32">
        <f>VLOOKUP($A47,'5 A data'!$A$5:$U$650,11,FALSE)</f>
        <v>0.89011791851710798</v>
      </c>
      <c r="K47" s="22">
        <f t="shared" si="71"/>
        <v>-0.46699999999999997</v>
      </c>
      <c r="L47" s="22">
        <f t="shared" si="71"/>
        <v>0.64868070532455901</v>
      </c>
      <c r="M47" s="31">
        <f t="shared" si="87"/>
        <v>-0.62357378927245821</v>
      </c>
      <c r="N47" s="31">
        <f t="shared" si="88"/>
        <v>0.89117479963198143</v>
      </c>
      <c r="O47" s="20"/>
      <c r="P47" s="634">
        <f>VLOOKUP(B47,TwoStageCT!A$10:H$72,4,FALSE)/10000</f>
        <v>4.17832023036102E-6</v>
      </c>
      <c r="Q47" s="58">
        <f>VLOOKUP($A47,'5 A data'!$A$5:$U$650,7,FALSE)*slidewire_res</f>
        <v>2E-3</v>
      </c>
      <c r="R47" s="347">
        <f t="shared" si="72"/>
        <v>-9.2000000000000085E-3</v>
      </c>
      <c r="S47" s="4">
        <v>0</v>
      </c>
      <c r="T47" s="21">
        <f t="shared" si="89"/>
        <v>-2.3349999999999999E-2</v>
      </c>
      <c r="U47" s="29">
        <f t="shared" si="73"/>
        <v>-2.494295157089833E-3</v>
      </c>
      <c r="V47" s="29">
        <f t="shared" si="74"/>
        <v>5.0000000000000001E-4</v>
      </c>
      <c r="W47" s="23">
        <f>VLOOKUP($D47,Uncertainties!$B$35:$D$41,2,FALSE)</f>
        <v>-1.0000000000000009E-3</v>
      </c>
      <c r="X47" s="23"/>
      <c r="Y47" s="24">
        <f t="shared" si="75"/>
        <v>-4.8387961184953118E-5</v>
      </c>
      <c r="Z47" s="23">
        <f t="shared" si="76"/>
        <v>2.5324619783598522E-2</v>
      </c>
      <c r="AA47" s="25">
        <f t="shared" si="77"/>
        <v>6.7541927331263603</v>
      </c>
      <c r="AB47" s="26">
        <f t="shared" si="78"/>
        <v>2.3621401917515916</v>
      </c>
      <c r="AC47" s="14"/>
      <c r="AD47" s="635">
        <f>VLOOKUP(B47,TwoStageCT!A$10:H$72,7,FALSE)/10000</f>
        <v>1.9770475075939077E-6</v>
      </c>
      <c r="AE47" s="366">
        <f>IF(ABS(VLOOKUP($A47,'5 A data'!$A$5:$U$1148,6,FALSE))&lt;4.5,IF(ABS(VLOOKUP($A47,'5 A data'!$A$5:$U$1148,6,FALSE))&lt;1.25,0.0008,0.002),0.004)*VLOOKUP($A47,'5 A data'!$A$5:$U$1148,7,FALSE)*25*RADIANS(1/60)*100</f>
        <v>5.8177641733144318E-3</v>
      </c>
      <c r="AF47" s="23">
        <f t="shared" si="90"/>
        <v>2.0943951023931918E-2</v>
      </c>
      <c r="AG47" s="29">
        <f t="shared" si="79"/>
        <v>8.911747996319814E-4</v>
      </c>
      <c r="AH47" s="4">
        <f t="shared" si="91"/>
        <v>3.2434035266227949E-2</v>
      </c>
      <c r="AI47" s="4">
        <f t="shared" si="80"/>
        <v>3.5646991985279256E-3</v>
      </c>
      <c r="AJ47" s="4">
        <f t="shared" si="81"/>
        <v>5.0000000000000001E-4</v>
      </c>
      <c r="AK47" s="21">
        <f>VLOOKUP($D47,Uncertainties!$B$35:$D$41,3,FALSE)</f>
        <v>-1.454441043328647E-3</v>
      </c>
      <c r="AL47" s="21"/>
      <c r="AM47" s="369">
        <f>SQRT((VLOOKUP($A47,'5 A data'!$A$5:$U$1148,7,FALSE)*mutual_ind)^2+(aux_CT_phase*J47)^2)</f>
        <v>3.412887397900835E-3</v>
      </c>
      <c r="AN47" s="29">
        <f t="shared" si="82"/>
        <v>3.939513401509822E-2</v>
      </c>
      <c r="AO47" s="14">
        <f t="shared" si="83"/>
        <v>9.2604615889192861</v>
      </c>
      <c r="AP47" s="27">
        <f t="shared" si="84"/>
        <v>2.2399310056442729</v>
      </c>
      <c r="AS47" s="27">
        <f>VLOOKUP($B47,TwoStageCT!$A$10:$H$72,5,FALSE)</f>
        <v>36.657700403051521</v>
      </c>
      <c r="AT47" s="27">
        <f>VLOOKUP($B47,TwoStageCT!$A$10:$H$72,8,FALSE)</f>
        <v>53.09445811850042</v>
      </c>
    </row>
    <row r="48" spans="1:46" ht="13.15" customHeight="1" x14ac:dyDescent="0.2">
      <c r="A48">
        <v>138</v>
      </c>
      <c r="B48" s="5" t="str">
        <f>B43&amp;D48</f>
        <v>120/20040</v>
      </c>
      <c r="C48" s="19">
        <f>VLOOKUP($A48,'5 A data'!$A$5:$U$650,3,FALSE)</f>
        <v>0.21600059637204713</v>
      </c>
      <c r="D48" s="163">
        <f>ROUND(VLOOKUP($A48,'5 A data'!$A$5:$U$650,9,FALSE)/10,0)*10</f>
        <v>40</v>
      </c>
      <c r="E48" s="23">
        <f t="shared" si="85"/>
        <v>0.99936709902044762</v>
      </c>
      <c r="F48" s="23">
        <f t="shared" si="86"/>
        <v>1.0011822386327505</v>
      </c>
      <c r="G48" s="486">
        <f>VLOOKUP(B48,TwoStageCT!A$10:H$72,3,FALSE)/10000</f>
        <v>2.5200167333853628E-5</v>
      </c>
      <c r="H48" s="486">
        <f>VLOOKUP(B48,TwoStageCT!A$10:H$72,6,FALSE)/10000</f>
        <v>5.7416420558101514E-6</v>
      </c>
      <c r="I48" s="143">
        <f>VLOOKUP($A48,'5 A data'!$A$5:$U$650,10,FALSE)</f>
        <v>-0.57799999999999996</v>
      </c>
      <c r="J48" s="145">
        <f>VLOOKUP($A48,'5 A data'!$A$5:$U$650,11,FALSE)</f>
        <v>0.78539816339744839</v>
      </c>
      <c r="K48" s="146">
        <f t="shared" si="71"/>
        <v>-0.43999999999999995</v>
      </c>
      <c r="L48" s="146">
        <f t="shared" si="71"/>
        <v>0.58032197628811466</v>
      </c>
      <c r="M48" s="31">
        <f t="shared" si="87"/>
        <v>-0.57760898306648478</v>
      </c>
      <c r="N48" s="31">
        <f t="shared" si="88"/>
        <v>0.78633243309036394</v>
      </c>
      <c r="O48" s="20"/>
      <c r="P48" s="634">
        <f>VLOOKUP(B48,TwoStageCT!A$10:H$72,4,FALSE)/10000</f>
        <v>3.3964590328801363E-6</v>
      </c>
      <c r="Q48" s="58">
        <f>VLOOKUP($A48,'5 A data'!$A$5:$U$650,7,FALSE)*slidewire_res</f>
        <v>2E-3</v>
      </c>
      <c r="R48" s="347">
        <f t="shared" si="72"/>
        <v>-3.1999999999999806E-3</v>
      </c>
      <c r="S48" s="4">
        <v>0</v>
      </c>
      <c r="T48" s="21">
        <f t="shared" si="89"/>
        <v>-2.1999999999999999E-2</v>
      </c>
      <c r="U48" s="29">
        <f t="shared" si="73"/>
        <v>-2.3104359322659394E-3</v>
      </c>
      <c r="V48" s="29">
        <f t="shared" si="74"/>
        <v>5.0000000000000001E-4</v>
      </c>
      <c r="W48" s="23">
        <f>VLOOKUP($D48,Uncertainties!$B$35:$D$41,2,FALSE)</f>
        <v>-1.0000000000000009E-3</v>
      </c>
      <c r="X48" s="23"/>
      <c r="Y48" s="24">
        <f t="shared" si="75"/>
        <v>-4.4820899943754644E-5</v>
      </c>
      <c r="Z48" s="23">
        <f t="shared" si="76"/>
        <v>2.2468425281850779E-2</v>
      </c>
      <c r="AA48" s="25">
        <f t="shared" si="77"/>
        <v>5.436159171864281</v>
      </c>
      <c r="AB48" s="26">
        <f t="shared" si="78"/>
        <v>2.4836102648222287</v>
      </c>
      <c r="AC48" s="14"/>
      <c r="AD48" s="635">
        <f>VLOOKUP(B48,TwoStageCT!A$10:H$72,7,FALSE)/10000</f>
        <v>1.6849048737447556E-6</v>
      </c>
      <c r="AE48" s="366">
        <f>IF(ABS(VLOOKUP($A48,'5 A data'!$A$5:$U$1148,6,FALSE))&lt;4.5,IF(ABS(VLOOKUP($A48,'5 A data'!$A$5:$U$1148,6,FALSE))&lt;1.25,0.0008,0.002),0.004)*VLOOKUP($A48,'5 A data'!$A$5:$U$1148,7,FALSE)*25*RADIANS(1/60)*100</f>
        <v>5.8177641733144318E-3</v>
      </c>
      <c r="AF48" s="23">
        <f t="shared" si="90"/>
        <v>1.6289739685280448E-2</v>
      </c>
      <c r="AG48" s="29">
        <f t="shared" si="79"/>
        <v>7.8633243309036397E-4</v>
      </c>
      <c r="AH48" s="4">
        <f t="shared" si="91"/>
        <v>2.9016098814405734E-2</v>
      </c>
      <c r="AI48" s="4">
        <f t="shared" si="80"/>
        <v>3.1453297323614559E-3</v>
      </c>
      <c r="AJ48" s="4">
        <f t="shared" si="81"/>
        <v>5.0000000000000001E-4</v>
      </c>
      <c r="AK48" s="21">
        <f>VLOOKUP($D48,Uncertainties!$B$35:$D$41,3,FALSE)</f>
        <v>-2.908882086657183E-3</v>
      </c>
      <c r="AL48" s="21"/>
      <c r="AM48" s="369">
        <f>SQRT((VLOOKUP($A48,'5 A data'!$A$5:$U$1148,7,FALSE)*mutual_ind)^2+(aux_CT_phase*J48)^2)</f>
        <v>3.4101374462899821E-3</v>
      </c>
      <c r="AN48" s="29">
        <f t="shared" si="82"/>
        <v>3.423431089497838E-2</v>
      </c>
      <c r="AO48" s="14">
        <f t="shared" si="83"/>
        <v>8.7972417902033531</v>
      </c>
      <c r="AP48" s="27">
        <f t="shared" si="84"/>
        <v>2.2565106976088196</v>
      </c>
      <c r="AS48" s="27">
        <f>VLOOKUP($B48,TwoStageCT!$A$10:$H$72,5,FALSE)</f>
        <v>38.659909732018328</v>
      </c>
      <c r="AT48" s="27">
        <f>VLOOKUP($B48,TwoStageCT!$A$10:$H$72,8,FALSE)</f>
        <v>52.499330597885681</v>
      </c>
    </row>
    <row r="49" spans="1:46" ht="13.15" customHeight="1" x14ac:dyDescent="0.2">
      <c r="A49" s="68">
        <v>139</v>
      </c>
      <c r="B49" s="5" t="str">
        <f>B43&amp;D49</f>
        <v>120/20060</v>
      </c>
      <c r="C49" s="19">
        <f>VLOOKUP($A49,'5 A data'!$A$5:$U$650,3,FALSE)</f>
        <v>0.21600059637204713</v>
      </c>
      <c r="D49" s="163">
        <f>ROUND(VLOOKUP($A49,'5 A data'!$A$5:$U$650,9,FALSE)/10,0)*10</f>
        <v>60</v>
      </c>
      <c r="E49" s="23">
        <f t="shared" si="85"/>
        <v>0.99936709902044762</v>
      </c>
      <c r="F49" s="23">
        <f t="shared" si="86"/>
        <v>1.0011822386327505</v>
      </c>
      <c r="G49" s="486">
        <f>VLOOKUP(B49,TwoStageCT!A$10:H$72,3,FALSE)/10000</f>
        <v>2.195627602528684E-5</v>
      </c>
      <c r="H49" s="486">
        <f>VLOOKUP(B49,TwoStageCT!A$10:H$72,6,FALSE)/10000</f>
        <v>5.5507836163637805E-6</v>
      </c>
      <c r="I49" s="143">
        <f>VLOOKUP($A49,'5 A data'!$A$5:$U$650,10,FALSE)</f>
        <v>-0.56200000000000006</v>
      </c>
      <c r="J49" s="145">
        <f>VLOOKUP($A49,'5 A data'!$A$5:$U$650,11,FALSE)</f>
        <v>0.70394946497104616</v>
      </c>
      <c r="K49" s="146">
        <f t="shared" ref="K49:L51" si="92">I49-I57</f>
        <v>-0.43200000000000005</v>
      </c>
      <c r="L49" s="146">
        <f t="shared" si="92"/>
        <v>0.51341768829499856</v>
      </c>
      <c r="M49" s="31">
        <f t="shared" si="87"/>
        <v>-0.56162235337346633</v>
      </c>
      <c r="N49" s="31">
        <f t="shared" si="88"/>
        <v>0.70478725200765535</v>
      </c>
      <c r="O49" s="20"/>
      <c r="P49" s="634">
        <f>VLOOKUP(B49,TwoStageCT!A$10:H$72,4,FALSE)/10000</f>
        <v>2.9709098248278708E-6</v>
      </c>
      <c r="Q49" s="58">
        <f>VLOOKUP($A49,'5 A data'!$A$5:$U$650,7,FALSE)*slidewire_res</f>
        <v>2E-3</v>
      </c>
      <c r="R49" s="347">
        <f t="shared" si="72"/>
        <v>-5.200000000000005E-3</v>
      </c>
      <c r="S49" s="4">
        <v>0</v>
      </c>
      <c r="T49" s="21">
        <f t="shared" si="89"/>
        <v>-2.1600000000000005E-2</v>
      </c>
      <c r="U49" s="29">
        <f t="shared" si="73"/>
        <v>-2.2464894134938654E-3</v>
      </c>
      <c r="V49" s="29">
        <f t="shared" si="74"/>
        <v>5.0000000000000001E-4</v>
      </c>
      <c r="W49" s="23">
        <f>VLOOKUP($D49,Uncertainties!$B$35:$D$41,2,FALSE)</f>
        <v>-1.0000000000000009E-3</v>
      </c>
      <c r="X49" s="23"/>
      <c r="Y49" s="24">
        <f t="shared" si="75"/>
        <v>-4.3580182990294317E-5</v>
      </c>
      <c r="Z49" s="23">
        <f t="shared" si="76"/>
        <v>2.2447686356139133E-2</v>
      </c>
      <c r="AA49" s="25">
        <f t="shared" si="77"/>
        <v>5.8116795501283915</v>
      </c>
      <c r="AB49" s="26">
        <f t="shared" si="78"/>
        <v>2.4420053116831153</v>
      </c>
      <c r="AC49" s="14"/>
      <c r="AD49" s="635">
        <f>VLOOKUP(B49,TwoStageCT!A$10:H$72,7,FALSE)/10000</f>
        <v>1.6017059195029239E-6</v>
      </c>
      <c r="AE49" s="366">
        <f>IF(ABS(VLOOKUP($A49,'5 A data'!$A$5:$U$1148,6,FALSE))&lt;4.5,IF(ABS(VLOOKUP($A49,'5 A data'!$A$5:$U$1148,6,FALSE))&lt;1.25,0.0008,0.002),0.004)*VLOOKUP($A49,'5 A data'!$A$5:$U$1148,7,FALSE)*25*RADIANS(1/60)*100</f>
        <v>5.8177641733144318E-3</v>
      </c>
      <c r="AF49" s="23">
        <f t="shared" si="90"/>
        <v>2.792526803190927E-2</v>
      </c>
      <c r="AG49" s="29">
        <f t="shared" si="79"/>
        <v>7.0478725200765532E-4</v>
      </c>
      <c r="AH49" s="4">
        <f t="shared" si="91"/>
        <v>2.567088441474993E-2</v>
      </c>
      <c r="AI49" s="4">
        <f t="shared" si="80"/>
        <v>2.8191490080306213E-3</v>
      </c>
      <c r="AJ49" s="4">
        <f t="shared" si="81"/>
        <v>5.0000000000000001E-4</v>
      </c>
      <c r="AK49" s="21">
        <f>VLOOKUP($D49,Uncertainties!$B$35:$D$41,3,FALSE)</f>
        <v>-2.908882086657183E-3</v>
      </c>
      <c r="AL49" s="21"/>
      <c r="AM49" s="369">
        <f>SQRT((VLOOKUP($A49,'5 A data'!$A$5:$U$1148,7,FALSE)*mutual_ind)^2+(aux_CT_phase*J49)^2)</f>
        <v>3.4082349479102442E-3</v>
      </c>
      <c r="AN49" s="29">
        <f t="shared" si="82"/>
        <v>3.8748332486514714E-2</v>
      </c>
      <c r="AO49" s="14">
        <f t="shared" si="83"/>
        <v>10.798882422492639</v>
      </c>
      <c r="AP49" s="27">
        <f t="shared" si="84"/>
        <v>2.1962094854719667</v>
      </c>
      <c r="AS49" s="27">
        <f>VLOOKUP($B49,TwoStageCT!$A$10:$H$72,5,FALSE)</f>
        <v>42.291164682130272</v>
      </c>
      <c r="AT49" s="27">
        <f>VLOOKUP($B49,TwoStageCT!$A$10:$H$72,8,FALSE)</f>
        <v>48.978667479860043</v>
      </c>
    </row>
    <row r="50" spans="1:46" ht="13.15" customHeight="1" x14ac:dyDescent="0.2">
      <c r="A50">
        <v>140</v>
      </c>
      <c r="B50" s="5" t="str">
        <f>B43&amp;D50</f>
        <v>120/200100</v>
      </c>
      <c r="C50" s="19">
        <f>VLOOKUP($A50,'5 A data'!$A$5:$U$650,3,FALSE)</f>
        <v>0.21600059637204713</v>
      </c>
      <c r="D50" s="164">
        <f>ROUND(VLOOKUP($A50,'5 A data'!$A$5:$U$650,9,FALSE)/10,0)*10</f>
        <v>100</v>
      </c>
      <c r="E50" s="23">
        <f t="shared" si="85"/>
        <v>0.99936709902044762</v>
      </c>
      <c r="F50" s="23">
        <f t="shared" si="86"/>
        <v>1.0011822386327505</v>
      </c>
      <c r="G50" s="486">
        <f>VLOOKUP(B50,TwoStageCT!A$10:H$72,3,FALSE)/10000</f>
        <v>1.6881396356939836E-5</v>
      </c>
      <c r="H50" s="486">
        <f>VLOOKUP(B50,TwoStageCT!A$10:H$72,6,FALSE)/10000</f>
        <v>7.3590724152435355E-6</v>
      </c>
      <c r="I50" s="143">
        <f>VLOOKUP($A50,'5 A data'!$A$5:$U$650,10,FALSE)</f>
        <v>-0.53600000000000003</v>
      </c>
      <c r="J50" s="145">
        <f>VLOOKUP($A50,'5 A data'!$A$5:$U$650,11,FALSE)</f>
        <v>0.56432312481149982</v>
      </c>
      <c r="K50" s="146">
        <f t="shared" si="92"/>
        <v>-0.41500000000000004</v>
      </c>
      <c r="L50" s="146">
        <f t="shared" si="92"/>
        <v>0.38979019961206685</v>
      </c>
      <c r="M50" s="31">
        <f t="shared" si="87"/>
        <v>-0.53564388367860305</v>
      </c>
      <c r="N50" s="31">
        <f t="shared" si="88"/>
        <v>0.56499764848342171</v>
      </c>
      <c r="O50" s="20"/>
      <c r="P50" s="634">
        <f>VLOOKUP(B50,TwoStageCT!A$10:H$72,4,FALSE)/10000</f>
        <v>2.4131313466023584E-6</v>
      </c>
      <c r="Q50" s="58">
        <f>VLOOKUP($A50,'5 A data'!$A$5:$U$650,7,FALSE)*slidewire_res</f>
        <v>2E-3</v>
      </c>
      <c r="R50" s="347">
        <f t="shared" si="72"/>
        <v>-3.2000000000000032E-3</v>
      </c>
      <c r="S50" s="4">
        <v>0</v>
      </c>
      <c r="T50" s="21">
        <f t="shared" si="89"/>
        <v>-2.0750000000000005E-2</v>
      </c>
      <c r="U50" s="29">
        <f t="shared" si="73"/>
        <v>-2.1425755347144124E-3</v>
      </c>
      <c r="V50" s="29">
        <f t="shared" si="74"/>
        <v>5.0000000000000001E-4</v>
      </c>
      <c r="W50" s="23">
        <f>VLOOKUP($D50,Uncertainties!$B$35:$D$41,2,FALSE)</f>
        <v>1.999999999999974E-3</v>
      </c>
      <c r="X50" s="23"/>
      <c r="Y50" s="24">
        <f t="shared" si="75"/>
        <v>-4.1564017940921268E-5</v>
      </c>
      <c r="Z50" s="23">
        <f t="shared" si="76"/>
        <v>2.1298940426996531E-2</v>
      </c>
      <c r="AA50" s="25">
        <f t="shared" si="77"/>
        <v>5.5460284840421705</v>
      </c>
      <c r="AB50" s="26">
        <f t="shared" si="78"/>
        <v>2.4707019040876927</v>
      </c>
      <c r="AC50" s="14"/>
      <c r="AD50" s="635">
        <f>VLOOKUP(B50,TwoStageCT!A$10:H$72,7,FALSE)/10000</f>
        <v>1.6933288916776063E-6</v>
      </c>
      <c r="AE50" s="366">
        <f>IF(ABS(VLOOKUP($A50,'5 A data'!$A$5:$U$1148,6,FALSE))&lt;4.5,IF(ABS(VLOOKUP($A50,'5 A data'!$A$5:$U$1148,6,FALSE))&lt;1.25,0.0008,0.002),0.004)*VLOOKUP($A50,'5 A data'!$A$5:$U$1148,7,FALSE)*25*RADIANS(1/60)*100</f>
        <v>5.8177641733144318E-3</v>
      </c>
      <c r="AF50" s="23">
        <f t="shared" si="90"/>
        <v>9.308422677303075E-3</v>
      </c>
      <c r="AG50" s="29">
        <f t="shared" si="79"/>
        <v>5.6499764848342172E-4</v>
      </c>
      <c r="AH50" s="4">
        <f t="shared" si="91"/>
        <v>1.9489509980603344E-2</v>
      </c>
      <c r="AI50" s="4">
        <f t="shared" si="80"/>
        <v>2.2599905939336869E-3</v>
      </c>
      <c r="AJ50" s="4">
        <f t="shared" si="81"/>
        <v>5.0000000000000001E-4</v>
      </c>
      <c r="AK50" s="21">
        <f>VLOOKUP($D50,Uncertainties!$B$35:$D$41,3,FALSE)</f>
        <v>-2.9088820866572385E-3</v>
      </c>
      <c r="AL50" s="21"/>
      <c r="AM50" s="369">
        <f>SQRT((VLOOKUP($A50,'5 A data'!$A$5:$U$1148,7,FALSE)*mutual_ind)^2+(aux_CT_phase*J50)^2)</f>
        <v>3.4054557317081233E-3</v>
      </c>
      <c r="AN50" s="29">
        <f t="shared" si="82"/>
        <v>2.2936207586024132E-2</v>
      </c>
      <c r="AO50" s="14">
        <f t="shared" si="83"/>
        <v>9.0368986744488762</v>
      </c>
      <c r="AP50" s="27">
        <f t="shared" si="84"/>
        <v>2.2476913763104749</v>
      </c>
      <c r="AS50" s="27">
        <f>VLOOKUP($B50,TwoStageCT!$A$10:$H$72,5,FALSE)</f>
        <v>59.567261398457461</v>
      </c>
      <c r="AT50" s="27">
        <f>VLOOKUP($B50,TwoStageCT!$A$10:$H$72,8,FALSE)</f>
        <v>45.732629829898706</v>
      </c>
    </row>
    <row r="51" spans="1:46" ht="13.15" customHeight="1" x14ac:dyDescent="0.2">
      <c r="A51" s="68">
        <v>141</v>
      </c>
      <c r="B51" s="5" t="str">
        <f>B43&amp;D51</f>
        <v>120/200120</v>
      </c>
      <c r="C51" s="19">
        <f>VLOOKUP($A51,'5 A data'!$A$5:$U$650,3,FALSE)</f>
        <v>0.21600059637204713</v>
      </c>
      <c r="D51" s="164">
        <f>ROUND(VLOOKUP($A51,'5 A data'!$A$5:$U$650,9,FALSE)/10,0)*10</f>
        <v>120</v>
      </c>
      <c r="E51" s="23">
        <f t="shared" si="85"/>
        <v>0.99936709902044762</v>
      </c>
      <c r="F51" s="23">
        <f t="shared" si="86"/>
        <v>1.0011822386327505</v>
      </c>
      <c r="G51" s="486">
        <f>VLOOKUP(B51,TwoStageCT!A$10:H$72,3,FALSE)/10000</f>
        <v>1.5213305302217845E-5</v>
      </c>
      <c r="H51" s="486">
        <f>VLOOKUP(B51,TwoStageCT!A$10:H$72,6,FALSE)/10000</f>
        <v>7.5885012454326174E-6</v>
      </c>
      <c r="I51" s="143">
        <f>VLOOKUP($A51,'5 A data'!$A$5:$U$650,10,FALSE)</f>
        <v>-0.52</v>
      </c>
      <c r="J51" s="145">
        <f>VLOOKUP($A51,'5 A data'!$A$5:$U$650,11,FALSE)</f>
        <v>0.51778101142498445</v>
      </c>
      <c r="K51" s="146">
        <f t="shared" si="92"/>
        <v>-0.40050000000000002</v>
      </c>
      <c r="L51" s="146">
        <f t="shared" si="92"/>
        <v>0.34615696831220866</v>
      </c>
      <c r="M51" s="31">
        <f t="shared" si="87"/>
        <v>-0.51965567818533065</v>
      </c>
      <c r="N51" s="31">
        <f t="shared" si="88"/>
        <v>0.51840074064124109</v>
      </c>
      <c r="O51" s="20"/>
      <c r="P51" s="634">
        <f>VLOOKUP(B51,TwoStageCT!A$10:H$72,4,FALSE)/10000</f>
        <v>2.2681305202526645E-6</v>
      </c>
      <c r="Q51" s="58">
        <f>VLOOKUP($A51,'5 A data'!$A$5:$U$650,7,FALSE)*slidewire_res</f>
        <v>2E-3</v>
      </c>
      <c r="R51" s="347">
        <f t="shared" si="72"/>
        <v>0</v>
      </c>
      <c r="S51" s="4">
        <v>0</v>
      </c>
      <c r="T51" s="21">
        <f t="shared" si="89"/>
        <v>-2.0025000000000001E-2</v>
      </c>
      <c r="U51" s="29">
        <f t="shared" si="73"/>
        <v>-2.0786227127413226E-3</v>
      </c>
      <c r="V51" s="29">
        <f t="shared" si="74"/>
        <v>5.0000000000000001E-4</v>
      </c>
      <c r="W51" s="23">
        <f>VLOOKUP($D51,Uncertainties!$B$35:$D$41,2,FALSE)</f>
        <v>-1.0000000000000009E-3</v>
      </c>
      <c r="X51" s="23"/>
      <c r="Y51" s="24">
        <f t="shared" si="75"/>
        <v>-4.0323300987460927E-5</v>
      </c>
      <c r="Z51" s="23">
        <f t="shared" si="76"/>
        <v>2.026259925317931E-2</v>
      </c>
      <c r="AA51" s="25">
        <f t="shared" si="77"/>
        <v>5.2404146852513209</v>
      </c>
      <c r="AB51" s="26">
        <f t="shared" si="78"/>
        <v>2.5083257840046107</v>
      </c>
      <c r="AC51" s="14"/>
      <c r="AD51" s="635">
        <f>VLOOKUP(B51,TwoStageCT!A$10:H$72,7,FALSE)/10000</f>
        <v>1.7092397901526349E-6</v>
      </c>
      <c r="AE51" s="366">
        <f>IF(ABS(VLOOKUP($A51,'5 A data'!$A$5:$U$1148,6,FALSE))&lt;4.5,IF(ABS(VLOOKUP($A51,'5 A data'!$A$5:$U$1148,6,FALSE))&lt;1.25,0.0008,0.002),0.004)*VLOOKUP($A51,'5 A data'!$A$5:$U$1148,7,FALSE)*25*RADIANS(1/60)*100</f>
        <v>5.8177641733144318E-3</v>
      </c>
      <c r="AF51" s="23">
        <f t="shared" si="90"/>
        <v>0</v>
      </c>
      <c r="AG51" s="29">
        <f t="shared" si="79"/>
        <v>5.1840074064124107E-4</v>
      </c>
      <c r="AH51" s="4">
        <f t="shared" si="91"/>
        <v>1.7307848415610432E-2</v>
      </c>
      <c r="AI51" s="4">
        <f t="shared" si="80"/>
        <v>2.0736029625649643E-3</v>
      </c>
      <c r="AJ51" s="4">
        <f t="shared" si="81"/>
        <v>5.0000000000000001E-4</v>
      </c>
      <c r="AK51" s="21">
        <f>VLOOKUP($D51,Uncertainties!$B$35:$D$41,3,FALSE)</f>
        <v>1.4544410433285915E-3</v>
      </c>
      <c r="AL51" s="21"/>
      <c r="AM51" s="369">
        <f>SQRT((VLOOKUP($A51,'5 A data'!$A$5:$U$1148,7,FALSE)*mutual_ind)^2+(aux_CT_phase*J51)^2)</f>
        <v>3.4046648980620643E-3</v>
      </c>
      <c r="AN51" s="29">
        <f t="shared" si="82"/>
        <v>1.8759896323445404E-2</v>
      </c>
      <c r="AO51" s="14">
        <f t="shared" si="83"/>
        <v>6.802543301095616</v>
      </c>
      <c r="AP51" s="27">
        <f t="shared" si="84"/>
        <v>2.3587609449262015</v>
      </c>
      <c r="AS51" s="27">
        <f>VLOOKUP($B51,TwoStageCT!$A$10:$H$72,5,FALSE)</f>
        <v>68.00069900375496</v>
      </c>
      <c r="AT51" s="27">
        <f>VLOOKUP($B51,TwoStageCT!$A$10:$H$72,8,FALSE)</f>
        <v>47.345132453902309</v>
      </c>
    </row>
    <row r="52" spans="1:46" ht="13.15" customHeight="1" x14ac:dyDescent="0.2">
      <c r="A52">
        <v>142</v>
      </c>
      <c r="B52" s="5"/>
      <c r="C52" s="19"/>
      <c r="D52" s="19"/>
      <c r="E52" s="23"/>
      <c r="F52" s="23"/>
      <c r="G52" s="347"/>
      <c r="H52" s="347"/>
      <c r="I52" s="143"/>
      <c r="J52" s="145"/>
      <c r="K52" s="148"/>
      <c r="L52" s="148"/>
      <c r="M52" s="638" t="s">
        <v>430</v>
      </c>
      <c r="N52" s="638"/>
      <c r="O52" s="20"/>
      <c r="P52" s="634"/>
      <c r="Q52" s="58"/>
      <c r="R52" s="347"/>
      <c r="S52" s="4"/>
      <c r="T52" s="4"/>
      <c r="U52" s="29"/>
      <c r="V52" s="29"/>
      <c r="W52" s="29"/>
      <c r="X52" s="29"/>
      <c r="Y52" s="24"/>
      <c r="Z52" s="29"/>
      <c r="AA52" s="25"/>
      <c r="AB52" s="26"/>
      <c r="AC52" s="14"/>
      <c r="AD52" s="635"/>
      <c r="AE52" s="35"/>
      <c r="AF52" s="28"/>
      <c r="AG52" s="29"/>
      <c r="AH52" s="4"/>
      <c r="AI52" s="4"/>
      <c r="AJ52" s="4"/>
      <c r="AK52" s="4"/>
      <c r="AL52" s="4"/>
      <c r="AM52" s="24"/>
      <c r="AN52" s="29"/>
      <c r="AO52" s="14"/>
      <c r="AP52" s="27"/>
    </row>
    <row r="53" spans="1:46" ht="13.15" customHeight="1" x14ac:dyDescent="0.2">
      <c r="A53" s="68">
        <v>143</v>
      </c>
      <c r="B53" s="5" t="str">
        <f>B43&amp;D53</f>
        <v>120/2005</v>
      </c>
      <c r="C53" s="19">
        <f>VLOOKUP($A53,'5 A data'!$A$5:$U$650,3,FALSE)</f>
        <v>2.1000057980615688E-2</v>
      </c>
      <c r="D53" s="19">
        <f>ROUND(VLOOKUP($A53,'5 A data'!$A$5:$U$650,9,FALSE),0)</f>
        <v>5</v>
      </c>
      <c r="E53" s="23">
        <f t="shared" si="85"/>
        <v>0.99936709902044762</v>
      </c>
      <c r="F53" s="23">
        <f t="shared" si="86"/>
        <v>1.0011822386327505</v>
      </c>
      <c r="G53" s="486">
        <f>VLOOKUP(B53,TwoStageCT!A$10:H$72,3,FALSE)/10000</f>
        <v>3.6805932694608759E-5</v>
      </c>
      <c r="H53" s="486">
        <f>VLOOKUP(B53,TwoStageCT!A$10:H$72,6,FALSE)/10000</f>
        <v>4.6965346060309593E-6</v>
      </c>
      <c r="I53" s="149">
        <f>VLOOKUP($A53,'5 A data'!$A$5:$U$650,10,FALSE)</f>
        <v>-0.23200000000000001</v>
      </c>
      <c r="J53" s="152">
        <f>VLOOKUP($A53,'5 A data'!$A$5:$U$650,11,FALSE)</f>
        <v>0.39560796378538138</v>
      </c>
      <c r="K53" s="153"/>
      <c r="L53" s="153"/>
      <c r="M53" s="31">
        <f>I53*E53+G53</f>
        <v>-0.23181636104004924</v>
      </c>
      <c r="N53" s="31">
        <f>J53*F53+H53</f>
        <v>0.39608036333819824</v>
      </c>
      <c r="O53" s="20"/>
      <c r="P53" s="634">
        <f>VLOOKUP(B53,TwoStageCT!A$10:H$72,4,FALSE)/10000</f>
        <v>6.4429594675743464E-6</v>
      </c>
      <c r="Q53" s="58">
        <f>VLOOKUP($A53,'5 A data'!$A$5:$U$650,7,FALSE)*slidewire_res</f>
        <v>1E-3</v>
      </c>
      <c r="R53" s="347">
        <f t="shared" ref="R53:R59" si="93">current_coef*(I53-I54)*IF(I54=0,0,1)</f>
        <v>-9.4000000000000038E-3</v>
      </c>
      <c r="S53" s="4">
        <v>0</v>
      </c>
      <c r="T53" s="4">
        <f>BurdenUnc*K45</f>
        <v>-2.7200000000000002E-2</v>
      </c>
      <c r="U53" s="29">
        <f t="shared" ref="U53:U59" si="94">0.004*M53</f>
        <v>-9.2726544416019694E-4</v>
      </c>
      <c r="V53" s="29">
        <f t="shared" si="74"/>
        <v>5.0000000000000001E-4</v>
      </c>
      <c r="W53" s="23">
        <f>VLOOKUP($D53,Uncertainties!$B$35:$D$41,2,FALSE)</f>
        <v>5.0000000000000044E-3</v>
      </c>
      <c r="X53" s="23"/>
      <c r="Y53" s="24">
        <f t="shared" ref="Y53:Y59" si="95">I53*aux_CT_ratio</f>
        <v>-1.7990395825174879E-5</v>
      </c>
      <c r="Z53" s="23">
        <f t="shared" ref="Z53:Z59" si="96">SQRT(SUMSQ(P53:Y53))</f>
        <v>2.9245686628458605E-2</v>
      </c>
      <c r="AA53" s="25">
        <f t="shared" ref="AA53:AA59" si="97">DoF_A(P53:Y53,$P$7:$Y$7)</f>
        <v>6.5855766783580423</v>
      </c>
      <c r="AB53" s="26">
        <f t="shared" ref="AB53:AB59" si="98">CoverFactor(AA53)</f>
        <v>2.3743947200723996</v>
      </c>
      <c r="AC53" s="14"/>
      <c r="AD53" s="635">
        <f>VLOOKUP(B53,TwoStageCT!A$10:H$72,7,FALSE)/10000</f>
        <v>4.6788986298833412E-6</v>
      </c>
      <c r="AE53" s="366">
        <f>IF(ABS(VLOOKUP($A53,'5 A data'!$A$5:$U$1148,6,FALSE))&lt;4.5,IF(ABS(VLOOKUP($A53,'5 A data'!$A$5:$U$1148,6,FALSE))&lt;1.25,0.0008,0.002),0.004)*VLOOKUP($A53,'5 A data'!$A$5:$U$1148,7,FALSE)*25*RADIANS(1/60)*100</f>
        <v>2.9088820866572159E-3</v>
      </c>
      <c r="AF53" s="23">
        <f t="shared" ref="AF53:AF59" si="99">current_coef*(J53-J54)*IF(J54=0,0,1)</f>
        <v>1.9780398189269077E-2</v>
      </c>
      <c r="AG53" s="29">
        <f t="shared" ref="AG53:AG59" si="100">0.001*N53</f>
        <v>3.9608036333819822E-4</v>
      </c>
      <c r="AH53" s="4">
        <f>BurdenUnc*L45</f>
        <v>3.8688131752540982E-2</v>
      </c>
      <c r="AI53" s="4">
        <f t="shared" ref="AI53:AI59" si="101">0.004*N53</f>
        <v>1.5843214533527929E-3</v>
      </c>
      <c r="AJ53" s="4">
        <f t="shared" si="81"/>
        <v>5.0000000000000001E-4</v>
      </c>
      <c r="AK53" s="21">
        <f>VLOOKUP($D53,Uncertainties!$B$35:$D$41,3,FALSE)</f>
        <v>-1.1635528346628732E-2</v>
      </c>
      <c r="AL53" s="21"/>
      <c r="AM53" s="369">
        <f>SQRT((VLOOKUP($A53,'5 A data'!$A$5:$U$1148,7,FALSE)*mutual_ind)^2+(aux_CT_phase*J53)^2)</f>
        <v>1.7051406291681245E-3</v>
      </c>
      <c r="AN53" s="29">
        <f t="shared" ref="AN53:AN59" si="102">SQRT(SUMSQ(AD53:AM53))</f>
        <v>4.5140971262328786E-2</v>
      </c>
      <c r="AO53" s="14">
        <f t="shared" ref="AO53:AO59" si="103">DoF_A(AD53:AM53,$AD$7:$AM$7)</f>
        <v>8.6475293608063843</v>
      </c>
      <c r="AP53" s="27">
        <f t="shared" si="84"/>
        <v>2.2623042965957096</v>
      </c>
      <c r="AS53" s="27">
        <f>VLOOKUP($B53,TwoStageCT!$A$10:$H$72,5,FALSE)</f>
        <v>26.31606241070681</v>
      </c>
      <c r="AT53" s="27">
        <f>VLOOKUP($B53,TwoStageCT!$A$10:$H$72,8,FALSE)</f>
        <v>9.9413455012810044</v>
      </c>
    </row>
    <row r="54" spans="1:46" ht="13.15" customHeight="1" x14ac:dyDescent="0.2">
      <c r="A54">
        <v>144</v>
      </c>
      <c r="B54" s="5" t="str">
        <f>B43&amp;D54</f>
        <v>120/20010</v>
      </c>
      <c r="C54" s="19">
        <f>VLOOKUP($A54,'5 A data'!$A$5:$U$650,3,FALSE)</f>
        <v>2.1000057980615688E-2</v>
      </c>
      <c r="D54" s="163">
        <f>ROUND(VLOOKUP($A54,'5 A data'!$A$5:$U$650,9,FALSE)/10,0)*10</f>
        <v>10</v>
      </c>
      <c r="E54" s="23">
        <f t="shared" si="85"/>
        <v>0.99936709902044762</v>
      </c>
      <c r="F54" s="23">
        <f t="shared" si="86"/>
        <v>1.0011822386327505</v>
      </c>
      <c r="G54" s="486">
        <f>VLOOKUP(B54,TwoStageCT!A$10:H$72,3,FALSE)/10000</f>
        <v>3.4690340839935311E-5</v>
      </c>
      <c r="H54" s="486">
        <f>VLOOKUP(B54,TwoStageCT!A$10:H$72,6,FALSE)/10000</f>
        <v>2.6036797087866982E-6</v>
      </c>
      <c r="I54" s="149">
        <f>VLOOKUP($A54,'5 A data'!$A$5:$U$650,10,FALSE)</f>
        <v>-0.185</v>
      </c>
      <c r="J54" s="152">
        <f>VLOOKUP($A54,'5 A data'!$A$5:$U$650,11,FALSE)</f>
        <v>0.29670597283903599</v>
      </c>
      <c r="K54" s="153"/>
      <c r="L54" s="153"/>
      <c r="M54" s="31">
        <f t="shared" ref="M54:M59" si="104">I54*E54+G54</f>
        <v>-0.18484822297794287</v>
      </c>
      <c r="N54" s="31">
        <f t="shared" ref="N54:N59" si="105">J54*F54+H54</f>
        <v>0.29705935378240289</v>
      </c>
      <c r="O54" s="20"/>
      <c r="P54" s="634">
        <f>VLOOKUP(B54,TwoStageCT!A$10:H$72,4,FALSE)/10000</f>
        <v>5.0170517941146892E-6</v>
      </c>
      <c r="Q54" s="58">
        <f>VLOOKUP($A54,'5 A data'!$A$5:$U$650,7,FALSE)*slidewire_res</f>
        <v>1E-3</v>
      </c>
      <c r="R54" s="347">
        <f t="shared" si="93"/>
        <v>-5.5999999999999999E-3</v>
      </c>
      <c r="S54" s="4">
        <v>0</v>
      </c>
      <c r="T54" s="4">
        <f t="shared" ref="T54:T59" si="106">BurdenUnc*K46</f>
        <v>-2.5249999999999995E-2</v>
      </c>
      <c r="U54" s="29">
        <f t="shared" si="94"/>
        <v>-7.393928919117715E-4</v>
      </c>
      <c r="V54" s="29">
        <f t="shared" si="74"/>
        <v>5.0000000000000001E-4</v>
      </c>
      <c r="W54" s="23">
        <f>VLOOKUP($D54,Uncertainties!$B$35:$D$41,2,FALSE)</f>
        <v>2.5000000000000022E-3</v>
      </c>
      <c r="X54" s="23"/>
      <c r="Y54" s="24">
        <f t="shared" si="95"/>
        <v>-1.4345789774385138E-5</v>
      </c>
      <c r="Z54" s="23">
        <f t="shared" si="96"/>
        <v>2.6018636259825426E-2</v>
      </c>
      <c r="AA54" s="25">
        <f t="shared" si="97"/>
        <v>5.6233488823652102</v>
      </c>
      <c r="AB54" s="26">
        <f t="shared" si="98"/>
        <v>2.4619977925850054</v>
      </c>
      <c r="AC54" s="14"/>
      <c r="AD54" s="635">
        <f>VLOOKUP(B54,TwoStageCT!A$10:H$72,7,FALSE)/10000</f>
        <v>2.600738521505678E-6</v>
      </c>
      <c r="AE54" s="366">
        <f>IF(ABS(VLOOKUP($A54,'5 A data'!$A$5:$U$1148,6,FALSE))&lt;4.5,IF(ABS(VLOOKUP($A54,'5 A data'!$A$5:$U$1148,6,FALSE))&lt;1.25,0.0008,0.002),0.004)*VLOOKUP($A54,'5 A data'!$A$5:$U$1148,7,FALSE)*25*RADIANS(1/60)*100</f>
        <v>2.9088820866572159E-3</v>
      </c>
      <c r="AF54" s="23">
        <f t="shared" si="99"/>
        <v>1.1053751929297412E-2</v>
      </c>
      <c r="AG54" s="29">
        <f t="shared" si="100"/>
        <v>2.9705935378240291E-4</v>
      </c>
      <c r="AH54" s="4">
        <f t="shared" ref="AH54:AH59" si="107">BurdenUnc*L46</f>
        <v>3.5342917352885174E-2</v>
      </c>
      <c r="AI54" s="4">
        <f t="shared" si="101"/>
        <v>1.1882374151296116E-3</v>
      </c>
      <c r="AJ54" s="4">
        <f t="shared" si="81"/>
        <v>5.0000000000000001E-4</v>
      </c>
      <c r="AK54" s="21">
        <f>VLOOKUP($D54,Uncertainties!$B$35:$D$41,3,FALSE)</f>
        <v>4.363323129985941E-3</v>
      </c>
      <c r="AL54" s="21"/>
      <c r="AM54" s="369">
        <f>SQRT((VLOOKUP($A54,'5 A data'!$A$5:$U$1148,7,FALSE)*mutual_ind)^2+(aux_CT_phase*J54)^2)</f>
        <v>1.7029922230581589E-3</v>
      </c>
      <c r="AN54" s="29">
        <f t="shared" si="102"/>
        <v>3.7462751689485985E-2</v>
      </c>
      <c r="AO54" s="14">
        <f t="shared" si="103"/>
        <v>6.2511636571692382</v>
      </c>
      <c r="AP54" s="27">
        <f t="shared" si="84"/>
        <v>2.4010937400341632</v>
      </c>
      <c r="AS54" s="27">
        <f>VLOOKUP($B54,TwoStageCT!$A$10:$H$72,5,FALSE)</f>
        <v>38.265350164989712</v>
      </c>
      <c r="AT54" s="27">
        <f>VLOOKUP($B54,TwoStageCT!$A$10:$H$72,8,FALSE)</f>
        <v>16.586629386739094</v>
      </c>
    </row>
    <row r="55" spans="1:46" ht="13.15" customHeight="1" x14ac:dyDescent="0.2">
      <c r="A55" s="68">
        <v>145</v>
      </c>
      <c r="B55" s="5" t="str">
        <f>B43&amp;D55</f>
        <v>120/20020</v>
      </c>
      <c r="C55" s="19">
        <f>VLOOKUP($A55,'5 A data'!$A$5:$U$650,3,FALSE)</f>
        <v>2.1000057980615688E-2</v>
      </c>
      <c r="D55" s="163">
        <f>ROUND(VLOOKUP($A55,'5 A data'!$A$5:$U$650,9,FALSE)/10,0)*10</f>
        <v>20</v>
      </c>
      <c r="E55" s="23">
        <f t="shared" si="85"/>
        <v>0.99936709902044762</v>
      </c>
      <c r="F55" s="23">
        <f t="shared" si="86"/>
        <v>1.0011822386327505</v>
      </c>
      <c r="G55" s="486">
        <f>VLOOKUP(B55,TwoStageCT!A$10:H$72,3,FALSE)/10000</f>
        <v>3.1280516301103777E-5</v>
      </c>
      <c r="H55" s="486">
        <f>VLOOKUP(B55,TwoStageCT!A$10:H$72,6,FALSE)/10000</f>
        <v>4.5493238991726806E-6</v>
      </c>
      <c r="I55" s="149">
        <f>VLOOKUP($A55,'5 A data'!$A$5:$U$650,10,FALSE)</f>
        <v>-0.157</v>
      </c>
      <c r="J55" s="152">
        <f>VLOOKUP($A55,'5 A data'!$A$5:$U$650,11,FALSE)</f>
        <v>0.24143721319254893</v>
      </c>
      <c r="K55" s="153"/>
      <c r="L55" s="153"/>
      <c r="M55" s="31">
        <f t="shared" si="104"/>
        <v>-0.15686935402990917</v>
      </c>
      <c r="N55" s="31">
        <f t="shared" si="105"/>
        <v>0.24172719891726796</v>
      </c>
      <c r="O55" s="20"/>
      <c r="P55" s="634">
        <f>VLOOKUP(B55,TwoStageCT!A$10:H$72,4,FALSE)/10000</f>
        <v>4.17832023036102E-6</v>
      </c>
      <c r="Q55" s="58">
        <f>VLOOKUP($A55,'5 A data'!$A$5:$U$650,7,FALSE)*slidewire_res</f>
        <v>1E-3</v>
      </c>
      <c r="R55" s="347">
        <f t="shared" si="93"/>
        <v>-3.7999999999999978E-3</v>
      </c>
      <c r="S55" s="4">
        <v>0</v>
      </c>
      <c r="T55" s="4">
        <f t="shared" si="106"/>
        <v>-2.3349999999999999E-2</v>
      </c>
      <c r="U55" s="29">
        <f t="shared" si="94"/>
        <v>-6.2747741611963667E-4</v>
      </c>
      <c r="V55" s="29">
        <f t="shared" si="74"/>
        <v>5.0000000000000001E-4</v>
      </c>
      <c r="W55" s="23">
        <f>VLOOKUP($D55,Uncertainties!$B$35:$D$41,2,FALSE)</f>
        <v>-1.0000000000000009E-3</v>
      </c>
      <c r="X55" s="23"/>
      <c r="Y55" s="24">
        <f t="shared" si="95"/>
        <v>-1.2174535105829549E-5</v>
      </c>
      <c r="Z55" s="23">
        <f t="shared" si="96"/>
        <v>2.3713000518395078E-2</v>
      </c>
      <c r="AA55" s="25">
        <f t="shared" si="97"/>
        <v>5.3144903682713167</v>
      </c>
      <c r="AB55" s="26">
        <f t="shared" si="98"/>
        <v>2.4986995355549775</v>
      </c>
      <c r="AC55" s="14"/>
      <c r="AD55" s="635">
        <f>VLOOKUP(B55,TwoStageCT!A$10:H$72,7,FALSE)/10000</f>
        <v>1.9770475075939077E-6</v>
      </c>
      <c r="AE55" s="366">
        <f>IF(ABS(VLOOKUP($A55,'5 A data'!$A$5:$U$1148,6,FALSE))&lt;4.5,IF(ABS(VLOOKUP($A55,'5 A data'!$A$5:$U$1148,6,FALSE))&lt;1.25,0.0008,0.002),0.004)*VLOOKUP($A55,'5 A data'!$A$5:$U$1148,7,FALSE)*25*RADIANS(1/60)*100</f>
        <v>2.9088820866572159E-3</v>
      </c>
      <c r="AF55" s="23">
        <f t="shared" si="99"/>
        <v>7.2722052166430467E-3</v>
      </c>
      <c r="AG55" s="29">
        <f t="shared" si="100"/>
        <v>2.4172719891726798E-4</v>
      </c>
      <c r="AH55" s="4">
        <f t="shared" si="107"/>
        <v>3.2434035266227949E-2</v>
      </c>
      <c r="AI55" s="4">
        <f t="shared" si="101"/>
        <v>9.6690879566907191E-4</v>
      </c>
      <c r="AJ55" s="4">
        <f t="shared" si="81"/>
        <v>5.0000000000000001E-4</v>
      </c>
      <c r="AK55" s="21">
        <f>VLOOKUP($D55,Uncertainties!$B$35:$D$41,3,FALSE)</f>
        <v>-1.454441043328647E-3</v>
      </c>
      <c r="AL55" s="21"/>
      <c r="AM55" s="369">
        <f>SQRT((VLOOKUP($A55,'5 A data'!$A$5:$U$1148,7,FALSE)*mutual_ind)^2+(aux_CT_phase*J55)^2)</f>
        <v>1.7020581543825786E-3</v>
      </c>
      <c r="AN55" s="29">
        <f t="shared" si="102"/>
        <v>3.3459960499587237E-2</v>
      </c>
      <c r="AO55" s="14">
        <f t="shared" si="103"/>
        <v>5.6485784370501406</v>
      </c>
      <c r="AP55" s="27">
        <f t="shared" si="84"/>
        <v>2.4592224002034411</v>
      </c>
      <c r="AS55" s="27">
        <f>VLOOKUP($B55,TwoStageCT!$A$10:$H$72,5,FALSE)</f>
        <v>36.657700403051521</v>
      </c>
      <c r="AT55" s="27">
        <f>VLOOKUP($B55,TwoStageCT!$A$10:$H$72,8,FALSE)</f>
        <v>53.09445811850042</v>
      </c>
    </row>
    <row r="56" spans="1:46" ht="13.15" customHeight="1" x14ac:dyDescent="0.2">
      <c r="A56">
        <v>146</v>
      </c>
      <c r="B56" s="5" t="str">
        <f>B43&amp;D56</f>
        <v>120/20040</v>
      </c>
      <c r="C56" s="19">
        <f>VLOOKUP($A56,'5 A data'!$A$5:$U$650,3,FALSE)</f>
        <v>2.1000057980615688E-2</v>
      </c>
      <c r="D56" s="163">
        <f>ROUND(VLOOKUP($A56,'5 A data'!$A$5:$U$650,9,FALSE)/10,0)*10</f>
        <v>40</v>
      </c>
      <c r="E56" s="23">
        <f t="shared" si="85"/>
        <v>0.99936709902044762</v>
      </c>
      <c r="F56" s="23">
        <f t="shared" si="86"/>
        <v>1.0011822386327505</v>
      </c>
      <c r="G56" s="486">
        <f>VLOOKUP(B56,TwoStageCT!A$10:H$72,3,FALSE)/10000</f>
        <v>2.5200167333853628E-5</v>
      </c>
      <c r="H56" s="486">
        <f>VLOOKUP(B56,TwoStageCT!A$10:H$72,6,FALSE)/10000</f>
        <v>5.7416420558101514E-6</v>
      </c>
      <c r="I56" s="149">
        <f>VLOOKUP($A56,'5 A data'!$A$5:$U$650,10,FALSE)</f>
        <v>-0.13800000000000001</v>
      </c>
      <c r="J56" s="152">
        <f>VLOOKUP($A56,'5 A data'!$A$5:$U$650,11,FALSE)</f>
        <v>0.2050761871093337</v>
      </c>
      <c r="K56" s="153"/>
      <c r="L56" s="153"/>
      <c r="M56" s="31">
        <f t="shared" si="104"/>
        <v>-0.13788745949748793</v>
      </c>
      <c r="N56" s="31">
        <f t="shared" si="105"/>
        <v>0.20532437774244733</v>
      </c>
      <c r="O56" s="20"/>
      <c r="P56" s="634">
        <f>VLOOKUP(B56,TwoStageCT!A$10:H$72,4,FALSE)/10000</f>
        <v>3.3964590328801363E-6</v>
      </c>
      <c r="Q56" s="58">
        <f>VLOOKUP($A56,'5 A data'!$A$5:$U$650,7,FALSE)*slidewire_res</f>
        <v>1E-3</v>
      </c>
      <c r="R56" s="347">
        <f t="shared" si="93"/>
        <v>-1.6000000000000016E-3</v>
      </c>
      <c r="S56" s="4">
        <v>0</v>
      </c>
      <c r="T56" s="4">
        <f t="shared" si="106"/>
        <v>-2.1999999999999999E-2</v>
      </c>
      <c r="U56" s="29">
        <f t="shared" si="94"/>
        <v>-5.5154983798995176E-4</v>
      </c>
      <c r="V56" s="29">
        <f t="shared" si="74"/>
        <v>5.0000000000000001E-4</v>
      </c>
      <c r="W56" s="23">
        <f>VLOOKUP($D56,Uncertainties!$B$35:$D$41,2,FALSE)</f>
        <v>-1.0000000000000009E-3</v>
      </c>
      <c r="X56" s="23"/>
      <c r="Y56" s="24">
        <f t="shared" si="95"/>
        <v>-1.0701183723595402E-5</v>
      </c>
      <c r="Z56" s="23">
        <f t="shared" si="96"/>
        <v>2.2115929401113888E-2</v>
      </c>
      <c r="AA56" s="25">
        <f t="shared" si="97"/>
        <v>5.1060495865511424</v>
      </c>
      <c r="AB56" s="26">
        <f t="shared" si="98"/>
        <v>2.5267060007129425</v>
      </c>
      <c r="AC56" s="14"/>
      <c r="AD56" s="635">
        <f>VLOOKUP(B56,TwoStageCT!A$10:H$72,7,FALSE)/10000</f>
        <v>1.6849048737447556E-6</v>
      </c>
      <c r="AE56" s="366">
        <f>IF(ABS(VLOOKUP($A56,'5 A data'!$A$5:$U$1148,6,FALSE))&lt;4.5,IF(ABS(VLOOKUP($A56,'5 A data'!$A$5:$U$1148,6,FALSE))&lt;1.25,0.0008,0.002),0.004)*VLOOKUP($A56,'5 A data'!$A$5:$U$1148,7,FALSE)*25*RADIANS(1/60)*100</f>
        <v>2.9088820866572159E-3</v>
      </c>
      <c r="AF56" s="23">
        <f t="shared" si="99"/>
        <v>2.9088820866572107E-3</v>
      </c>
      <c r="AG56" s="29">
        <f t="shared" si="100"/>
        <v>2.0532437774244732E-4</v>
      </c>
      <c r="AH56" s="4">
        <f t="shared" si="107"/>
        <v>2.9016098814405734E-2</v>
      </c>
      <c r="AI56" s="4">
        <f t="shared" si="101"/>
        <v>8.2129751096978929E-4</v>
      </c>
      <c r="AJ56" s="4">
        <f t="shared" si="81"/>
        <v>5.0000000000000001E-4</v>
      </c>
      <c r="AK56" s="21">
        <f>VLOOKUP($D56,Uncertainties!$B$35:$D$41,3,FALSE)</f>
        <v>-2.908882086657183E-3</v>
      </c>
      <c r="AL56" s="21"/>
      <c r="AM56" s="369">
        <f>SQRT((VLOOKUP($A56,'5 A data'!$A$5:$U$1148,7,FALSE)*mutual_ind)^2+(aux_CT_phase*J56)^2)</f>
        <v>1.7015480534634398E-3</v>
      </c>
      <c r="AN56" s="29">
        <f t="shared" si="102"/>
        <v>2.95157708980869E-2</v>
      </c>
      <c r="AO56" s="14">
        <f t="shared" si="103"/>
        <v>5.352044570745158</v>
      </c>
      <c r="AP56" s="27">
        <f t="shared" si="84"/>
        <v>2.4939488919104207</v>
      </c>
      <c r="AS56" s="27">
        <f>VLOOKUP($B56,TwoStageCT!$A$10:$H$72,5,FALSE)</f>
        <v>38.659909732018328</v>
      </c>
      <c r="AT56" s="27">
        <f>VLOOKUP($B56,TwoStageCT!$A$10:$H$72,8,FALSE)</f>
        <v>52.499330597885681</v>
      </c>
    </row>
    <row r="57" spans="1:46" ht="13.15" customHeight="1" x14ac:dyDescent="0.2">
      <c r="A57" s="68">
        <v>147</v>
      </c>
      <c r="B57" s="5" t="str">
        <f>B43&amp;D57</f>
        <v>120/20060</v>
      </c>
      <c r="C57" s="19">
        <f>VLOOKUP($A57,'5 A data'!$A$5:$U$650,3,FALSE)</f>
        <v>2.1000057980615688E-2</v>
      </c>
      <c r="D57" s="163">
        <f>ROUND(VLOOKUP($A57,'5 A data'!$A$5:$U$650,9,FALSE)/10,0)*10</f>
        <v>60</v>
      </c>
      <c r="E57" s="23">
        <f t="shared" si="85"/>
        <v>0.99936709902044762</v>
      </c>
      <c r="F57" s="23">
        <f t="shared" si="86"/>
        <v>1.0011822386327505</v>
      </c>
      <c r="G57" s="486">
        <f>VLOOKUP(B57,TwoStageCT!A$10:H$72,3,FALSE)/10000</f>
        <v>2.195627602528684E-5</v>
      </c>
      <c r="H57" s="486">
        <f>VLOOKUP(B57,TwoStageCT!A$10:H$72,6,FALSE)/10000</f>
        <v>5.5507836163637805E-6</v>
      </c>
      <c r="I57" s="150">
        <f>VLOOKUP($A57,'5 A data'!$A$5:$U$650,10,FALSE)</f>
        <v>-0.13</v>
      </c>
      <c r="J57" s="152">
        <f>VLOOKUP($A57,'5 A data'!$A$5:$U$650,11,FALSE)</f>
        <v>0.19053177667604765</v>
      </c>
      <c r="K57" s="153"/>
      <c r="L57" s="153"/>
      <c r="M57" s="31">
        <f t="shared" si="104"/>
        <v>-0.12989576659663293</v>
      </c>
      <c r="N57" s="31">
        <f t="shared" si="105"/>
        <v>0.19076258148681702</v>
      </c>
      <c r="O57" s="20"/>
      <c r="P57" s="634">
        <f>VLOOKUP(B57,TwoStageCT!A$10:H$72,4,FALSE)/10000</f>
        <v>2.9709098248278708E-6</v>
      </c>
      <c r="Q57" s="58">
        <f>VLOOKUP($A57,'5 A data'!$A$5:$U$650,7,FALSE)*slidewire_res</f>
        <v>1E-3</v>
      </c>
      <c r="R57" s="347">
        <f t="shared" si="93"/>
        <v>-1.8000000000000017E-3</v>
      </c>
      <c r="S57" s="4">
        <v>0</v>
      </c>
      <c r="T57" s="4">
        <f t="shared" si="106"/>
        <v>-2.1600000000000005E-2</v>
      </c>
      <c r="U57" s="29">
        <f t="shared" si="94"/>
        <v>-5.1958306638653169E-4</v>
      </c>
      <c r="V57" s="29">
        <f t="shared" si="74"/>
        <v>5.0000000000000001E-4</v>
      </c>
      <c r="W57" s="23">
        <f>VLOOKUP($D57,Uncertainties!$B$35:$D$41,2,FALSE)</f>
        <v>-1.0000000000000009E-3</v>
      </c>
      <c r="X57" s="23"/>
      <c r="Y57" s="24">
        <f t="shared" si="95"/>
        <v>-1.0080825246865232E-5</v>
      </c>
      <c r="Z57" s="23">
        <f t="shared" si="96"/>
        <v>2.173292610331657E-2</v>
      </c>
      <c r="AA57" s="25">
        <f t="shared" si="97"/>
        <v>5.1239372952129951</v>
      </c>
      <c r="AB57" s="26">
        <f t="shared" si="98"/>
        <v>2.5241874399175446</v>
      </c>
      <c r="AC57" s="14"/>
      <c r="AD57" s="635">
        <f>VLOOKUP(B57,TwoStageCT!A$10:H$72,7,FALSE)/10000</f>
        <v>1.6017059195029239E-6</v>
      </c>
      <c r="AE57" s="366">
        <f>IF(ABS(VLOOKUP($A57,'5 A data'!$A$5:$U$1148,6,FALSE))&lt;4.5,IF(ABS(VLOOKUP($A57,'5 A data'!$A$5:$U$1148,6,FALSE))&lt;1.25,0.0008,0.002),0.004)*VLOOKUP($A57,'5 A data'!$A$5:$U$1148,7,FALSE)*25*RADIANS(1/60)*100</f>
        <v>2.9088820866572159E-3</v>
      </c>
      <c r="AF57" s="23">
        <f t="shared" si="99"/>
        <v>3.1997702953229404E-3</v>
      </c>
      <c r="AG57" s="29">
        <f t="shared" si="100"/>
        <v>1.9076258148681703E-4</v>
      </c>
      <c r="AH57" s="4">
        <f t="shared" si="107"/>
        <v>2.567088441474993E-2</v>
      </c>
      <c r="AI57" s="4">
        <f t="shared" si="101"/>
        <v>7.6305032594726813E-4</v>
      </c>
      <c r="AJ57" s="4">
        <f t="shared" si="81"/>
        <v>5.0000000000000001E-4</v>
      </c>
      <c r="AK57" s="21">
        <f>VLOOKUP($D57,Uncertainties!$B$35:$D$41,3,FALSE)</f>
        <v>-2.908882086657183E-3</v>
      </c>
      <c r="AL57" s="21"/>
      <c r="AM57" s="369">
        <f>SQRT((VLOOKUP($A57,'5 A data'!$A$5:$U$1148,7,FALSE)*mutual_ind)^2+(aux_CT_phase*J57)^2)</f>
        <v>1.7013672383223266E-3</v>
      </c>
      <c r="AN57" s="29">
        <f t="shared" si="102"/>
        <v>2.6266315230232699E-2</v>
      </c>
      <c r="AO57" s="14">
        <f t="shared" si="103"/>
        <v>5.4775895012891711</v>
      </c>
      <c r="AP57" s="27">
        <f t="shared" si="84"/>
        <v>2.4786657123147542</v>
      </c>
      <c r="AS57" s="27">
        <f>VLOOKUP($B57,TwoStageCT!$A$10:$H$72,5,FALSE)</f>
        <v>42.291164682130272</v>
      </c>
      <c r="AT57" s="27">
        <f>VLOOKUP($B57,TwoStageCT!$A$10:$H$72,8,FALSE)</f>
        <v>48.978667479860043</v>
      </c>
    </row>
    <row r="58" spans="1:46" ht="13.15" customHeight="1" x14ac:dyDescent="0.2">
      <c r="A58">
        <v>148</v>
      </c>
      <c r="B58" s="5" t="str">
        <f>B43&amp;D58</f>
        <v>120/200100</v>
      </c>
      <c r="C58" s="19">
        <f>VLOOKUP($A58,'5 A data'!$A$5:$U$650,3,FALSE)</f>
        <v>2.1000057980615688E-2</v>
      </c>
      <c r="D58" s="164">
        <f>ROUND(VLOOKUP($A58,'5 A data'!$A$5:$U$650,9,FALSE)/10,0)*10</f>
        <v>100</v>
      </c>
      <c r="E58" s="23">
        <f t="shared" si="85"/>
        <v>0.99936709902044762</v>
      </c>
      <c r="F58" s="23">
        <f t="shared" si="86"/>
        <v>1.0011822386327505</v>
      </c>
      <c r="G58" s="486">
        <f>VLOOKUP(B58,TwoStageCT!A$10:H$72,3,FALSE)/10000</f>
        <v>1.6881396356939836E-5</v>
      </c>
      <c r="H58" s="486">
        <f>VLOOKUP(B58,TwoStageCT!A$10:H$72,6,FALSE)/10000</f>
        <v>7.3590724152435355E-6</v>
      </c>
      <c r="I58" s="20">
        <f>VLOOKUP($A58,'5 A data'!$A$5:$U$650,10,FALSE)</f>
        <v>-0.121</v>
      </c>
      <c r="J58" s="32">
        <f>VLOOKUP($A58,'5 A data'!$A$5:$U$650,11,FALSE)</f>
        <v>0.17453292519943295</v>
      </c>
      <c r="K58" s="31"/>
      <c r="L58" s="31"/>
      <c r="M58" s="31">
        <f t="shared" si="104"/>
        <v>-0.12090653758511721</v>
      </c>
      <c r="N58" s="31">
        <f t="shared" si="105"/>
        <v>0.17474662383870593</v>
      </c>
      <c r="O58" s="20"/>
      <c r="P58" s="634">
        <f>VLOOKUP(B58,TwoStageCT!A$10:H$72,4,FALSE)/10000</f>
        <v>2.4131313466023584E-6</v>
      </c>
      <c r="Q58" s="58">
        <f>VLOOKUP($A58,'5 A data'!$A$5:$U$650,7,FALSE)*slidewire_res</f>
        <v>1E-3</v>
      </c>
      <c r="R58" s="347">
        <f t="shared" si="93"/>
        <v>-3.000000000000003E-4</v>
      </c>
      <c r="S58" s="4">
        <v>0</v>
      </c>
      <c r="T58" s="4">
        <f t="shared" si="106"/>
        <v>-2.0750000000000005E-2</v>
      </c>
      <c r="U58" s="29">
        <f t="shared" si="94"/>
        <v>-4.8362615034046888E-4</v>
      </c>
      <c r="V58" s="29">
        <f t="shared" si="74"/>
        <v>5.0000000000000001E-4</v>
      </c>
      <c r="W58" s="23">
        <f>VLOOKUP($D58,Uncertainties!$B$35:$D$41,2,FALSE)</f>
        <v>1.999999999999974E-3</v>
      </c>
      <c r="X58" s="23"/>
      <c r="Y58" s="24">
        <f t="shared" si="95"/>
        <v>-9.3829219605437922E-6</v>
      </c>
      <c r="Z58" s="23">
        <f t="shared" si="96"/>
        <v>2.0883881059700578E-2</v>
      </c>
      <c r="AA58" s="25">
        <f t="shared" si="97"/>
        <v>5.1300880074595643</v>
      </c>
      <c r="AB58" s="26">
        <f t="shared" si="98"/>
        <v>2.5233266537226249</v>
      </c>
      <c r="AC58" s="14"/>
      <c r="AD58" s="635">
        <f>VLOOKUP(B58,TwoStageCT!A$10:H$72,7,FALSE)/10000</f>
        <v>1.6933288916776063E-6</v>
      </c>
      <c r="AE58" s="366">
        <f>IF(ABS(VLOOKUP($A58,'5 A data'!$A$5:$U$1148,6,FALSE))&lt;4.5,IF(ABS(VLOOKUP($A58,'5 A data'!$A$5:$U$1148,6,FALSE))&lt;1.25,0.0008,0.002),0.004)*VLOOKUP($A58,'5 A data'!$A$5:$U$1148,7,FALSE)*25*RADIANS(1/60)*100</f>
        <v>2.9088820866572159E-3</v>
      </c>
      <c r="AF58" s="23">
        <f t="shared" si="99"/>
        <v>5.8177641733143666E-4</v>
      </c>
      <c r="AG58" s="29">
        <f t="shared" si="100"/>
        <v>1.7474662383870594E-4</v>
      </c>
      <c r="AH58" s="4">
        <f t="shared" si="107"/>
        <v>1.9489509980603344E-2</v>
      </c>
      <c r="AI58" s="4">
        <f t="shared" si="101"/>
        <v>6.9898649535482375E-4</v>
      </c>
      <c r="AJ58" s="4">
        <f t="shared" si="81"/>
        <v>5.0000000000000001E-4</v>
      </c>
      <c r="AK58" s="21">
        <f>VLOOKUP($D58,Uncertainties!$B$35:$D$41,3,FALSE)</f>
        <v>-2.9088820866572385E-3</v>
      </c>
      <c r="AL58" s="21"/>
      <c r="AM58" s="369">
        <f>SQRT((VLOOKUP($A58,'5 A data'!$A$5:$U$1148,7,FALSE)*mutual_ind)^2+(aux_CT_phase*J58)^2)</f>
        <v>1.7011836780036968E-3</v>
      </c>
      <c r="AN58" s="29">
        <f t="shared" si="102"/>
        <v>2.0019135854198386E-2</v>
      </c>
      <c r="AO58" s="14">
        <f t="shared" si="103"/>
        <v>5.5618537459727122</v>
      </c>
      <c r="AP58" s="27">
        <f t="shared" si="84"/>
        <v>2.4688955902234913</v>
      </c>
      <c r="AS58" s="27">
        <f>VLOOKUP($B58,TwoStageCT!$A$10:$H$72,5,FALSE)</f>
        <v>59.567261398457461</v>
      </c>
      <c r="AT58" s="27">
        <f>VLOOKUP($B58,TwoStageCT!$A$10:$H$72,8,FALSE)</f>
        <v>45.732629829898706</v>
      </c>
    </row>
    <row r="59" spans="1:46" ht="13.15" customHeight="1" x14ac:dyDescent="0.2">
      <c r="A59" s="68">
        <v>149</v>
      </c>
      <c r="B59" s="5" t="str">
        <f>B43&amp;D59</f>
        <v>120/200120</v>
      </c>
      <c r="C59" s="19">
        <f>VLOOKUP($A59,'5 A data'!$A$5:$U$650,3,FALSE)</f>
        <v>2.1000057980615688E-2</v>
      </c>
      <c r="D59" s="164">
        <f>ROUND(VLOOKUP($A59,'5 A data'!$A$5:$U$650,9,FALSE)/10,0)*10</f>
        <v>120</v>
      </c>
      <c r="E59" s="23">
        <f t="shared" si="85"/>
        <v>0.99936709902044762</v>
      </c>
      <c r="F59" s="23">
        <f t="shared" si="86"/>
        <v>1.0011822386327505</v>
      </c>
      <c r="G59" s="486">
        <f>VLOOKUP(B59,TwoStageCT!A$10:H$72,3,FALSE)/10000</f>
        <v>1.5213305302217845E-5</v>
      </c>
      <c r="H59" s="486">
        <f>VLOOKUP(B59,TwoStageCT!A$10:H$72,6,FALSE)/10000</f>
        <v>7.5885012454326174E-6</v>
      </c>
      <c r="I59" s="20">
        <f>VLOOKUP($A59,'5 A data'!$A$5:$U$650,10,FALSE)</f>
        <v>-0.1195</v>
      </c>
      <c r="J59" s="32">
        <f>VLOOKUP($A59,'5 A data'!$A$5:$U$650,11,FALSE)</f>
        <v>0.17162404311277576</v>
      </c>
      <c r="K59" s="31"/>
      <c r="L59" s="31"/>
      <c r="M59" s="31">
        <f t="shared" si="104"/>
        <v>-0.11940915502764127</v>
      </c>
      <c r="N59" s="31">
        <f t="shared" si="105"/>
        <v>0.17183453218809797</v>
      </c>
      <c r="O59" s="20"/>
      <c r="P59" s="634">
        <f>VLOOKUP(B59,TwoStageCT!A$10:H$72,4,FALSE)/10000</f>
        <v>2.2681305202526645E-6</v>
      </c>
      <c r="Q59" s="58">
        <f>VLOOKUP($A59,'5 A data'!$A$5:$U$650,7,FALSE)*slidewire_res</f>
        <v>1E-3</v>
      </c>
      <c r="R59" s="347">
        <f t="shared" si="93"/>
        <v>0</v>
      </c>
      <c r="S59" s="4">
        <v>0</v>
      </c>
      <c r="T59" s="4">
        <f t="shared" si="106"/>
        <v>-2.0025000000000001E-2</v>
      </c>
      <c r="U59" s="29">
        <f t="shared" si="94"/>
        <v>-4.7763662011056509E-4</v>
      </c>
      <c r="V59" s="29">
        <f t="shared" si="74"/>
        <v>5.0000000000000001E-4</v>
      </c>
      <c r="W59" s="23">
        <f>VLOOKUP($D59,Uncertainties!$B$35:$D$41,2,FALSE)</f>
        <v>-1.0000000000000009E-3</v>
      </c>
      <c r="X59" s="23"/>
      <c r="Y59" s="24">
        <f t="shared" si="95"/>
        <v>-9.2666047461568862E-6</v>
      </c>
      <c r="Z59" s="23">
        <f t="shared" si="96"/>
        <v>2.0086783036495671E-2</v>
      </c>
      <c r="AA59" s="25">
        <f t="shared" si="97"/>
        <v>5.0619443862433569</v>
      </c>
      <c r="AB59" s="26">
        <f t="shared" si="98"/>
        <v>2.5330142239362976</v>
      </c>
      <c r="AC59" s="14"/>
      <c r="AD59" s="635">
        <f>VLOOKUP(B59,TwoStageCT!A$10:H$72,7,FALSE)/10000</f>
        <v>1.7092397901526349E-6</v>
      </c>
      <c r="AE59" s="366">
        <f>IF(ABS(VLOOKUP($A59,'5 A data'!$A$5:$U$1148,6,FALSE))&lt;4.5,IF(ABS(VLOOKUP($A59,'5 A data'!$A$5:$U$1148,6,FALSE))&lt;1.25,0.0008,0.002),0.004)*VLOOKUP($A59,'5 A data'!$A$5:$U$1148,7,FALSE)*25*RADIANS(1/60)*100</f>
        <v>2.9088820866572159E-3</v>
      </c>
      <c r="AF59" s="23">
        <f t="shared" si="99"/>
        <v>0</v>
      </c>
      <c r="AG59" s="29">
        <f t="shared" si="100"/>
        <v>1.7183453218809797E-4</v>
      </c>
      <c r="AH59" s="4">
        <f t="shared" si="107"/>
        <v>1.7307848415610432E-2</v>
      </c>
      <c r="AI59" s="4">
        <f t="shared" si="101"/>
        <v>6.873381287523919E-4</v>
      </c>
      <c r="AJ59" s="4">
        <f t="shared" si="81"/>
        <v>5.0000000000000001E-4</v>
      </c>
      <c r="AK59" s="21">
        <f>VLOOKUP($D59,Uncertainties!$B$35:$D$41,3,FALSE)</f>
        <v>1.4544410433285915E-3</v>
      </c>
      <c r="AL59" s="21"/>
      <c r="AM59" s="369">
        <f>SQRT((VLOOKUP($A59,'5 A data'!$A$5:$U$1148,7,FALSE)*mutual_ind)^2+(aux_CT_phase*J59)^2)</f>
        <v>1.7011520299637143E-3</v>
      </c>
      <c r="AN59" s="29">
        <f t="shared" si="102"/>
        <v>1.7713963206481546E-2</v>
      </c>
      <c r="AO59" s="14">
        <f t="shared" si="103"/>
        <v>5.4810493984071851</v>
      </c>
      <c r="AP59" s="27">
        <f t="shared" si="84"/>
        <v>2.4782570661211127</v>
      </c>
      <c r="AS59" s="27">
        <f>VLOOKUP($B59,TwoStageCT!$A$10:$H$72,5,FALSE)</f>
        <v>68.00069900375496</v>
      </c>
      <c r="AT59" s="27">
        <f>VLOOKUP($B59,TwoStageCT!$A$10:$H$72,8,FALSE)</f>
        <v>47.345132453902309</v>
      </c>
    </row>
    <row r="60" spans="1:46" ht="13.15" customHeight="1" x14ac:dyDescent="0.2">
      <c r="A60">
        <v>150</v>
      </c>
      <c r="P60" s="97"/>
      <c r="R60" s="42"/>
      <c r="Z60" s="29"/>
      <c r="AA60" s="25"/>
      <c r="AD60" s="250"/>
      <c r="AN60" s="29"/>
      <c r="AO60" s="14"/>
    </row>
    <row r="61" spans="1:46" ht="13.15" customHeight="1" x14ac:dyDescent="0.2">
      <c r="A61" s="68">
        <v>151</v>
      </c>
      <c r="B61" s="474" t="str">
        <f>MID(D61,FIND("AT,",D61,1)-4,3)&amp;"/"&amp;MID(D61,FIND("AT,",D61,1)+4,3)</f>
        <v>120/200</v>
      </c>
      <c r="C61" t="s">
        <v>113</v>
      </c>
      <c r="D61" s="161" t="str">
        <f>VLOOKUP($A61,'5 A data'!$A$5:$U$650,2,FALSE)</f>
        <v>200/5 Range, 1 turns @ 4VA burden, vs 120 AT, 200 range, 2 Stage CT</v>
      </c>
      <c r="E61" s="158"/>
      <c r="F61" s="158"/>
      <c r="G61" s="158"/>
      <c r="H61" s="158"/>
      <c r="I61" s="158"/>
      <c r="J61" s="158"/>
      <c r="K61" s="158"/>
      <c r="P61" s="97"/>
      <c r="R61" s="42"/>
      <c r="Z61" s="29"/>
      <c r="AA61" s="25"/>
      <c r="AD61" s="250"/>
      <c r="AN61" s="29"/>
      <c r="AO61" s="14"/>
    </row>
    <row r="62" spans="1:46" ht="13.15" customHeight="1" x14ac:dyDescent="0.2">
      <c r="A62">
        <v>152</v>
      </c>
      <c r="C62" s="2"/>
      <c r="D62" s="19"/>
      <c r="M62" s="638" t="s">
        <v>160</v>
      </c>
      <c r="N62" s="638"/>
      <c r="O62" s="19"/>
      <c r="P62" s="97"/>
      <c r="R62" s="42"/>
      <c r="Z62" s="29"/>
      <c r="AA62" s="25"/>
      <c r="AD62" s="250"/>
      <c r="AN62" s="29"/>
      <c r="AO62" s="14"/>
    </row>
    <row r="63" spans="1:46" ht="13.15" customHeight="1" x14ac:dyDescent="0.2">
      <c r="A63" s="68">
        <v>153</v>
      </c>
      <c r="B63" s="5" t="str">
        <f>B61&amp;D63</f>
        <v>120/2005</v>
      </c>
      <c r="C63" s="19">
        <f>VLOOKUP($A63,'5 A data'!$A$5:$U$650,3,FALSE)</f>
        <v>0.21600059637204713</v>
      </c>
      <c r="D63" s="19">
        <f>ROUND(VLOOKUP($A63,'5 A data'!$A$5:$U$650,9,FALSE),0)</f>
        <v>5</v>
      </c>
      <c r="E63" s="23">
        <f>TestSetRatioCor</f>
        <v>0.99936709902044762</v>
      </c>
      <c r="F63" s="23">
        <f>TestSetPhaseCor</f>
        <v>1.0011822386327505</v>
      </c>
      <c r="G63" s="486">
        <f>VLOOKUP(B63,TwoStageCT!A$10:H$72,3,FALSE)/10000</f>
        <v>3.6805932694608759E-5</v>
      </c>
      <c r="H63" s="486">
        <f>VLOOKUP(B63,TwoStageCT!A$10:H$72,6,FALSE)/10000</f>
        <v>4.6965346060309593E-6</v>
      </c>
      <c r="I63" s="83">
        <f>VLOOKUP($A63,'5 A data'!$A$5:$U$650,10,FALSE)</f>
        <v>-0.6</v>
      </c>
      <c r="J63" s="31">
        <f>VLOOKUP($A63,'5 A data'!$A$5:$U$650,11,FALSE)</f>
        <v>0.92502450355699473</v>
      </c>
      <c r="K63" s="22">
        <f t="shared" ref="K63:L66" si="108">I63-I71</f>
        <v>-0.36799999999999999</v>
      </c>
      <c r="L63" s="22">
        <f t="shared" si="108"/>
        <v>0.52941653977161329</v>
      </c>
      <c r="M63" s="31">
        <f>I63*E63+G63</f>
        <v>-0.59958345347957398</v>
      </c>
      <c r="N63" s="31">
        <f>J63*F63+H63</f>
        <v>0.92612279979594658</v>
      </c>
      <c r="O63" s="20"/>
      <c r="P63" s="634">
        <f>VLOOKUP(B63,TwoStageCT!A$10:H$72,4,FALSE)/10000</f>
        <v>6.4429594675743464E-6</v>
      </c>
      <c r="Q63" s="58">
        <f>VLOOKUP($A63,'5 A data'!$A$5:$U$650,7,FALSE)*slidewire_res</f>
        <v>2E-3</v>
      </c>
      <c r="R63" s="347">
        <f t="shared" ref="R63:R69" si="109">current_coef*(I63-I64)*IF(I64=0,0,1)</f>
        <v>-1.5599999999999992E-2</v>
      </c>
      <c r="S63" s="21">
        <v>0</v>
      </c>
      <c r="T63" s="21">
        <f>BurdenUnc*K63</f>
        <v>-1.84E-2</v>
      </c>
      <c r="U63" s="23">
        <f t="shared" ref="U63:U69" si="110">0.004*M63</f>
        <v>-2.3983338139182959E-3</v>
      </c>
      <c r="V63" s="23">
        <f t="shared" ref="V63:V77" si="111">earthing_Re</f>
        <v>5.0000000000000001E-4</v>
      </c>
      <c r="W63" s="23">
        <f>VLOOKUP($D63,Uncertainties!$B$35:$D$41,2,FALSE)</f>
        <v>5.0000000000000044E-3</v>
      </c>
      <c r="X63" s="23"/>
      <c r="Y63" s="24">
        <f t="shared" ref="Y63:Y69" si="112">I63*aux_CT_ratio</f>
        <v>-4.6526885754762608E-5</v>
      </c>
      <c r="Z63" s="23">
        <f t="shared" ref="Z63:Z69" si="113">SQRT(SUMSQ(P63:Y63))</f>
        <v>2.4837959081732308E-2</v>
      </c>
      <c r="AA63" s="25">
        <f t="shared" ref="AA63:AA69" si="114">DoF_A(P63:Y63,$P$7:$Y$7)</f>
        <v>10.927475778105913</v>
      </c>
      <c r="AB63" s="26">
        <f t="shared" ref="AB63:AB69" si="115">CoverFactor(AA63)</f>
        <v>2.1931724882733556</v>
      </c>
      <c r="AC63" s="14"/>
      <c r="AD63" s="635">
        <f>VLOOKUP(B63,TwoStageCT!A$10:H$72,7,FALSE)/10000</f>
        <v>4.6788986298833412E-6</v>
      </c>
      <c r="AE63" s="366">
        <f>IF(ABS(VLOOKUP($A63,'5 A data'!$A$5:$U$1148,6,FALSE))&lt;4.5,IF(ABS(VLOOKUP($A63,'5 A data'!$A$5:$U$1148,6,FALSE))&lt;1.25,0.0008,0.002),0.004)*VLOOKUP($A63,'5 A data'!$A$5:$U$1148,7,FALSE)*25*RADIANS(1/60)*100</f>
        <v>5.8177641733144318E-3</v>
      </c>
      <c r="AF63" s="23">
        <f>current_coef*(J63-J64)*IF(J64=0,0,1)</f>
        <v>2.792526803190927E-2</v>
      </c>
      <c r="AG63" s="29">
        <f t="shared" ref="AG63:AG69" si="116">0.001*N63</f>
        <v>9.2612279979594663E-4</v>
      </c>
      <c r="AH63" s="4">
        <f>BurdenUnc*L63</f>
        <v>2.6470826988580665E-2</v>
      </c>
      <c r="AI63" s="4">
        <f t="shared" ref="AI63:AI69" si="117">0.004*N63</f>
        <v>3.7044911991837865E-3</v>
      </c>
      <c r="AJ63" s="4">
        <f t="shared" ref="AJ63:AJ77" si="118">earthing_Im</f>
        <v>5.0000000000000001E-4</v>
      </c>
      <c r="AK63" s="21">
        <f>VLOOKUP($D63,Uncertainties!$B$35:$D$41,3,FALSE)</f>
        <v>-1.1635528346628732E-2</v>
      </c>
      <c r="AL63" s="21"/>
      <c r="AM63" s="369">
        <f>SQRT((VLOOKUP($A63,'5 A data'!$A$5:$U$1148,7,FALSE)*mutual_ind)^2+(aux_CT_phase*J63)^2)</f>
        <v>3.4138798915973856E-3</v>
      </c>
      <c r="AN63" s="29">
        <f t="shared" ref="AN63:AN69" si="119">SQRT(SUMSQ(AD63:AM63))</f>
        <v>4.0941943435629964E-2</v>
      </c>
      <c r="AO63" s="14">
        <f t="shared" ref="AO63:AO69" si="120">DoF_A(AD63:AM63,$AD$7:$AM$7)</f>
        <v>12.680592834728374</v>
      </c>
      <c r="AP63" s="27">
        <f t="shared" ref="AP63:AP77" si="121">CoverFactor(AO63)</f>
        <v>2.1584588705384009</v>
      </c>
      <c r="AS63" s="27">
        <f>VLOOKUP($B63,TwoStageCT!$A$10:$H$72,5,FALSE)</f>
        <v>26.31606241070681</v>
      </c>
      <c r="AT63" s="27">
        <f>VLOOKUP($B63,TwoStageCT!$A$10:$H$72,8,FALSE)</f>
        <v>9.9413455012810044</v>
      </c>
    </row>
    <row r="64" spans="1:46" ht="13.15" customHeight="1" x14ac:dyDescent="0.2">
      <c r="A64">
        <v>154</v>
      </c>
      <c r="B64" s="5" t="str">
        <f>B61&amp;D64</f>
        <v>120/20010</v>
      </c>
      <c r="C64" s="19">
        <f>VLOOKUP($A64,'5 A data'!$A$5:$U$650,3,FALSE)</f>
        <v>0.21600059637204713</v>
      </c>
      <c r="D64" s="163">
        <f>ROUND(VLOOKUP($A64,'5 A data'!$A$5:$U$650,9,FALSE)/10,0)*10</f>
        <v>10</v>
      </c>
      <c r="E64" s="23">
        <f t="shared" ref="E64:E77" si="122">TestSetRatioCor</f>
        <v>0.99936709902044762</v>
      </c>
      <c r="F64" s="23">
        <f t="shared" ref="F64:F77" si="123">TestSetPhaseCor</f>
        <v>1.0011822386327505</v>
      </c>
      <c r="G64" s="486">
        <f>VLOOKUP(B64,TwoStageCT!A$10:H$72,3,FALSE)/10000</f>
        <v>3.4690340839935311E-5</v>
      </c>
      <c r="H64" s="486">
        <f>VLOOKUP(B64,TwoStageCT!A$10:H$72,6,FALSE)/10000</f>
        <v>2.6036797087866982E-6</v>
      </c>
      <c r="I64" s="19">
        <f>VLOOKUP($A64,'5 A data'!$A$5:$U$650,10,FALSE)</f>
        <v>-0.52200000000000002</v>
      </c>
      <c r="J64" s="32">
        <f>VLOOKUP($A64,'5 A data'!$A$5:$U$650,11,FALSE)</f>
        <v>0.78539816339744839</v>
      </c>
      <c r="K64" s="22">
        <f t="shared" si="108"/>
        <v>-0.33700000000000002</v>
      </c>
      <c r="L64" s="22">
        <f t="shared" si="108"/>
        <v>0.4886921905584124</v>
      </c>
      <c r="M64" s="31">
        <f t="shared" ref="M64:M69" si="124">I64*E64+G64</f>
        <v>-0.52163493534783378</v>
      </c>
      <c r="N64" s="31">
        <f t="shared" ref="N64:N69" si="125">J64*F64+H64</f>
        <v>0.78632929512801697</v>
      </c>
      <c r="O64" s="20"/>
      <c r="P64" s="634">
        <f>VLOOKUP(B64,TwoStageCT!A$10:H$72,4,FALSE)/10000</f>
        <v>5.0170517941146892E-6</v>
      </c>
      <c r="Q64" s="58">
        <f>VLOOKUP($A64,'5 A data'!$A$5:$U$650,7,FALSE)*slidewire_res</f>
        <v>2E-3</v>
      </c>
      <c r="R64" s="347">
        <f t="shared" si="109"/>
        <v>-9.6000000000000096E-3</v>
      </c>
      <c r="S64" s="4">
        <v>0</v>
      </c>
      <c r="T64" s="21">
        <f t="shared" ref="T64:T69" si="126">BurdenUnc*K64</f>
        <v>-1.685E-2</v>
      </c>
      <c r="U64" s="29">
        <f t="shared" si="110"/>
        <v>-2.0865397413913351E-3</v>
      </c>
      <c r="V64" s="29">
        <f t="shared" si="111"/>
        <v>5.0000000000000001E-4</v>
      </c>
      <c r="W64" s="23">
        <f>VLOOKUP($D64,Uncertainties!$B$35:$D$41,2,FALSE)</f>
        <v>2.5000000000000022E-3</v>
      </c>
      <c r="X64" s="23"/>
      <c r="Y64" s="24">
        <f t="shared" si="112"/>
        <v>-4.0478390606643473E-5</v>
      </c>
      <c r="Z64" s="23">
        <f t="shared" si="113"/>
        <v>1.9772147373599065E-2</v>
      </c>
      <c r="AA64" s="25">
        <f t="shared" si="114"/>
        <v>8.5710559371454096</v>
      </c>
      <c r="AB64" s="26">
        <f t="shared" si="115"/>
        <v>2.2653533168195614</v>
      </c>
      <c r="AC64" s="14"/>
      <c r="AD64" s="635">
        <f>VLOOKUP(B64,TwoStageCT!A$10:H$72,7,FALSE)/10000</f>
        <v>2.600738521505678E-6</v>
      </c>
      <c r="AE64" s="366">
        <f>IF(ABS(VLOOKUP($A64,'5 A data'!$A$5:$U$1148,6,FALSE))&lt;4.5,IF(ABS(VLOOKUP($A64,'5 A data'!$A$5:$U$1148,6,FALSE))&lt;1.25,0.0008,0.002),0.004)*VLOOKUP($A64,'5 A data'!$A$5:$U$1148,7,FALSE)*25*RADIANS(1/60)*100</f>
        <v>5.8177641733144318E-3</v>
      </c>
      <c r="AF64" s="23">
        <f t="shared" ref="AF64:AF69" si="127">current_coef*(J64-J65)*IF(J65=0,0,1)</f>
        <v>2.0362174606600527E-2</v>
      </c>
      <c r="AG64" s="29">
        <f t="shared" si="116"/>
        <v>7.8632929512801697E-4</v>
      </c>
      <c r="AH64" s="4">
        <f t="shared" ref="AH64:AH69" si="128">BurdenUnc*L64</f>
        <v>2.443460952792062E-2</v>
      </c>
      <c r="AI64" s="4">
        <f t="shared" si="117"/>
        <v>3.1453171805120679E-3</v>
      </c>
      <c r="AJ64" s="4">
        <f t="shared" si="118"/>
        <v>5.0000000000000001E-4</v>
      </c>
      <c r="AK64" s="21">
        <f>VLOOKUP($D64,Uncertainties!$B$35:$D$41,3,FALSE)</f>
        <v>4.363323129985941E-3</v>
      </c>
      <c r="AL64" s="21"/>
      <c r="AM64" s="369">
        <f>SQRT((VLOOKUP($A64,'5 A data'!$A$5:$U$1148,7,FALSE)*mutual_ind)^2+(aux_CT_phase*J64)^2)</f>
        <v>3.4101374462899821E-3</v>
      </c>
      <c r="AN64" s="29">
        <f t="shared" si="119"/>
        <v>3.2968828373138144E-2</v>
      </c>
      <c r="AO64" s="14">
        <f t="shared" si="120"/>
        <v>11.147799620675931</v>
      </c>
      <c r="AP64" s="27">
        <f t="shared" si="121"/>
        <v>2.1881488115156484</v>
      </c>
      <c r="AS64" s="27">
        <f>VLOOKUP($B64,TwoStageCT!$A$10:$H$72,5,FALSE)</f>
        <v>38.265350164989712</v>
      </c>
      <c r="AT64" s="27">
        <f>VLOOKUP($B64,TwoStageCT!$A$10:$H$72,8,FALSE)</f>
        <v>16.586629386739094</v>
      </c>
    </row>
    <row r="65" spans="1:46" ht="13.15" customHeight="1" x14ac:dyDescent="0.2">
      <c r="A65" s="68">
        <v>155</v>
      </c>
      <c r="B65" s="5" t="str">
        <f>B61&amp;D65</f>
        <v>120/20020</v>
      </c>
      <c r="C65" s="19">
        <f>VLOOKUP($A65,'5 A data'!$A$5:$U$650,3,FALSE)</f>
        <v>0.21600059637204713</v>
      </c>
      <c r="D65" s="163">
        <f>ROUND(VLOOKUP($A65,'5 A data'!$A$5:$U$650,9,FALSE)/10,0)*10</f>
        <v>20</v>
      </c>
      <c r="E65" s="23">
        <f t="shared" si="122"/>
        <v>0.99936709902044762</v>
      </c>
      <c r="F65" s="23">
        <f t="shared" si="123"/>
        <v>1.0011822386327505</v>
      </c>
      <c r="G65" s="486">
        <f>VLOOKUP(B65,TwoStageCT!A$10:H$72,3,FALSE)/10000</f>
        <v>3.1280516301103777E-5</v>
      </c>
      <c r="H65" s="486">
        <f>VLOOKUP(B65,TwoStageCT!A$10:H$72,6,FALSE)/10000</f>
        <v>4.5493238991726806E-6</v>
      </c>
      <c r="I65" s="19">
        <f>VLOOKUP($A65,'5 A data'!$A$5:$U$650,10,FALSE)</f>
        <v>-0.47399999999999998</v>
      </c>
      <c r="J65" s="32">
        <f>VLOOKUP($A65,'5 A data'!$A$5:$U$650,11,FALSE)</f>
        <v>0.68358729036444577</v>
      </c>
      <c r="K65" s="22">
        <f t="shared" si="108"/>
        <v>-0.31699999999999995</v>
      </c>
      <c r="L65" s="22">
        <f t="shared" si="108"/>
        <v>0.4421500771718968</v>
      </c>
      <c r="M65" s="31">
        <f t="shared" si="124"/>
        <v>-0.47366872441939106</v>
      </c>
      <c r="N65" s="31">
        <f t="shared" si="125"/>
        <v>0.68440000299187098</v>
      </c>
      <c r="O65" s="20"/>
      <c r="P65" s="634">
        <f>VLOOKUP(B65,TwoStageCT!A$10:H$72,4,FALSE)/10000</f>
        <v>4.17832023036102E-6</v>
      </c>
      <c r="Q65" s="58">
        <f>VLOOKUP($A65,'5 A data'!$A$5:$U$650,7,FALSE)*slidewire_res</f>
        <v>2E-3</v>
      </c>
      <c r="R65" s="347">
        <f t="shared" si="109"/>
        <v>-7.9999999999999967E-3</v>
      </c>
      <c r="S65" s="4">
        <v>0</v>
      </c>
      <c r="T65" s="21">
        <f t="shared" si="126"/>
        <v>-1.585E-2</v>
      </c>
      <c r="U65" s="29">
        <f t="shared" si="110"/>
        <v>-1.8946748976775643E-3</v>
      </c>
      <c r="V65" s="29">
        <f t="shared" si="111"/>
        <v>5.0000000000000001E-4</v>
      </c>
      <c r="W65" s="23">
        <f>VLOOKUP($D65,Uncertainties!$B$35:$D$41,2,FALSE)</f>
        <v>-1.0000000000000009E-3</v>
      </c>
      <c r="X65" s="23"/>
      <c r="Y65" s="24">
        <f t="shared" si="112"/>
        <v>-3.675623974626246E-5</v>
      </c>
      <c r="Z65" s="23">
        <f t="shared" si="113"/>
        <v>1.8001768286682554E-2</v>
      </c>
      <c r="AA65" s="25">
        <f t="shared" si="114"/>
        <v>7.8093570931435359</v>
      </c>
      <c r="AB65" s="26">
        <f t="shared" si="115"/>
        <v>2.2995230776952673</v>
      </c>
      <c r="AC65" s="14"/>
      <c r="AD65" s="635">
        <f>VLOOKUP(B65,TwoStageCT!A$10:H$72,7,FALSE)/10000</f>
        <v>1.9770475075939077E-6</v>
      </c>
      <c r="AE65" s="366">
        <f>IF(ABS(VLOOKUP($A65,'5 A data'!$A$5:$U$1148,6,FALSE))&lt;4.5,IF(ABS(VLOOKUP($A65,'5 A data'!$A$5:$U$1148,6,FALSE))&lt;1.25,0.0008,0.002),0.004)*VLOOKUP($A65,'5 A data'!$A$5:$U$1148,7,FALSE)*25*RADIANS(1/60)*100</f>
        <v>5.8177641733144318E-3</v>
      </c>
      <c r="AF65" s="23">
        <f t="shared" si="127"/>
        <v>1.5126186850617529E-2</v>
      </c>
      <c r="AG65" s="29">
        <f t="shared" si="116"/>
        <v>6.8440000299187101E-4</v>
      </c>
      <c r="AH65" s="4">
        <f t="shared" si="128"/>
        <v>2.2107503858594842E-2</v>
      </c>
      <c r="AI65" s="4">
        <f t="shared" si="117"/>
        <v>2.7376000119674841E-3</v>
      </c>
      <c r="AJ65" s="4">
        <f t="shared" si="118"/>
        <v>5.0000000000000001E-4</v>
      </c>
      <c r="AK65" s="21">
        <f>VLOOKUP($D65,Uncertainties!$B$35:$D$41,3,FALSE)</f>
        <v>-1.454441043328647E-3</v>
      </c>
      <c r="AL65" s="21"/>
      <c r="AM65" s="369">
        <f>SQRT((VLOOKUP($A65,'5 A data'!$A$5:$U$1148,7,FALSE)*mutual_ind)^2+(aux_CT_phase*J65)^2)</f>
        <v>3.407791684216913E-3</v>
      </c>
      <c r="AN65" s="29">
        <f t="shared" si="119"/>
        <v>2.7808828445005641E-2</v>
      </c>
      <c r="AO65" s="14">
        <f t="shared" si="120"/>
        <v>10.220916623749432</v>
      </c>
      <c r="AP65" s="27">
        <f t="shared" si="121"/>
        <v>2.2109114084129922</v>
      </c>
      <c r="AS65" s="27">
        <f>VLOOKUP($B65,TwoStageCT!$A$10:$H$72,5,FALSE)</f>
        <v>36.657700403051521</v>
      </c>
      <c r="AT65" s="27">
        <f>VLOOKUP($B65,TwoStageCT!$A$10:$H$72,8,FALSE)</f>
        <v>53.09445811850042</v>
      </c>
    </row>
    <row r="66" spans="1:46" ht="13.15" customHeight="1" x14ac:dyDescent="0.2">
      <c r="A66">
        <v>156</v>
      </c>
      <c r="B66" s="5" t="str">
        <f>B61&amp;D66</f>
        <v>120/20040</v>
      </c>
      <c r="C66" s="19">
        <f>VLOOKUP($A66,'5 A data'!$A$5:$U$650,3,FALSE)</f>
        <v>0.21600059637204713</v>
      </c>
      <c r="D66" s="163">
        <f>ROUND(VLOOKUP($A66,'5 A data'!$A$5:$U$650,9,FALSE)/10,0)*10</f>
        <v>40</v>
      </c>
      <c r="E66" s="23">
        <f t="shared" si="122"/>
        <v>0.99936709902044762</v>
      </c>
      <c r="F66" s="23">
        <f t="shared" si="123"/>
        <v>1.0011822386327505</v>
      </c>
      <c r="G66" s="486">
        <f>VLOOKUP(B66,TwoStageCT!A$10:H$72,3,FALSE)/10000</f>
        <v>2.5200167333853628E-5</v>
      </c>
      <c r="H66" s="486">
        <f>VLOOKUP(B66,TwoStageCT!A$10:H$72,6,FALSE)/10000</f>
        <v>5.7416420558101514E-6</v>
      </c>
      <c r="I66" s="143">
        <f>VLOOKUP($A66,'5 A data'!$A$5:$U$650,10,FALSE)</f>
        <v>-0.434</v>
      </c>
      <c r="J66" s="145">
        <f>VLOOKUP($A66,'5 A data'!$A$5:$U$650,11,FALSE)</f>
        <v>0.60795635611135812</v>
      </c>
      <c r="K66" s="146">
        <f t="shared" si="108"/>
        <v>-0.29599999999999999</v>
      </c>
      <c r="L66" s="146">
        <f t="shared" si="108"/>
        <v>0.40288016900202439</v>
      </c>
      <c r="M66" s="31">
        <f t="shared" si="124"/>
        <v>-0.43370012080754039</v>
      </c>
      <c r="N66" s="31">
        <f t="shared" si="125"/>
        <v>0.608680847244635</v>
      </c>
      <c r="O66" s="20"/>
      <c r="P66" s="634">
        <f>VLOOKUP(B66,TwoStageCT!A$10:H$72,4,FALSE)/10000</f>
        <v>3.3964590328801363E-6</v>
      </c>
      <c r="Q66" s="58">
        <f>VLOOKUP($A66,'5 A data'!$A$5:$U$650,7,FALSE)*slidewire_res</f>
        <v>2E-3</v>
      </c>
      <c r="R66" s="347">
        <f t="shared" si="109"/>
        <v>-3.2000000000000032E-3</v>
      </c>
      <c r="S66" s="4">
        <v>0</v>
      </c>
      <c r="T66" s="21">
        <f t="shared" si="126"/>
        <v>-1.4800000000000001E-2</v>
      </c>
      <c r="U66" s="29">
        <f t="shared" si="110"/>
        <v>-1.7348004832301615E-3</v>
      </c>
      <c r="V66" s="29">
        <f t="shared" si="111"/>
        <v>5.0000000000000001E-4</v>
      </c>
      <c r="W66" s="23">
        <f>VLOOKUP($D66,Uncertainties!$B$35:$D$41,2,FALSE)</f>
        <v>-1.0000000000000009E-3</v>
      </c>
      <c r="X66" s="23"/>
      <c r="Y66" s="24">
        <f t="shared" si="112"/>
        <v>-3.3654447362611623E-5</v>
      </c>
      <c r="Z66" s="23">
        <f t="shared" si="113"/>
        <v>1.5412354682993021E-2</v>
      </c>
      <c r="AA66" s="25">
        <f t="shared" si="114"/>
        <v>5.8643592304489909</v>
      </c>
      <c r="AB66" s="26">
        <f t="shared" si="115"/>
        <v>2.4366989678236743</v>
      </c>
      <c r="AC66" s="14"/>
      <c r="AD66" s="635">
        <f>VLOOKUP(B66,TwoStageCT!A$10:H$72,7,FALSE)/10000</f>
        <v>1.6849048737447556E-6</v>
      </c>
      <c r="AE66" s="366">
        <f>IF(ABS(VLOOKUP($A66,'5 A data'!$A$5:$U$1148,6,FALSE))&lt;4.5,IF(ABS(VLOOKUP($A66,'5 A data'!$A$5:$U$1148,6,FALSE))&lt;1.25,0.0008,0.002),0.004)*VLOOKUP($A66,'5 A data'!$A$5:$U$1148,7,FALSE)*25*RADIANS(1/60)*100</f>
        <v>5.8177641733144318E-3</v>
      </c>
      <c r="AF66" s="23">
        <f t="shared" si="127"/>
        <v>9.8901990946345334E-3</v>
      </c>
      <c r="AG66" s="29">
        <f t="shared" si="116"/>
        <v>6.0868084724463502E-4</v>
      </c>
      <c r="AH66" s="4">
        <f t="shared" si="128"/>
        <v>2.0144008450101222E-2</v>
      </c>
      <c r="AI66" s="4">
        <f t="shared" si="117"/>
        <v>2.4347233889785401E-3</v>
      </c>
      <c r="AJ66" s="4">
        <f t="shared" si="118"/>
        <v>5.0000000000000001E-4</v>
      </c>
      <c r="AK66" s="21">
        <f>VLOOKUP($D66,Uncertainties!$B$35:$D$41,3,FALSE)</f>
        <v>-2.908882086657183E-3</v>
      </c>
      <c r="AL66" s="21"/>
      <c r="AM66" s="369">
        <f>SQRT((VLOOKUP($A66,'5 A data'!$A$5:$U$1148,7,FALSE)*mutual_ind)^2+(aux_CT_phase*J66)^2)</f>
        <v>3.4062587341957304E-3</v>
      </c>
      <c r="AN66" s="29">
        <f t="shared" si="119"/>
        <v>2.3749864447980877E-2</v>
      </c>
      <c r="AO66" s="14">
        <f t="shared" si="120"/>
        <v>9.0607293452142201</v>
      </c>
      <c r="AP66" s="27">
        <f t="shared" si="121"/>
        <v>2.2468434253996361</v>
      </c>
      <c r="AS66" s="27">
        <f>VLOOKUP($B66,TwoStageCT!$A$10:$H$72,5,FALSE)</f>
        <v>38.659909732018328</v>
      </c>
      <c r="AT66" s="27">
        <f>VLOOKUP($B66,TwoStageCT!$A$10:$H$72,8,FALSE)</f>
        <v>52.499330597885681</v>
      </c>
    </row>
    <row r="67" spans="1:46" ht="13.15" customHeight="1" x14ac:dyDescent="0.2">
      <c r="A67" s="68">
        <v>157</v>
      </c>
      <c r="B67" s="5" t="str">
        <f>B61&amp;D67</f>
        <v>120/20060</v>
      </c>
      <c r="C67" s="19">
        <f>VLOOKUP($A67,'5 A data'!$A$5:$U$650,3,FALSE)</f>
        <v>0.21600059637204713</v>
      </c>
      <c r="D67" s="163">
        <f>ROUND(VLOOKUP($A67,'5 A data'!$A$5:$U$650,9,FALSE)/10,0)*10</f>
        <v>60</v>
      </c>
      <c r="E67" s="23">
        <f t="shared" si="122"/>
        <v>0.99936709902044762</v>
      </c>
      <c r="F67" s="23">
        <f t="shared" si="123"/>
        <v>1.0011822386327505</v>
      </c>
      <c r="G67" s="486">
        <f>VLOOKUP(B67,TwoStageCT!A$10:H$72,3,FALSE)/10000</f>
        <v>2.195627602528684E-5</v>
      </c>
      <c r="H67" s="486">
        <f>VLOOKUP(B67,TwoStageCT!A$10:H$72,6,FALSE)/10000</f>
        <v>5.5507836163637805E-6</v>
      </c>
      <c r="I67" s="143">
        <f>VLOOKUP($A67,'5 A data'!$A$5:$U$650,10,FALSE)</f>
        <v>-0.41799999999999998</v>
      </c>
      <c r="J67" s="145">
        <f>VLOOKUP($A67,'5 A data'!$A$5:$U$650,11,FALSE)</f>
        <v>0.55850536063818546</v>
      </c>
      <c r="K67" s="146">
        <f t="shared" ref="K67:L69" si="129">I67-I75</f>
        <v>-0.28799999999999998</v>
      </c>
      <c r="L67" s="146">
        <f t="shared" si="129"/>
        <v>0.36797358396213781</v>
      </c>
      <c r="M67" s="31">
        <f t="shared" si="124"/>
        <v>-0.41771349111452177</v>
      </c>
      <c r="N67" s="31">
        <f t="shared" si="125"/>
        <v>0.55917119803574655</v>
      </c>
      <c r="O67" s="20"/>
      <c r="P67" s="634">
        <f>VLOOKUP(B67,TwoStageCT!A$10:H$72,4,FALSE)/10000</f>
        <v>2.9709098248278708E-6</v>
      </c>
      <c r="Q67" s="58">
        <f>VLOOKUP($A67,'5 A data'!$A$5:$U$650,7,FALSE)*slidewire_res</f>
        <v>2E-3</v>
      </c>
      <c r="R67" s="347">
        <f t="shared" si="109"/>
        <v>-2.7999999999999917E-3</v>
      </c>
      <c r="S67" s="4">
        <v>0</v>
      </c>
      <c r="T67" s="21">
        <f t="shared" si="126"/>
        <v>-1.44E-2</v>
      </c>
      <c r="U67" s="29">
        <f t="shared" si="110"/>
        <v>-1.6708539644580871E-3</v>
      </c>
      <c r="V67" s="29">
        <f t="shared" si="111"/>
        <v>5.0000000000000001E-4</v>
      </c>
      <c r="W67" s="23">
        <f>VLOOKUP($D67,Uncertainties!$B$35:$D$41,2,FALSE)</f>
        <v>-1.0000000000000009E-3</v>
      </c>
      <c r="X67" s="23"/>
      <c r="Y67" s="24">
        <f t="shared" si="112"/>
        <v>-3.2413730409151282E-5</v>
      </c>
      <c r="Z67" s="23">
        <f t="shared" si="113"/>
        <v>1.4941312273249945E-2</v>
      </c>
      <c r="AA67" s="25">
        <f t="shared" si="114"/>
        <v>5.7837571624593433</v>
      </c>
      <c r="AB67" s="26">
        <f t="shared" si="115"/>
        <v>2.4448668225172141</v>
      </c>
      <c r="AC67" s="14"/>
      <c r="AD67" s="635">
        <f>VLOOKUP(B67,TwoStageCT!A$10:H$72,7,FALSE)/10000</f>
        <v>1.6017059195029239E-6</v>
      </c>
      <c r="AE67" s="366">
        <f>IF(ABS(VLOOKUP($A67,'5 A data'!$A$5:$U$1148,6,FALSE))&lt;4.5,IF(ABS(VLOOKUP($A67,'5 A data'!$A$5:$U$1148,6,FALSE))&lt;1.25,0.0008,0.002),0.004)*VLOOKUP($A67,'5 A data'!$A$5:$U$1148,7,FALSE)*25*RADIANS(1/60)*100</f>
        <v>5.8177641733144318E-3</v>
      </c>
      <c r="AF67" s="23">
        <f t="shared" si="127"/>
        <v>1.6289739685280403E-2</v>
      </c>
      <c r="AG67" s="29">
        <f t="shared" si="116"/>
        <v>5.5917119803574656E-4</v>
      </c>
      <c r="AH67" s="4">
        <f t="shared" si="128"/>
        <v>1.839867919810689E-2</v>
      </c>
      <c r="AI67" s="4">
        <f t="shared" si="117"/>
        <v>2.2366847921429863E-3</v>
      </c>
      <c r="AJ67" s="4">
        <f t="shared" si="118"/>
        <v>5.0000000000000001E-4</v>
      </c>
      <c r="AK67" s="21">
        <f>VLOOKUP($D67,Uncertainties!$B$35:$D$41,3,FALSE)</f>
        <v>-2.908882086657183E-3</v>
      </c>
      <c r="AL67" s="21"/>
      <c r="AM67" s="369">
        <f>SQRT((VLOOKUP($A67,'5 A data'!$A$5:$U$1148,7,FALSE)*mutual_ind)^2+(aux_CT_phase*J67)^2)</f>
        <v>3.4053531675485114E-3</v>
      </c>
      <c r="AN67" s="29">
        <f t="shared" si="119"/>
        <v>2.5755326716404462E-2</v>
      </c>
      <c r="AO67" s="14">
        <f t="shared" si="120"/>
        <v>11.80696037919304</v>
      </c>
      <c r="AP67" s="27">
        <f t="shared" si="121"/>
        <v>2.1743465123469718</v>
      </c>
      <c r="AS67" s="27">
        <f>VLOOKUP($B67,TwoStageCT!$A$10:$H$72,5,FALSE)</f>
        <v>42.291164682130272</v>
      </c>
      <c r="AT67" s="27">
        <f>VLOOKUP($B67,TwoStageCT!$A$10:$H$72,8,FALSE)</f>
        <v>48.978667479860043</v>
      </c>
    </row>
    <row r="68" spans="1:46" ht="13.15" customHeight="1" x14ac:dyDescent="0.2">
      <c r="A68">
        <v>158</v>
      </c>
      <c r="B68" s="5" t="str">
        <f>B61&amp;D68</f>
        <v>120/200100</v>
      </c>
      <c r="C68" s="19">
        <f>VLOOKUP($A68,'5 A data'!$A$5:$U$650,3,FALSE)</f>
        <v>0.21600059637204713</v>
      </c>
      <c r="D68" s="164">
        <f>ROUND(VLOOKUP($A68,'5 A data'!$A$5:$U$650,9,FALSE)/10,0)*10</f>
        <v>100</v>
      </c>
      <c r="E68" s="23">
        <f t="shared" si="122"/>
        <v>0.99936709902044762</v>
      </c>
      <c r="F68" s="23">
        <f t="shared" si="123"/>
        <v>1.0011822386327505</v>
      </c>
      <c r="G68" s="486">
        <f>VLOOKUP(B68,TwoStageCT!A$10:H$72,3,FALSE)/10000</f>
        <v>1.6881396356939836E-5</v>
      </c>
      <c r="H68" s="486">
        <f>VLOOKUP(B68,TwoStageCT!A$10:H$72,6,FALSE)/10000</f>
        <v>7.3590724152435355E-6</v>
      </c>
      <c r="I68" s="143">
        <f>VLOOKUP($A68,'5 A data'!$A$5:$U$650,10,FALSE)</f>
        <v>-0.40400000000000003</v>
      </c>
      <c r="J68" s="145">
        <f>VLOOKUP($A68,'5 A data'!$A$5:$U$650,11,FALSE)</f>
        <v>0.47705666221178344</v>
      </c>
      <c r="K68" s="146">
        <f t="shared" si="129"/>
        <v>-0.28300000000000003</v>
      </c>
      <c r="L68" s="146">
        <f t="shared" si="129"/>
        <v>0.30252373701235047</v>
      </c>
      <c r="M68" s="31">
        <f t="shared" si="124"/>
        <v>-0.40372742660790395</v>
      </c>
      <c r="N68" s="31">
        <f t="shared" si="125"/>
        <v>0.47762801610027644</v>
      </c>
      <c r="O68" s="20"/>
      <c r="P68" s="634">
        <f>VLOOKUP(B68,TwoStageCT!A$10:H$72,4,FALSE)/10000</f>
        <v>2.4131313466023584E-6</v>
      </c>
      <c r="Q68" s="58">
        <f>VLOOKUP($A68,'5 A data'!$A$5:$U$650,7,FALSE)*slidewire_res</f>
        <v>2E-3</v>
      </c>
      <c r="R68" s="347">
        <f t="shared" si="109"/>
        <v>-1.2000000000000012E-3</v>
      </c>
      <c r="S68" s="4">
        <v>0</v>
      </c>
      <c r="T68" s="21">
        <f t="shared" si="126"/>
        <v>-1.4150000000000003E-2</v>
      </c>
      <c r="U68" s="29">
        <f t="shared" si="110"/>
        <v>-1.6149097064316158E-3</v>
      </c>
      <c r="V68" s="29">
        <f t="shared" si="111"/>
        <v>5.0000000000000001E-4</v>
      </c>
      <c r="W68" s="23">
        <f>VLOOKUP($D68,Uncertainties!$B$35:$D$41,2,FALSE)</f>
        <v>1.999999999999974E-3</v>
      </c>
      <c r="X68" s="23"/>
      <c r="Y68" s="24">
        <f t="shared" si="112"/>
        <v>-3.1328103074873495E-5</v>
      </c>
      <c r="Z68" s="23">
        <f t="shared" si="113"/>
        <v>1.4578114440255028E-2</v>
      </c>
      <c r="AA68" s="25">
        <f t="shared" si="114"/>
        <v>5.6287286453546281</v>
      </c>
      <c r="AB68" s="26">
        <f t="shared" si="115"/>
        <v>2.4614033653646521</v>
      </c>
      <c r="AC68" s="14"/>
      <c r="AD68" s="635">
        <f>VLOOKUP(B68,TwoStageCT!A$10:H$72,7,FALSE)/10000</f>
        <v>1.6933288916776063E-6</v>
      </c>
      <c r="AE68" s="366">
        <f>IF(ABS(VLOOKUP($A68,'5 A data'!$A$5:$U$1148,6,FALSE))&lt;4.5,IF(ABS(VLOOKUP($A68,'5 A data'!$A$5:$U$1148,6,FALSE))&lt;1.25,0.0008,0.002),0.004)*VLOOKUP($A68,'5 A data'!$A$5:$U$1148,7,FALSE)*25*RADIANS(1/60)*100</f>
        <v>5.8177641733144318E-3</v>
      </c>
      <c r="AF68" s="23">
        <f t="shared" si="127"/>
        <v>6.9813170079773392E-3</v>
      </c>
      <c r="AG68" s="29">
        <f t="shared" si="116"/>
        <v>4.7762801610027645E-4</v>
      </c>
      <c r="AH68" s="4">
        <f t="shared" si="128"/>
        <v>1.5126186850617524E-2</v>
      </c>
      <c r="AI68" s="4">
        <f t="shared" si="117"/>
        <v>1.9105120644011058E-3</v>
      </c>
      <c r="AJ68" s="4">
        <f t="shared" si="118"/>
        <v>5.0000000000000001E-4</v>
      </c>
      <c r="AK68" s="21">
        <f>VLOOKUP($D68,Uncertainties!$B$35:$D$41,3,FALSE)</f>
        <v>-2.9088820866572385E-3</v>
      </c>
      <c r="AL68" s="21"/>
      <c r="AM68" s="369">
        <f>SQRT((VLOOKUP($A68,'5 A data'!$A$5:$U$1148,7,FALSE)*mutual_ind)^2+(aux_CT_phase*J68)^2)</f>
        <v>3.4040285900694398E-3</v>
      </c>
      <c r="AN68" s="29">
        <f t="shared" si="119"/>
        <v>1.8318403018696892E-2</v>
      </c>
      <c r="AO68" s="14">
        <f t="shared" si="120"/>
        <v>10.045324129641589</v>
      </c>
      <c r="AP68" s="27">
        <f t="shared" si="121"/>
        <v>2.2157526633229043</v>
      </c>
      <c r="AS68" s="27">
        <f>VLOOKUP($B68,TwoStageCT!$A$10:$H$72,5,FALSE)</f>
        <v>59.567261398457461</v>
      </c>
      <c r="AT68" s="27">
        <f>VLOOKUP($B68,TwoStageCT!$A$10:$H$72,8,FALSE)</f>
        <v>45.732629829898706</v>
      </c>
    </row>
    <row r="69" spans="1:46" ht="13.15" customHeight="1" x14ac:dyDescent="0.2">
      <c r="A69" s="68">
        <v>159</v>
      </c>
      <c r="B69" s="5" t="str">
        <f>B61&amp;D69</f>
        <v>120/200120</v>
      </c>
      <c r="C69" s="19">
        <f>VLOOKUP($A69,'5 A data'!$A$5:$U$650,3,FALSE)</f>
        <v>0.21600059637204713</v>
      </c>
      <c r="D69" s="164">
        <f>ROUND(VLOOKUP($A69,'5 A data'!$A$5:$U$650,9,FALSE)/10,0)*10</f>
        <v>120</v>
      </c>
      <c r="E69" s="23">
        <f t="shared" si="122"/>
        <v>0.99936709902044762</v>
      </c>
      <c r="F69" s="23">
        <f t="shared" si="123"/>
        <v>1.0011822386327505</v>
      </c>
      <c r="G69" s="486">
        <f>VLOOKUP(B69,TwoStageCT!A$10:H$72,3,FALSE)/10000</f>
        <v>1.5213305302217845E-5</v>
      </c>
      <c r="H69" s="486">
        <f>VLOOKUP(B69,TwoStageCT!A$10:H$72,6,FALSE)/10000</f>
        <v>7.5885012454326174E-6</v>
      </c>
      <c r="I69" s="143">
        <f>VLOOKUP($A69,'5 A data'!$A$5:$U$650,10,FALSE)</f>
        <v>-0.39800000000000002</v>
      </c>
      <c r="J69" s="145">
        <f>VLOOKUP($A69,'5 A data'!$A$5:$U$650,11,FALSE)</f>
        <v>0.44215007717189675</v>
      </c>
      <c r="K69" s="146">
        <f t="shared" si="129"/>
        <v>-0.27850000000000003</v>
      </c>
      <c r="L69" s="146">
        <f t="shared" si="129"/>
        <v>0.27052603405912101</v>
      </c>
      <c r="M69" s="31">
        <f t="shared" si="124"/>
        <v>-0.39773289210483592</v>
      </c>
      <c r="N69" s="31">
        <f t="shared" si="125"/>
        <v>0.4426803925758484</v>
      </c>
      <c r="O69" s="20"/>
      <c r="P69" s="634">
        <f>VLOOKUP(B69,TwoStageCT!A$10:H$72,4,FALSE)/10000</f>
        <v>2.2681305202526645E-6</v>
      </c>
      <c r="Q69" s="58">
        <f>VLOOKUP($A69,'5 A data'!$A$5:$U$650,7,FALSE)*slidewire_res</f>
        <v>2E-3</v>
      </c>
      <c r="R69" s="347">
        <f t="shared" si="109"/>
        <v>0</v>
      </c>
      <c r="S69" s="4">
        <v>0</v>
      </c>
      <c r="T69" s="21">
        <f t="shared" si="126"/>
        <v>-1.3925000000000002E-2</v>
      </c>
      <c r="U69" s="29">
        <f t="shared" si="110"/>
        <v>-1.5909315684193438E-3</v>
      </c>
      <c r="V69" s="29">
        <f t="shared" si="111"/>
        <v>5.0000000000000001E-4</v>
      </c>
      <c r="W69" s="23">
        <f>VLOOKUP($D69,Uncertainties!$B$35:$D$41,2,FALSE)</f>
        <v>-1.0000000000000009E-3</v>
      </c>
      <c r="X69" s="23"/>
      <c r="Y69" s="24">
        <f t="shared" si="112"/>
        <v>-3.0862834217325864E-5</v>
      </c>
      <c r="Z69" s="23">
        <f t="shared" si="113"/>
        <v>1.4201677573946862E-2</v>
      </c>
      <c r="AA69" s="25">
        <f t="shared" si="114"/>
        <v>5.4060955283373975</v>
      </c>
      <c r="AB69" s="26">
        <f t="shared" si="115"/>
        <v>2.4872585078390519</v>
      </c>
      <c r="AC69" s="14"/>
      <c r="AD69" s="635">
        <f>VLOOKUP(B69,TwoStageCT!A$10:H$72,7,FALSE)/10000</f>
        <v>1.7092397901526349E-6</v>
      </c>
      <c r="AE69" s="366">
        <f>IF(ABS(VLOOKUP($A69,'5 A data'!$A$5:$U$1148,6,FALSE))&lt;4.5,IF(ABS(VLOOKUP($A69,'5 A data'!$A$5:$U$1148,6,FALSE))&lt;1.25,0.0008,0.002),0.004)*VLOOKUP($A69,'5 A data'!$A$5:$U$1148,7,FALSE)*25*RADIANS(1/60)*100</f>
        <v>5.8177641733144318E-3</v>
      </c>
      <c r="AF69" s="23">
        <f t="shared" si="127"/>
        <v>0</v>
      </c>
      <c r="AG69" s="29">
        <f t="shared" si="116"/>
        <v>4.4268039257584839E-4</v>
      </c>
      <c r="AH69" s="4">
        <f t="shared" si="128"/>
        <v>1.3526301702956052E-2</v>
      </c>
      <c r="AI69" s="4">
        <f t="shared" si="117"/>
        <v>1.7707215703033935E-3</v>
      </c>
      <c r="AJ69" s="4">
        <f t="shared" si="118"/>
        <v>5.0000000000000001E-4</v>
      </c>
      <c r="AK69" s="21">
        <f>VLOOKUP($D69,Uncertainties!$B$35:$D$41,3,FALSE)</f>
        <v>1.4544410433285915E-3</v>
      </c>
      <c r="AL69" s="21"/>
      <c r="AM69" s="369">
        <f>SQRT((VLOOKUP($A69,'5 A data'!$A$5:$U$1148,7,FALSE)*mutual_ind)^2+(aux_CT_phase*J69)^2)</f>
        <v>3.4035245624816418E-3</v>
      </c>
      <c r="AN69" s="29">
        <f t="shared" si="119"/>
        <v>1.5299935282955835E-2</v>
      </c>
      <c r="AO69" s="14">
        <f t="shared" si="120"/>
        <v>7.8808253589052581</v>
      </c>
      <c r="AP69" s="27">
        <f t="shared" si="121"/>
        <v>2.2959898117145858</v>
      </c>
      <c r="AS69" s="27">
        <f>VLOOKUP($B69,TwoStageCT!$A$10:$H$72,5,FALSE)</f>
        <v>68.00069900375496</v>
      </c>
      <c r="AT69" s="27">
        <f>VLOOKUP($B69,TwoStageCT!$A$10:$H$72,8,FALSE)</f>
        <v>47.345132453902309</v>
      </c>
    </row>
    <row r="70" spans="1:46" ht="13.15" customHeight="1" x14ac:dyDescent="0.2">
      <c r="A70">
        <v>160</v>
      </c>
      <c r="B70" s="5"/>
      <c r="C70" s="19"/>
      <c r="D70" s="19"/>
      <c r="E70" s="23"/>
      <c r="F70" s="23"/>
      <c r="G70" s="347"/>
      <c r="H70" s="347"/>
      <c r="I70" s="143"/>
      <c r="J70" s="145"/>
      <c r="K70" s="148"/>
      <c r="L70" s="148"/>
      <c r="M70" s="638" t="s">
        <v>430</v>
      </c>
      <c r="N70" s="638"/>
      <c r="O70" s="20"/>
      <c r="P70" s="634"/>
      <c r="Q70" s="58"/>
      <c r="R70" s="347"/>
      <c r="S70" s="4"/>
      <c r="T70" s="4"/>
      <c r="U70" s="29"/>
      <c r="V70" s="29"/>
      <c r="W70" s="29"/>
      <c r="X70" s="29"/>
      <c r="Y70" s="24"/>
      <c r="Z70" s="29"/>
      <c r="AA70" s="25"/>
      <c r="AB70" s="26"/>
      <c r="AC70" s="14"/>
      <c r="AD70" s="635"/>
      <c r="AE70" s="35"/>
      <c r="AF70" s="28"/>
      <c r="AG70" s="29"/>
      <c r="AH70" s="4"/>
      <c r="AI70" s="4"/>
      <c r="AJ70" s="4"/>
      <c r="AK70" s="4"/>
      <c r="AL70" s="4"/>
      <c r="AM70" s="24"/>
      <c r="AN70" s="29"/>
      <c r="AO70" s="14"/>
      <c r="AP70" s="27"/>
    </row>
    <row r="71" spans="1:46" ht="13.15" customHeight="1" x14ac:dyDescent="0.2">
      <c r="A71" s="68">
        <v>161</v>
      </c>
      <c r="B71" s="5" t="str">
        <f>B61&amp;D71</f>
        <v>120/2005</v>
      </c>
      <c r="C71" s="19">
        <f>VLOOKUP($A71,'5 A data'!$A$5:$U$650,3,FALSE)</f>
        <v>2.1000057980615688E-2</v>
      </c>
      <c r="D71" s="19">
        <f>ROUND(VLOOKUP($A71,'5 A data'!$A$5:$U$650,9,FALSE),0)</f>
        <v>5</v>
      </c>
      <c r="E71" s="23">
        <f t="shared" si="122"/>
        <v>0.99936709902044762</v>
      </c>
      <c r="F71" s="23">
        <f t="shared" si="123"/>
        <v>1.0011822386327505</v>
      </c>
      <c r="G71" s="486">
        <f>VLOOKUP(B71,TwoStageCT!A$10:H$72,3,FALSE)/10000</f>
        <v>3.6805932694608759E-5</v>
      </c>
      <c r="H71" s="486">
        <f>VLOOKUP(B71,TwoStageCT!A$10:H$72,6,FALSE)/10000</f>
        <v>4.6965346060309593E-6</v>
      </c>
      <c r="I71" s="149">
        <f>VLOOKUP($A71,'5 A data'!$A$5:$U$650,10,FALSE)</f>
        <v>-0.23200000000000001</v>
      </c>
      <c r="J71" s="152">
        <f>VLOOKUP($A71,'5 A data'!$A$5:$U$650,11,FALSE)</f>
        <v>0.39560796378538138</v>
      </c>
      <c r="K71" s="153"/>
      <c r="L71" s="153"/>
      <c r="M71" s="31">
        <f>I71*E71+G71</f>
        <v>-0.23181636104004924</v>
      </c>
      <c r="N71" s="31">
        <f>J71*F71+H71</f>
        <v>0.39608036333819824</v>
      </c>
      <c r="O71" s="20"/>
      <c r="P71" s="634">
        <f>VLOOKUP(B71,TwoStageCT!A$10:H$72,4,FALSE)/10000</f>
        <v>6.4429594675743464E-6</v>
      </c>
      <c r="Q71" s="58">
        <f>VLOOKUP($A71,'5 A data'!$A$5:$U$650,7,FALSE)*slidewire_res</f>
        <v>1E-3</v>
      </c>
      <c r="R71" s="347">
        <f t="shared" ref="R71:R77" si="130">current_coef*(I71-I72)*IF(I72=0,0,1)</f>
        <v>-9.4000000000000038E-3</v>
      </c>
      <c r="S71" s="4">
        <v>0</v>
      </c>
      <c r="T71" s="4">
        <f>BurdenUnc*K63</f>
        <v>-1.84E-2</v>
      </c>
      <c r="U71" s="29">
        <f t="shared" ref="U71:U77" si="131">0.004*M71</f>
        <v>-9.2726544416019694E-4</v>
      </c>
      <c r="V71" s="29">
        <f t="shared" si="111"/>
        <v>5.0000000000000001E-4</v>
      </c>
      <c r="W71" s="23">
        <f>VLOOKUP($D71,Uncertainties!$B$35:$D$41,2,FALSE)</f>
        <v>5.0000000000000044E-3</v>
      </c>
      <c r="X71" s="23"/>
      <c r="Y71" s="24">
        <f t="shared" ref="Y71:Y77" si="132">I71*aux_CT_ratio</f>
        <v>-1.7990395825174879E-5</v>
      </c>
      <c r="Z71" s="23">
        <f t="shared" ref="Z71:Z77" si="133">SQRT(SUMSQ(P71:Y71))</f>
        <v>2.1307984099158756E-2</v>
      </c>
      <c r="AA71" s="25">
        <f t="shared" ref="AA71:AA77" si="134">DoF_A(P71:Y71,$P$7:$Y$7)</f>
        <v>8.4015231613984067</v>
      </c>
      <c r="AB71" s="26">
        <f t="shared" ref="AB71:AB77" si="135">CoverFactor(AA71)</f>
        <v>2.2723405931698961</v>
      </c>
      <c r="AC71" s="14"/>
      <c r="AD71" s="635">
        <f>VLOOKUP(B71,TwoStageCT!A$10:H$72,7,FALSE)/10000</f>
        <v>4.6788986298833412E-6</v>
      </c>
      <c r="AE71" s="366">
        <f>IF(ABS(VLOOKUP($A71,'5 A data'!$A$5:$U$1148,6,FALSE))&lt;4.5,IF(ABS(VLOOKUP($A71,'5 A data'!$A$5:$U$1148,6,FALSE))&lt;1.25,0.0008,0.002),0.004)*VLOOKUP($A71,'5 A data'!$A$5:$U$1148,7,FALSE)*25*RADIANS(1/60)*100</f>
        <v>2.9088820866572159E-3</v>
      </c>
      <c r="AF71" s="23">
        <f t="shared" ref="AF71:AF77" si="136">current_coef*(J71-J72)*IF(J72=0,0,1)</f>
        <v>1.9780398189269077E-2</v>
      </c>
      <c r="AG71" s="29">
        <f t="shared" ref="AG71:AG77" si="137">0.001*N71</f>
        <v>3.9608036333819822E-4</v>
      </c>
      <c r="AH71" s="4">
        <f>BurdenUnc*L63</f>
        <v>2.6470826988580665E-2</v>
      </c>
      <c r="AI71" s="4">
        <f t="shared" ref="AI71:AI77" si="138">0.004*N71</f>
        <v>1.5843214533527929E-3</v>
      </c>
      <c r="AJ71" s="4">
        <f t="shared" si="118"/>
        <v>5.0000000000000001E-4</v>
      </c>
      <c r="AK71" s="21">
        <f>VLOOKUP($D71,Uncertainties!$B$35:$D$41,3,FALSE)</f>
        <v>-1.1635528346628732E-2</v>
      </c>
      <c r="AL71" s="21"/>
      <c r="AM71" s="369">
        <f>SQRT((VLOOKUP($A71,'5 A data'!$A$5:$U$1148,7,FALSE)*mutual_ind)^2+(aux_CT_phase*J71)^2)</f>
        <v>1.7051406291681245E-3</v>
      </c>
      <c r="AN71" s="29">
        <f t="shared" ref="AN71:AN77" si="139">SQRT(SUMSQ(AD71:AM71))</f>
        <v>3.5236918558009499E-2</v>
      </c>
      <c r="AO71" s="14">
        <f t="shared" ref="AO71:AO77" si="140">DoF_A(AD71:AM71,$AD$7:$AM$7)</f>
        <v>11.831833763816654</v>
      </c>
      <c r="AP71" s="27">
        <f t="shared" si="121"/>
        <v>2.1738586669206414</v>
      </c>
      <c r="AS71" s="27">
        <f>VLOOKUP($B71,TwoStageCT!$A$10:$H$72,5,FALSE)</f>
        <v>26.31606241070681</v>
      </c>
      <c r="AT71" s="27">
        <f>VLOOKUP($B71,TwoStageCT!$A$10:$H$72,8,FALSE)</f>
        <v>9.9413455012810044</v>
      </c>
    </row>
    <row r="72" spans="1:46" ht="13.15" customHeight="1" x14ac:dyDescent="0.2">
      <c r="A72">
        <v>162</v>
      </c>
      <c r="B72" s="5" t="str">
        <f>B61&amp;D72</f>
        <v>120/20010</v>
      </c>
      <c r="C72" s="19">
        <f>VLOOKUP($A72,'5 A data'!$A$5:$U$650,3,FALSE)</f>
        <v>2.1000057980615688E-2</v>
      </c>
      <c r="D72" s="163">
        <f>ROUND(VLOOKUP($A72,'5 A data'!$A$5:$U$650,9,FALSE)/10,0)*10</f>
        <v>10</v>
      </c>
      <c r="E72" s="23">
        <f t="shared" si="122"/>
        <v>0.99936709902044762</v>
      </c>
      <c r="F72" s="23">
        <f t="shared" si="123"/>
        <v>1.0011822386327505</v>
      </c>
      <c r="G72" s="486">
        <f>VLOOKUP(B72,TwoStageCT!A$10:H$72,3,FALSE)/10000</f>
        <v>3.4690340839935311E-5</v>
      </c>
      <c r="H72" s="486">
        <f>VLOOKUP(B72,TwoStageCT!A$10:H$72,6,FALSE)/10000</f>
        <v>2.6036797087866982E-6</v>
      </c>
      <c r="I72" s="149">
        <f>VLOOKUP($A72,'5 A data'!$A$5:$U$650,10,FALSE)</f>
        <v>-0.185</v>
      </c>
      <c r="J72" s="152">
        <f>VLOOKUP($A72,'5 A data'!$A$5:$U$650,11,FALSE)</f>
        <v>0.29670597283903599</v>
      </c>
      <c r="K72" s="153"/>
      <c r="L72" s="153"/>
      <c r="M72" s="31">
        <f t="shared" ref="M72:M77" si="141">I72*E72+G72</f>
        <v>-0.18484822297794287</v>
      </c>
      <c r="N72" s="31">
        <f t="shared" ref="N72:N77" si="142">J72*F72+H72</f>
        <v>0.29705935378240289</v>
      </c>
      <c r="O72" s="20"/>
      <c r="P72" s="634">
        <f>VLOOKUP(B72,TwoStageCT!A$10:H$72,4,FALSE)/10000</f>
        <v>5.0170517941146892E-6</v>
      </c>
      <c r="Q72" s="58">
        <f>VLOOKUP($A72,'5 A data'!$A$5:$U$650,7,FALSE)*slidewire_res</f>
        <v>1E-3</v>
      </c>
      <c r="R72" s="347">
        <f t="shared" si="130"/>
        <v>-5.5999999999999999E-3</v>
      </c>
      <c r="S72" s="4">
        <v>0</v>
      </c>
      <c r="T72" s="4">
        <f t="shared" ref="T72:T77" si="143">BurdenUnc*K64</f>
        <v>-1.685E-2</v>
      </c>
      <c r="U72" s="29">
        <f t="shared" si="131"/>
        <v>-7.393928919117715E-4</v>
      </c>
      <c r="V72" s="29">
        <f t="shared" si="111"/>
        <v>5.0000000000000001E-4</v>
      </c>
      <c r="W72" s="23">
        <f>VLOOKUP($D72,Uncertainties!$B$35:$D$41,2,FALSE)</f>
        <v>2.5000000000000022E-3</v>
      </c>
      <c r="X72" s="23"/>
      <c r="Y72" s="24">
        <f t="shared" si="132"/>
        <v>-1.4345789774385138E-5</v>
      </c>
      <c r="Z72" s="23">
        <f t="shared" si="133"/>
        <v>1.7981363486151505E-2</v>
      </c>
      <c r="AA72" s="25">
        <f t="shared" si="134"/>
        <v>6.4047800310500156</v>
      </c>
      <c r="AB72" s="26">
        <f t="shared" si="135"/>
        <v>2.3884074788408243</v>
      </c>
      <c r="AC72" s="14"/>
      <c r="AD72" s="635">
        <f>VLOOKUP(B72,TwoStageCT!A$10:H$72,7,FALSE)/10000</f>
        <v>2.600738521505678E-6</v>
      </c>
      <c r="AE72" s="366">
        <f>IF(ABS(VLOOKUP($A72,'5 A data'!$A$5:$U$1148,6,FALSE))&lt;4.5,IF(ABS(VLOOKUP($A72,'5 A data'!$A$5:$U$1148,6,FALSE))&lt;1.25,0.0008,0.002),0.004)*VLOOKUP($A72,'5 A data'!$A$5:$U$1148,7,FALSE)*25*RADIANS(1/60)*100</f>
        <v>2.9088820866572159E-3</v>
      </c>
      <c r="AF72" s="23">
        <f t="shared" si="136"/>
        <v>1.1053751929297412E-2</v>
      </c>
      <c r="AG72" s="29">
        <f t="shared" si="137"/>
        <v>2.9705935378240291E-4</v>
      </c>
      <c r="AH72" s="4">
        <f t="shared" ref="AH72:AH77" si="144">BurdenUnc*L64</f>
        <v>2.443460952792062E-2</v>
      </c>
      <c r="AI72" s="4">
        <f t="shared" si="138"/>
        <v>1.1882374151296116E-3</v>
      </c>
      <c r="AJ72" s="4">
        <f t="shared" si="118"/>
        <v>5.0000000000000001E-4</v>
      </c>
      <c r="AK72" s="21">
        <f>VLOOKUP($D72,Uncertainties!$B$35:$D$41,3,FALSE)</f>
        <v>4.363323129985941E-3</v>
      </c>
      <c r="AL72" s="21"/>
      <c r="AM72" s="369">
        <f>SQRT((VLOOKUP($A72,'5 A data'!$A$5:$U$1148,7,FALSE)*mutual_ind)^2+(aux_CT_phase*J72)^2)</f>
        <v>1.7029922230581589E-3</v>
      </c>
      <c r="AN72" s="29">
        <f t="shared" si="139"/>
        <v>2.741142279994167E-2</v>
      </c>
      <c r="AO72" s="14">
        <f t="shared" si="140"/>
        <v>7.5961082694035751</v>
      </c>
      <c r="AP72" s="27">
        <f t="shared" si="121"/>
        <v>2.3105295660525003</v>
      </c>
      <c r="AS72" s="27">
        <f>VLOOKUP($B72,TwoStageCT!$A$10:$H$72,5,FALSE)</f>
        <v>38.265350164989712</v>
      </c>
      <c r="AT72" s="27">
        <f>VLOOKUP($B72,TwoStageCT!$A$10:$H$72,8,FALSE)</f>
        <v>16.586629386739094</v>
      </c>
    </row>
    <row r="73" spans="1:46" ht="13.15" customHeight="1" x14ac:dyDescent="0.2">
      <c r="A73" s="68">
        <v>163</v>
      </c>
      <c r="B73" s="5" t="str">
        <f>B61&amp;D73</f>
        <v>120/20020</v>
      </c>
      <c r="C73" s="19">
        <f>VLOOKUP($A73,'5 A data'!$A$5:$U$650,3,FALSE)</f>
        <v>2.1000057980615688E-2</v>
      </c>
      <c r="D73" s="163">
        <f>ROUND(VLOOKUP($A73,'5 A data'!$A$5:$U$650,9,FALSE)/10,0)*10</f>
        <v>20</v>
      </c>
      <c r="E73" s="23">
        <f t="shared" si="122"/>
        <v>0.99936709902044762</v>
      </c>
      <c r="F73" s="23">
        <f t="shared" si="123"/>
        <v>1.0011822386327505</v>
      </c>
      <c r="G73" s="486">
        <f>VLOOKUP(B73,TwoStageCT!A$10:H$72,3,FALSE)/10000</f>
        <v>3.1280516301103777E-5</v>
      </c>
      <c r="H73" s="486">
        <f>VLOOKUP(B73,TwoStageCT!A$10:H$72,6,FALSE)/10000</f>
        <v>4.5493238991726806E-6</v>
      </c>
      <c r="I73" s="149">
        <f>VLOOKUP($A73,'5 A data'!$A$5:$U$650,10,FALSE)</f>
        <v>-0.157</v>
      </c>
      <c r="J73" s="152">
        <f>VLOOKUP($A73,'5 A data'!$A$5:$U$650,11,FALSE)</f>
        <v>0.24143721319254893</v>
      </c>
      <c r="K73" s="153"/>
      <c r="L73" s="153"/>
      <c r="M73" s="31">
        <f t="shared" si="141"/>
        <v>-0.15686935402990917</v>
      </c>
      <c r="N73" s="31">
        <f t="shared" si="142"/>
        <v>0.24172719891726796</v>
      </c>
      <c r="O73" s="20"/>
      <c r="P73" s="634">
        <f>VLOOKUP(B73,TwoStageCT!A$10:H$72,4,FALSE)/10000</f>
        <v>4.17832023036102E-6</v>
      </c>
      <c r="Q73" s="58">
        <f>VLOOKUP($A73,'5 A data'!$A$5:$U$650,7,FALSE)*slidewire_res</f>
        <v>1E-3</v>
      </c>
      <c r="R73" s="347">
        <f t="shared" si="130"/>
        <v>-3.7999999999999978E-3</v>
      </c>
      <c r="S73" s="4">
        <v>0</v>
      </c>
      <c r="T73" s="4">
        <f t="shared" si="143"/>
        <v>-1.585E-2</v>
      </c>
      <c r="U73" s="29">
        <f t="shared" si="131"/>
        <v>-6.2747741611963667E-4</v>
      </c>
      <c r="V73" s="29">
        <f t="shared" si="111"/>
        <v>5.0000000000000001E-4</v>
      </c>
      <c r="W73" s="23">
        <f>VLOOKUP($D73,Uncertainties!$B$35:$D$41,2,FALSE)</f>
        <v>-1.0000000000000009E-3</v>
      </c>
      <c r="X73" s="23"/>
      <c r="Y73" s="24">
        <f t="shared" si="132"/>
        <v>-1.2174535105829549E-5</v>
      </c>
      <c r="Z73" s="23">
        <f t="shared" si="133"/>
        <v>1.6380060854142304E-2</v>
      </c>
      <c r="AA73" s="25">
        <f t="shared" si="134"/>
        <v>5.6842270763084137</v>
      </c>
      <c r="AB73" s="26">
        <f t="shared" si="135"/>
        <v>2.4553535082283644</v>
      </c>
      <c r="AC73" s="14"/>
      <c r="AD73" s="635">
        <f>VLOOKUP(B73,TwoStageCT!A$10:H$72,7,FALSE)/10000</f>
        <v>1.9770475075939077E-6</v>
      </c>
      <c r="AE73" s="366">
        <f>IF(ABS(VLOOKUP($A73,'5 A data'!$A$5:$U$1148,6,FALSE))&lt;4.5,IF(ABS(VLOOKUP($A73,'5 A data'!$A$5:$U$1148,6,FALSE))&lt;1.25,0.0008,0.002),0.004)*VLOOKUP($A73,'5 A data'!$A$5:$U$1148,7,FALSE)*25*RADIANS(1/60)*100</f>
        <v>2.9088820866572159E-3</v>
      </c>
      <c r="AF73" s="23">
        <f t="shared" si="136"/>
        <v>7.2722052166430467E-3</v>
      </c>
      <c r="AG73" s="29">
        <f t="shared" si="137"/>
        <v>2.4172719891726798E-4</v>
      </c>
      <c r="AH73" s="4">
        <f t="shared" si="144"/>
        <v>2.2107503858594842E-2</v>
      </c>
      <c r="AI73" s="4">
        <f t="shared" si="138"/>
        <v>9.6690879566907191E-4</v>
      </c>
      <c r="AJ73" s="4">
        <f t="shared" si="118"/>
        <v>5.0000000000000001E-4</v>
      </c>
      <c r="AK73" s="21">
        <f>VLOOKUP($D73,Uncertainties!$B$35:$D$41,3,FALSE)</f>
        <v>-1.454441043328647E-3</v>
      </c>
      <c r="AL73" s="21"/>
      <c r="AM73" s="369">
        <f>SQRT((VLOOKUP($A73,'5 A data'!$A$5:$U$1148,7,FALSE)*mutual_ind)^2+(aux_CT_phase*J73)^2)</f>
        <v>1.7020581543825786E-3</v>
      </c>
      <c r="AN73" s="29">
        <f t="shared" si="139"/>
        <v>2.3586946386525028E-2</v>
      </c>
      <c r="AO73" s="14">
        <f t="shared" si="140"/>
        <v>6.4016800420983424</v>
      </c>
      <c r="AP73" s="27">
        <f t="shared" si="121"/>
        <v>2.3886561538343387</v>
      </c>
      <c r="AS73" s="27">
        <f>VLOOKUP($B73,TwoStageCT!$A$10:$H$72,5,FALSE)</f>
        <v>36.657700403051521</v>
      </c>
      <c r="AT73" s="27">
        <f>VLOOKUP($B73,TwoStageCT!$A$10:$H$72,8,FALSE)</f>
        <v>53.09445811850042</v>
      </c>
    </row>
    <row r="74" spans="1:46" ht="13.15" customHeight="1" x14ac:dyDescent="0.2">
      <c r="A74">
        <v>164</v>
      </c>
      <c r="B74" s="5" t="str">
        <f>B61&amp;D74</f>
        <v>120/20040</v>
      </c>
      <c r="C74" s="19">
        <f>VLOOKUP($A74,'5 A data'!$A$5:$U$650,3,FALSE)</f>
        <v>2.1000057980615688E-2</v>
      </c>
      <c r="D74" s="163">
        <f>ROUND(VLOOKUP($A74,'5 A data'!$A$5:$U$650,9,FALSE)/10,0)*10</f>
        <v>40</v>
      </c>
      <c r="E74" s="23">
        <f t="shared" si="122"/>
        <v>0.99936709902044762</v>
      </c>
      <c r="F74" s="23">
        <f t="shared" si="123"/>
        <v>1.0011822386327505</v>
      </c>
      <c r="G74" s="486">
        <f>VLOOKUP(B74,TwoStageCT!A$10:H$72,3,FALSE)/10000</f>
        <v>2.5200167333853628E-5</v>
      </c>
      <c r="H74" s="486">
        <f>VLOOKUP(B74,TwoStageCT!A$10:H$72,6,FALSE)/10000</f>
        <v>5.7416420558101514E-6</v>
      </c>
      <c r="I74" s="149">
        <f>VLOOKUP($A74,'5 A data'!$A$5:$U$650,10,FALSE)</f>
        <v>-0.13800000000000001</v>
      </c>
      <c r="J74" s="152">
        <f>VLOOKUP($A74,'5 A data'!$A$5:$U$650,11,FALSE)</f>
        <v>0.2050761871093337</v>
      </c>
      <c r="K74" s="153"/>
      <c r="L74" s="153"/>
      <c r="M74" s="31">
        <f t="shared" si="141"/>
        <v>-0.13788745949748793</v>
      </c>
      <c r="N74" s="31">
        <f t="shared" si="142"/>
        <v>0.20532437774244733</v>
      </c>
      <c r="O74" s="20"/>
      <c r="P74" s="634">
        <f>VLOOKUP(B74,TwoStageCT!A$10:H$72,4,FALSE)/10000</f>
        <v>3.3964590328801363E-6</v>
      </c>
      <c r="Q74" s="58">
        <f>VLOOKUP($A74,'5 A data'!$A$5:$U$650,7,FALSE)*slidewire_res</f>
        <v>1E-3</v>
      </c>
      <c r="R74" s="347">
        <f t="shared" si="130"/>
        <v>-1.6000000000000016E-3</v>
      </c>
      <c r="S74" s="4">
        <v>0</v>
      </c>
      <c r="T74" s="4">
        <f t="shared" si="143"/>
        <v>-1.4800000000000001E-2</v>
      </c>
      <c r="U74" s="29">
        <f t="shared" si="131"/>
        <v>-5.5154983798995176E-4</v>
      </c>
      <c r="V74" s="29">
        <f t="shared" si="111"/>
        <v>5.0000000000000001E-4</v>
      </c>
      <c r="W74" s="23">
        <f>VLOOKUP($D74,Uncertainties!$B$35:$D$41,2,FALSE)</f>
        <v>-1.0000000000000009E-3</v>
      </c>
      <c r="X74" s="23"/>
      <c r="Y74" s="24">
        <f t="shared" si="132"/>
        <v>-1.0701183723595402E-5</v>
      </c>
      <c r="Z74" s="23">
        <f t="shared" si="133"/>
        <v>1.497178457215618E-2</v>
      </c>
      <c r="AA74" s="25">
        <f t="shared" si="134"/>
        <v>5.2353295983218162</v>
      </c>
      <c r="AB74" s="26">
        <f t="shared" si="135"/>
        <v>2.5089993953735985</v>
      </c>
      <c r="AC74" s="14"/>
      <c r="AD74" s="635">
        <f>VLOOKUP(B74,TwoStageCT!A$10:H$72,7,FALSE)/10000</f>
        <v>1.6849048737447556E-6</v>
      </c>
      <c r="AE74" s="366">
        <f>IF(ABS(VLOOKUP($A74,'5 A data'!$A$5:$U$1148,6,FALSE))&lt;4.5,IF(ABS(VLOOKUP($A74,'5 A data'!$A$5:$U$1148,6,FALSE))&lt;1.25,0.0008,0.002),0.004)*VLOOKUP($A74,'5 A data'!$A$5:$U$1148,7,FALSE)*25*RADIANS(1/60)*100</f>
        <v>2.9088820866572159E-3</v>
      </c>
      <c r="AF74" s="23">
        <f t="shared" si="136"/>
        <v>2.9088820866572107E-3</v>
      </c>
      <c r="AG74" s="29">
        <f t="shared" si="137"/>
        <v>2.0532437774244732E-4</v>
      </c>
      <c r="AH74" s="4">
        <f t="shared" si="144"/>
        <v>2.0144008450101222E-2</v>
      </c>
      <c r="AI74" s="4">
        <f t="shared" si="138"/>
        <v>8.2129751096978929E-4</v>
      </c>
      <c r="AJ74" s="4">
        <f t="shared" si="118"/>
        <v>5.0000000000000001E-4</v>
      </c>
      <c r="AK74" s="21">
        <f>VLOOKUP($D74,Uncertainties!$B$35:$D$41,3,FALSE)</f>
        <v>-2.908882086657183E-3</v>
      </c>
      <c r="AL74" s="21"/>
      <c r="AM74" s="369">
        <f>SQRT((VLOOKUP($A74,'5 A data'!$A$5:$U$1148,7,FALSE)*mutual_ind)^2+(aux_CT_phase*J74)^2)</f>
        <v>1.7015480534634398E-3</v>
      </c>
      <c r="AN74" s="29">
        <f t="shared" si="139"/>
        <v>2.0857320483195944E-2</v>
      </c>
      <c r="AO74" s="14">
        <f t="shared" si="140"/>
        <v>5.7404248611481465</v>
      </c>
      <c r="AP74" s="27">
        <f t="shared" si="121"/>
        <v>2.4493764969932159</v>
      </c>
      <c r="AS74" s="27">
        <f>VLOOKUP($B74,TwoStageCT!$A$10:$H$72,5,FALSE)</f>
        <v>38.659909732018328</v>
      </c>
      <c r="AT74" s="27">
        <f>VLOOKUP($B74,TwoStageCT!$A$10:$H$72,8,FALSE)</f>
        <v>52.499330597885681</v>
      </c>
    </row>
    <row r="75" spans="1:46" ht="13.15" customHeight="1" x14ac:dyDescent="0.2">
      <c r="A75" s="68">
        <v>165</v>
      </c>
      <c r="B75" s="5" t="str">
        <f>B61&amp;D75</f>
        <v>120/20060</v>
      </c>
      <c r="C75" s="19">
        <f>VLOOKUP($A75,'5 A data'!$A$5:$U$650,3,FALSE)</f>
        <v>2.1000057980615688E-2</v>
      </c>
      <c r="D75" s="163">
        <f>ROUND(VLOOKUP($A75,'5 A data'!$A$5:$U$650,9,FALSE)/10,0)*10</f>
        <v>60</v>
      </c>
      <c r="E75" s="23">
        <f t="shared" si="122"/>
        <v>0.99936709902044762</v>
      </c>
      <c r="F75" s="23">
        <f t="shared" si="123"/>
        <v>1.0011822386327505</v>
      </c>
      <c r="G75" s="486">
        <f>VLOOKUP(B75,TwoStageCT!A$10:H$72,3,FALSE)/10000</f>
        <v>2.195627602528684E-5</v>
      </c>
      <c r="H75" s="486">
        <f>VLOOKUP(B75,TwoStageCT!A$10:H$72,6,FALSE)/10000</f>
        <v>5.5507836163637805E-6</v>
      </c>
      <c r="I75" s="150">
        <f>VLOOKUP($A75,'5 A data'!$A$5:$U$650,10,FALSE)</f>
        <v>-0.13</v>
      </c>
      <c r="J75" s="152">
        <f>VLOOKUP($A75,'5 A data'!$A$5:$U$650,11,FALSE)</f>
        <v>0.19053177667604765</v>
      </c>
      <c r="K75" s="153"/>
      <c r="L75" s="153"/>
      <c r="M75" s="31">
        <f t="shared" si="141"/>
        <v>-0.12989576659663293</v>
      </c>
      <c r="N75" s="31">
        <f t="shared" si="142"/>
        <v>0.19076258148681702</v>
      </c>
      <c r="O75" s="20"/>
      <c r="P75" s="634">
        <f>VLOOKUP(B75,TwoStageCT!A$10:H$72,4,FALSE)/10000</f>
        <v>2.9709098248278708E-6</v>
      </c>
      <c r="Q75" s="58">
        <f>VLOOKUP($A75,'5 A data'!$A$5:$U$650,7,FALSE)*slidewire_res</f>
        <v>1E-3</v>
      </c>
      <c r="R75" s="347">
        <f t="shared" si="130"/>
        <v>-1.8000000000000017E-3</v>
      </c>
      <c r="S75" s="4">
        <v>0</v>
      </c>
      <c r="T75" s="4">
        <f t="shared" si="143"/>
        <v>-1.44E-2</v>
      </c>
      <c r="U75" s="29">
        <f t="shared" si="131"/>
        <v>-5.1958306638653169E-4</v>
      </c>
      <c r="V75" s="29">
        <f t="shared" si="111"/>
        <v>5.0000000000000001E-4</v>
      </c>
      <c r="W75" s="23">
        <f>VLOOKUP($D75,Uncertainties!$B$35:$D$41,2,FALSE)</f>
        <v>-1.0000000000000009E-3</v>
      </c>
      <c r="X75" s="23"/>
      <c r="Y75" s="24">
        <f t="shared" si="132"/>
        <v>-1.0080825246865232E-5</v>
      </c>
      <c r="Z75" s="23">
        <f t="shared" si="133"/>
        <v>1.4598632710367723E-2</v>
      </c>
      <c r="AA75" s="25">
        <f t="shared" si="134"/>
        <v>5.2801619730977052</v>
      </c>
      <c r="AB75" s="26">
        <f t="shared" si="135"/>
        <v>2.5031176560767143</v>
      </c>
      <c r="AC75" s="14"/>
      <c r="AD75" s="635">
        <f>VLOOKUP(B75,TwoStageCT!A$10:H$72,7,FALSE)/10000</f>
        <v>1.6017059195029239E-6</v>
      </c>
      <c r="AE75" s="366">
        <f>IF(ABS(VLOOKUP($A75,'5 A data'!$A$5:$U$1148,6,FALSE))&lt;4.5,IF(ABS(VLOOKUP($A75,'5 A data'!$A$5:$U$1148,6,FALSE))&lt;1.25,0.0008,0.002),0.004)*VLOOKUP($A75,'5 A data'!$A$5:$U$1148,7,FALSE)*25*RADIANS(1/60)*100</f>
        <v>2.9088820866572159E-3</v>
      </c>
      <c r="AF75" s="23">
        <f t="shared" si="136"/>
        <v>3.1997702953229404E-3</v>
      </c>
      <c r="AG75" s="29">
        <f t="shared" si="137"/>
        <v>1.9076258148681703E-4</v>
      </c>
      <c r="AH75" s="4">
        <f t="shared" si="144"/>
        <v>1.839867919810689E-2</v>
      </c>
      <c r="AI75" s="4">
        <f t="shared" si="138"/>
        <v>7.6305032594726813E-4</v>
      </c>
      <c r="AJ75" s="4">
        <f t="shared" si="118"/>
        <v>5.0000000000000001E-4</v>
      </c>
      <c r="AK75" s="21">
        <f>VLOOKUP($D75,Uncertainties!$B$35:$D$41,3,FALSE)</f>
        <v>-2.908882086657183E-3</v>
      </c>
      <c r="AL75" s="21"/>
      <c r="AM75" s="369">
        <f>SQRT((VLOOKUP($A75,'5 A data'!$A$5:$U$1148,7,FALSE)*mutual_ind)^2+(aux_CT_phase*J75)^2)</f>
        <v>1.7013672383223266E-3</v>
      </c>
      <c r="AN75" s="29">
        <f t="shared" si="139"/>
        <v>1.9220728533886393E-2</v>
      </c>
      <c r="AO75" s="14">
        <f t="shared" si="140"/>
        <v>5.944195334645241</v>
      </c>
      <c r="AP75" s="27">
        <f t="shared" si="121"/>
        <v>2.4288795121607496</v>
      </c>
      <c r="AS75" s="27">
        <f>VLOOKUP($B75,TwoStageCT!$A$10:$H$72,5,FALSE)</f>
        <v>42.291164682130272</v>
      </c>
      <c r="AT75" s="27">
        <f>VLOOKUP($B75,TwoStageCT!$A$10:$H$72,8,FALSE)</f>
        <v>48.978667479860043</v>
      </c>
    </row>
    <row r="76" spans="1:46" ht="13.15" customHeight="1" x14ac:dyDescent="0.2">
      <c r="A76">
        <v>166</v>
      </c>
      <c r="B76" s="5" t="str">
        <f>B61&amp;D76</f>
        <v>120/200100</v>
      </c>
      <c r="C76" s="19">
        <f>VLOOKUP($A76,'5 A data'!$A$5:$U$650,3,FALSE)</f>
        <v>2.1000057980615688E-2</v>
      </c>
      <c r="D76" s="164">
        <f>ROUND(VLOOKUP($A76,'5 A data'!$A$5:$U$650,9,FALSE)/10,0)*10</f>
        <v>100</v>
      </c>
      <c r="E76" s="23">
        <f t="shared" si="122"/>
        <v>0.99936709902044762</v>
      </c>
      <c r="F76" s="23">
        <f t="shared" si="123"/>
        <v>1.0011822386327505</v>
      </c>
      <c r="G76" s="486">
        <f>VLOOKUP(B76,TwoStageCT!A$10:H$72,3,FALSE)/10000</f>
        <v>1.6881396356939836E-5</v>
      </c>
      <c r="H76" s="486">
        <f>VLOOKUP(B76,TwoStageCT!A$10:H$72,6,FALSE)/10000</f>
        <v>7.3590724152435355E-6</v>
      </c>
      <c r="I76" s="19">
        <f>VLOOKUP($A76,'5 A data'!$A$5:$U$650,10,FALSE)</f>
        <v>-0.121</v>
      </c>
      <c r="J76" s="32">
        <f>VLOOKUP($A76,'5 A data'!$A$5:$U$650,11,FALSE)</f>
        <v>0.17453292519943295</v>
      </c>
      <c r="K76" s="31"/>
      <c r="L76" s="31"/>
      <c r="M76" s="31">
        <f t="shared" si="141"/>
        <v>-0.12090653758511721</v>
      </c>
      <c r="N76" s="31">
        <f t="shared" si="142"/>
        <v>0.17474662383870593</v>
      </c>
      <c r="O76" s="20"/>
      <c r="P76" s="634">
        <f>VLOOKUP(B76,TwoStageCT!A$10:H$72,4,FALSE)/10000</f>
        <v>2.4131313466023584E-6</v>
      </c>
      <c r="Q76" s="58">
        <f>VLOOKUP($A76,'5 A data'!$A$5:$U$650,7,FALSE)*slidewire_res</f>
        <v>1E-3</v>
      </c>
      <c r="R76" s="347">
        <f t="shared" si="130"/>
        <v>-3.000000000000003E-4</v>
      </c>
      <c r="S76" s="4">
        <v>0</v>
      </c>
      <c r="T76" s="4">
        <f t="shared" si="143"/>
        <v>-1.4150000000000003E-2</v>
      </c>
      <c r="U76" s="29">
        <f t="shared" si="131"/>
        <v>-4.8362615034046888E-4</v>
      </c>
      <c r="V76" s="29">
        <f t="shared" si="111"/>
        <v>5.0000000000000001E-4</v>
      </c>
      <c r="W76" s="23">
        <f>VLOOKUP($D76,Uncertainties!$B$35:$D$41,2,FALSE)</f>
        <v>1.999999999999974E-3</v>
      </c>
      <c r="X76" s="23"/>
      <c r="Y76" s="24">
        <f t="shared" si="132"/>
        <v>-9.3829219605437922E-6</v>
      </c>
      <c r="Z76" s="23">
        <f t="shared" si="133"/>
        <v>1.4345608670102518E-2</v>
      </c>
      <c r="AA76" s="25">
        <f t="shared" si="134"/>
        <v>5.2812733654328863</v>
      </c>
      <c r="AB76" s="26">
        <f t="shared" si="135"/>
        <v>2.5029734685947393</v>
      </c>
      <c r="AC76" s="14"/>
      <c r="AD76" s="635">
        <f>VLOOKUP(B76,TwoStageCT!A$10:H$72,7,FALSE)/10000</f>
        <v>1.6933288916776063E-6</v>
      </c>
      <c r="AE76" s="366">
        <f>IF(ABS(VLOOKUP($A76,'5 A data'!$A$5:$U$1148,6,FALSE))&lt;4.5,IF(ABS(VLOOKUP($A76,'5 A data'!$A$5:$U$1148,6,FALSE))&lt;1.25,0.0008,0.002),0.004)*VLOOKUP($A76,'5 A data'!$A$5:$U$1148,7,FALSE)*25*RADIANS(1/60)*100</f>
        <v>2.9088820866572159E-3</v>
      </c>
      <c r="AF76" s="23">
        <f t="shared" si="136"/>
        <v>5.8177641733143666E-4</v>
      </c>
      <c r="AG76" s="29">
        <f t="shared" si="137"/>
        <v>1.7474662383870594E-4</v>
      </c>
      <c r="AH76" s="4">
        <f t="shared" si="144"/>
        <v>1.5126186850617524E-2</v>
      </c>
      <c r="AI76" s="4">
        <f t="shared" si="138"/>
        <v>6.9898649535482375E-4</v>
      </c>
      <c r="AJ76" s="4">
        <f t="shared" si="118"/>
        <v>5.0000000000000001E-4</v>
      </c>
      <c r="AK76" s="21">
        <f>VLOOKUP($D76,Uncertainties!$B$35:$D$41,3,FALSE)</f>
        <v>-2.9088820866572385E-3</v>
      </c>
      <c r="AL76" s="21"/>
      <c r="AM76" s="369">
        <f>SQRT((VLOOKUP($A76,'5 A data'!$A$5:$U$1148,7,FALSE)*mutual_ind)^2+(aux_CT_phase*J76)^2)</f>
        <v>1.7011836780036968E-3</v>
      </c>
      <c r="AN76" s="29">
        <f t="shared" si="139"/>
        <v>1.5802731716529538E-2</v>
      </c>
      <c r="AO76" s="14">
        <f t="shared" si="140"/>
        <v>5.9439789265345357</v>
      </c>
      <c r="AP76" s="27">
        <f t="shared" si="121"/>
        <v>2.4289003559340276</v>
      </c>
      <c r="AS76" s="27">
        <f>VLOOKUP($B76,TwoStageCT!$A$10:$H$72,5,FALSE)</f>
        <v>59.567261398457461</v>
      </c>
      <c r="AT76" s="27">
        <f>VLOOKUP($B76,TwoStageCT!$A$10:$H$72,8,FALSE)</f>
        <v>45.732629829898706</v>
      </c>
    </row>
    <row r="77" spans="1:46" ht="13.15" customHeight="1" x14ac:dyDescent="0.2">
      <c r="A77" s="68">
        <v>167</v>
      </c>
      <c r="B77" s="5" t="str">
        <f>B61&amp;D77</f>
        <v>120/200120</v>
      </c>
      <c r="C77" s="19">
        <f>VLOOKUP($A77,'5 A data'!$A$5:$U$650,3,FALSE)</f>
        <v>2.1000057980615688E-2</v>
      </c>
      <c r="D77" s="164">
        <f>ROUND(VLOOKUP($A77,'5 A data'!$A$5:$U$650,9,FALSE)/10,0)*10</f>
        <v>120</v>
      </c>
      <c r="E77" s="23">
        <f t="shared" si="122"/>
        <v>0.99936709902044762</v>
      </c>
      <c r="F77" s="23">
        <f t="shared" si="123"/>
        <v>1.0011822386327505</v>
      </c>
      <c r="G77" s="486">
        <f>VLOOKUP(B77,TwoStageCT!A$10:H$72,3,FALSE)/10000</f>
        <v>1.5213305302217845E-5</v>
      </c>
      <c r="H77" s="486">
        <f>VLOOKUP(B77,TwoStageCT!A$10:H$72,6,FALSE)/10000</f>
        <v>7.5885012454326174E-6</v>
      </c>
      <c r="I77" s="19">
        <f>VLOOKUP($A77,'5 A data'!$A$5:$U$650,10,FALSE)</f>
        <v>-0.1195</v>
      </c>
      <c r="J77" s="32">
        <f>VLOOKUP($A77,'5 A data'!$A$5:$U$650,11,FALSE)</f>
        <v>0.17162404311277576</v>
      </c>
      <c r="K77" s="31"/>
      <c r="L77" s="31"/>
      <c r="M77" s="31">
        <f t="shared" si="141"/>
        <v>-0.11940915502764127</v>
      </c>
      <c r="N77" s="31">
        <f t="shared" si="142"/>
        <v>0.17183453218809797</v>
      </c>
      <c r="O77" s="20"/>
      <c r="P77" s="634">
        <f>VLOOKUP(B77,TwoStageCT!A$10:H$72,4,FALSE)/10000</f>
        <v>2.2681305202526645E-6</v>
      </c>
      <c r="Q77" s="58">
        <f>VLOOKUP($A77,'5 A data'!$A$5:$U$650,7,FALSE)*slidewire_res</f>
        <v>1E-3</v>
      </c>
      <c r="R77" s="347">
        <f t="shared" si="130"/>
        <v>0</v>
      </c>
      <c r="S77" s="4">
        <v>0</v>
      </c>
      <c r="T77" s="4">
        <f t="shared" si="143"/>
        <v>-1.3925000000000002E-2</v>
      </c>
      <c r="U77" s="29">
        <f t="shared" si="131"/>
        <v>-4.7763662011056509E-4</v>
      </c>
      <c r="V77" s="29">
        <f t="shared" si="111"/>
        <v>5.0000000000000001E-4</v>
      </c>
      <c r="W77" s="23">
        <f>VLOOKUP($D77,Uncertainties!$B$35:$D$41,2,FALSE)</f>
        <v>-1.0000000000000009E-3</v>
      </c>
      <c r="X77" s="23"/>
      <c r="Y77" s="24">
        <f t="shared" si="132"/>
        <v>-9.2666047461568862E-6</v>
      </c>
      <c r="Z77" s="23">
        <f t="shared" si="133"/>
        <v>1.4013702321487005E-2</v>
      </c>
      <c r="AA77" s="25">
        <f t="shared" si="134"/>
        <v>5.1284160109309385</v>
      </c>
      <c r="AB77" s="26">
        <f t="shared" si="135"/>
        <v>2.5235603848920243</v>
      </c>
      <c r="AC77" s="14"/>
      <c r="AD77" s="635">
        <f>VLOOKUP(B77,TwoStageCT!A$10:H$72,7,FALSE)/10000</f>
        <v>1.7092397901526349E-6</v>
      </c>
      <c r="AE77" s="366">
        <f>IF(ABS(VLOOKUP($A77,'5 A data'!$A$5:$U$1148,6,FALSE))&lt;4.5,IF(ABS(VLOOKUP($A77,'5 A data'!$A$5:$U$1148,6,FALSE))&lt;1.25,0.0008,0.002),0.004)*VLOOKUP($A77,'5 A data'!$A$5:$U$1148,7,FALSE)*25*RADIANS(1/60)*100</f>
        <v>2.9088820866572159E-3</v>
      </c>
      <c r="AF77" s="23">
        <f t="shared" si="136"/>
        <v>0</v>
      </c>
      <c r="AG77" s="29">
        <f t="shared" si="137"/>
        <v>1.7183453218809797E-4</v>
      </c>
      <c r="AH77" s="4">
        <f t="shared" si="144"/>
        <v>1.3526301702956052E-2</v>
      </c>
      <c r="AI77" s="4">
        <f t="shared" si="138"/>
        <v>6.873381287523919E-4</v>
      </c>
      <c r="AJ77" s="4">
        <f t="shared" si="118"/>
        <v>5.0000000000000001E-4</v>
      </c>
      <c r="AK77" s="21">
        <f>VLOOKUP($D77,Uncertainties!$B$35:$D$41,3,FALSE)</f>
        <v>1.4544410433285915E-3</v>
      </c>
      <c r="AL77" s="21"/>
      <c r="AM77" s="369">
        <f>SQRT((VLOOKUP($A77,'5 A data'!$A$5:$U$1148,7,FALSE)*mutual_ind)^2+(aux_CT_phase*J77)^2)</f>
        <v>1.7011520299637143E-3</v>
      </c>
      <c r="AN77" s="29">
        <f t="shared" si="139"/>
        <v>1.4042211843660004E-2</v>
      </c>
      <c r="AO77" s="14">
        <f t="shared" si="140"/>
        <v>5.7933879011352847</v>
      </c>
      <c r="AP77" s="27">
        <f t="shared" si="121"/>
        <v>2.443875967382577</v>
      </c>
      <c r="AS77" s="27">
        <f>VLOOKUP($B77,TwoStageCT!$A$10:$H$72,5,FALSE)</f>
        <v>68.00069900375496</v>
      </c>
      <c r="AT77" s="27">
        <f>VLOOKUP($B77,TwoStageCT!$A$10:$H$72,8,FALSE)</f>
        <v>47.345132453902309</v>
      </c>
    </row>
    <row r="78" spans="1:46" ht="13.15" customHeight="1" x14ac:dyDescent="0.2">
      <c r="A78">
        <v>168</v>
      </c>
      <c r="P78" s="97"/>
      <c r="R78" s="42"/>
      <c r="Z78" s="29"/>
      <c r="AD78" s="250"/>
      <c r="AN78" s="29"/>
    </row>
    <row r="79" spans="1:46" ht="13.15" customHeight="1" x14ac:dyDescent="0.2">
      <c r="A79" s="68">
        <v>169</v>
      </c>
      <c r="B79" s="474" t="str">
        <f>MID(D79,FIND("AT,",D79,1)-4,3)&amp;"/"&amp;MID(D79,FIND("AT,",D79,1)+4,3)</f>
        <v>120/200</v>
      </c>
      <c r="C79" t="s">
        <v>113</v>
      </c>
      <c r="D79" s="161" t="str">
        <f>VLOOKUP($A79,'5 A data'!$A$5:$U$574,2,FALSE)</f>
        <v>200/5 Range, 1 turns @ 2VA burden, vs 120 AT, 200 range, 2 Stage CT</v>
      </c>
      <c r="E79" s="158"/>
      <c r="F79" s="158"/>
      <c r="G79" s="158"/>
      <c r="H79" s="158"/>
      <c r="I79" s="158"/>
      <c r="J79" s="158"/>
      <c r="K79" s="158"/>
      <c r="P79" s="97"/>
      <c r="R79" s="42"/>
      <c r="Z79" s="29"/>
      <c r="AA79" s="25"/>
      <c r="AD79" s="250"/>
      <c r="AN79" s="29"/>
      <c r="AO79" s="14"/>
    </row>
    <row r="80" spans="1:46" ht="13.15" customHeight="1" x14ac:dyDescent="0.2">
      <c r="A80">
        <v>170</v>
      </c>
      <c r="C80" s="19"/>
      <c r="M80" s="639" t="s">
        <v>472</v>
      </c>
      <c r="N80" s="639"/>
      <c r="O80" s="19"/>
      <c r="P80" s="97"/>
      <c r="R80" s="42"/>
      <c r="Z80" s="29"/>
      <c r="AA80" s="25"/>
      <c r="AD80" s="250"/>
      <c r="AN80" s="29"/>
      <c r="AO80" s="14"/>
    </row>
    <row r="81" spans="1:46" ht="13.15" customHeight="1" x14ac:dyDescent="0.2">
      <c r="A81" s="68">
        <v>171</v>
      </c>
      <c r="B81" s="5" t="str">
        <f>B79&amp;D81</f>
        <v>120/2005</v>
      </c>
      <c r="C81" s="19">
        <f>VLOOKUP($A81,'5 A data'!$A$5:$U$574,3,FALSE)</f>
        <v>0.21600059637204713</v>
      </c>
      <c r="D81" s="19">
        <f>ROUND(VLOOKUP($A81,'5 A data'!$A$5:$U$650,9,FALSE),0)</f>
        <v>5</v>
      </c>
      <c r="E81" s="23">
        <f>TestSetRatioCor</f>
        <v>0.99936709902044762</v>
      </c>
      <c r="F81" s="23">
        <f>TestSetPhaseCor</f>
        <v>1.0011822386327505</v>
      </c>
      <c r="G81" s="486">
        <f>VLOOKUP(B81,TwoStageCT!A$10:H$72,3,FALSE)/10000</f>
        <v>3.6805932694608759E-5</v>
      </c>
      <c r="H81" s="486">
        <f>VLOOKUP(B81,TwoStageCT!A$10:H$72,6,FALSE)/10000</f>
        <v>4.6965346060309593E-6</v>
      </c>
      <c r="I81" s="19">
        <f>VLOOKUP($A81,'5 A data'!$A$5:$U$650,10,FALSE)</f>
        <v>-0.42</v>
      </c>
      <c r="J81" s="32">
        <f>VLOOKUP($A81,'5 A data'!$A$5:$U$650,11,FALSE)</f>
        <v>0.68358729036444577</v>
      </c>
      <c r="K81" s="22">
        <f t="shared" ref="K81:L83" si="145">I81-I89</f>
        <v>-0.18799999999999997</v>
      </c>
      <c r="L81" s="22">
        <f t="shared" si="145"/>
        <v>0.28797932657906439</v>
      </c>
      <c r="M81" s="492">
        <f>I81*E81+G81</f>
        <v>-0.41969737565589338</v>
      </c>
      <c r="N81" s="492">
        <f>J81*F81+H81</f>
        <v>0.68440015020257783</v>
      </c>
      <c r="O81" s="20"/>
      <c r="P81" s="634">
        <f>VLOOKUP(B81,TwoStageCT!A$10:H$72,4,FALSE)/10000</f>
        <v>6.4429594675743464E-6</v>
      </c>
      <c r="Q81" s="58">
        <f>VLOOKUP($A81,'5 A data'!$A$5:$U$650,7,FALSE)*slidewire_res</f>
        <v>1E-3</v>
      </c>
      <c r="R81" s="347">
        <f t="shared" ref="R81:R87" si="146">current_coef*(I81-I82)*IF(I82=0,0,1)</f>
        <v>-1.2E-2</v>
      </c>
      <c r="S81" s="21">
        <v>0</v>
      </c>
      <c r="T81" s="21">
        <f>BurdenUnc*K81</f>
        <v>-9.3999999999999986E-3</v>
      </c>
      <c r="U81" s="23">
        <f t="shared" ref="U81:U87" si="147">0.004*M81</f>
        <v>-1.6787895026235736E-3</v>
      </c>
      <c r="V81" s="23">
        <f t="shared" ref="V81:V95" si="148">earthing_Re</f>
        <v>5.0000000000000001E-4</v>
      </c>
      <c r="W81" s="23">
        <f>VLOOKUP($D81,Uncertainties!$B$35:$D$41,2,FALSE)</f>
        <v>5.0000000000000044E-3</v>
      </c>
      <c r="X81" s="23"/>
      <c r="Y81" s="24">
        <f t="shared" ref="Y81:Y87" si="149">I81*aux_CT_ratio</f>
        <v>-3.2568820028333828E-5</v>
      </c>
      <c r="Z81" s="23">
        <f t="shared" ref="Z81:Z87" si="150">SQRT(SUMSQ(P81:Y81))</f>
        <v>1.6168779682891467E-2</v>
      </c>
      <c r="AA81" s="25">
        <f t="shared" ref="AA81:AA87" si="151">DoF_A(P81:Y81,$P$7:$Y$7)</f>
        <v>11.864484305278628</v>
      </c>
      <c r="AB81" s="26">
        <f t="shared" ref="AB81:AB87" si="152">CoverFactor(AA81)</f>
        <v>2.1732216852400801</v>
      </c>
      <c r="AC81" s="14"/>
      <c r="AD81" s="635">
        <f>VLOOKUP(B81,TwoStageCT!A$10:H$72,7,FALSE)/10000</f>
        <v>4.6788986298833412E-6</v>
      </c>
      <c r="AE81" s="366">
        <f>IF(ABS(VLOOKUP($A81,'5 A data'!$A$5:$U$1148,6,FALSE))&lt;4.5,IF(ABS(VLOOKUP($A81,'5 A data'!$A$5:$U$1148,6,FALSE))&lt;1.25,0.0008,0.002),0.004)*VLOOKUP($A81,'5 A data'!$A$5:$U$1148,7,FALSE)*25*RADIANS(1/60)*100</f>
        <v>2.9088820866572159E-3</v>
      </c>
      <c r="AF81" s="23">
        <f>current_coef*(J81-J82)*IF(J82=0,0,1)</f>
        <v>2.7343491614577831E-2</v>
      </c>
      <c r="AG81" s="29">
        <f t="shared" ref="AG81:AG87" si="153">0.001*N81</f>
        <v>6.8440015020257785E-4</v>
      </c>
      <c r="AH81" s="4">
        <f>BurdenUnc*L81</f>
        <v>1.439896632895322E-2</v>
      </c>
      <c r="AI81" s="4">
        <f t="shared" ref="AI81:AI87" si="154">0.004*N81</f>
        <v>2.7376006008103114E-3</v>
      </c>
      <c r="AJ81" s="4">
        <f t="shared" ref="AJ81:AJ95" si="155">earthing_Im</f>
        <v>5.0000000000000001E-4</v>
      </c>
      <c r="AK81" s="21">
        <f>VLOOKUP($D81,Uncertainties!$B$35:$D$41,3,FALSE)</f>
        <v>-1.1635528346628732E-2</v>
      </c>
      <c r="AL81" s="21"/>
      <c r="AM81" s="369">
        <f>SQRT((VLOOKUP($A81,'5 A data'!$A$5:$U$1148,7,FALSE)*mutual_ind)^2+(aux_CT_phase*J81)^2)</f>
        <v>1.714858254715726E-3</v>
      </c>
      <c r="AN81" s="29">
        <f>SQRT(SUMSQ(AD81:AM81))</f>
        <v>3.3316624998026227E-2</v>
      </c>
      <c r="AO81" s="14">
        <f>DoF_A(AD81:AM81,$AD$7:$AM$7)</f>
        <v>10.108091932069755</v>
      </c>
      <c r="AP81" s="27">
        <f t="shared" ref="AP81:AP95" si="156">CoverFactor(AO81)</f>
        <v>2.2140004986692539</v>
      </c>
      <c r="AS81" s="27">
        <f>VLOOKUP($B81,TwoStageCT!$A$10:$H$72,5,FALSE)</f>
        <v>26.31606241070681</v>
      </c>
      <c r="AT81" s="27">
        <f>VLOOKUP($B81,TwoStageCT!$A$10:$H$72,8,FALSE)</f>
        <v>9.9413455012810044</v>
      </c>
    </row>
    <row r="82" spans="1:46" ht="13.15" customHeight="1" x14ac:dyDescent="0.2">
      <c r="A82">
        <v>172</v>
      </c>
      <c r="B82" s="5" t="str">
        <f>B79&amp;D82</f>
        <v>120/20010</v>
      </c>
      <c r="C82" s="19">
        <f>VLOOKUP($A82,'5 A data'!$A$5:$U$650,3,FALSE)</f>
        <v>0.21600059637204713</v>
      </c>
      <c r="D82" s="163">
        <f>ROUND(VLOOKUP($A82,'5 A data'!$A$5:$U$650,9,FALSE)/10,0)*10</f>
        <v>10</v>
      </c>
      <c r="E82" s="23">
        <f t="shared" ref="E82:E95" si="157">TestSetRatioCor</f>
        <v>0.99936709902044762</v>
      </c>
      <c r="F82" s="23">
        <f t="shared" ref="F82:F95" si="158">TestSetPhaseCor</f>
        <v>1.0011822386327505</v>
      </c>
      <c r="G82" s="486">
        <f>VLOOKUP(B82,TwoStageCT!A$10:H$72,3,FALSE)/10000</f>
        <v>3.4690340839935311E-5</v>
      </c>
      <c r="H82" s="486">
        <f>VLOOKUP(B82,TwoStageCT!A$10:H$72,6,FALSE)/10000</f>
        <v>2.6036797087866982E-6</v>
      </c>
      <c r="I82" s="19">
        <f>VLOOKUP($A82,'5 A data'!$A$5:$U$650,10,FALSE)</f>
        <v>-0.36</v>
      </c>
      <c r="J82" s="32">
        <f>VLOOKUP($A82,'5 A data'!$A$5:$U$650,11,FALSE)</f>
        <v>0.54686983229155661</v>
      </c>
      <c r="K82" s="22">
        <f t="shared" si="145"/>
        <v>-0.17499999999999999</v>
      </c>
      <c r="L82" s="22">
        <f t="shared" si="145"/>
        <v>0.25016385945252062</v>
      </c>
      <c r="M82" s="492">
        <f t="shared" ref="M82:M87" si="159">I82*E82+G82</f>
        <v>-0.35973746530652123</v>
      </c>
      <c r="N82" s="492">
        <f t="shared" ref="N82:N87" si="160">J82*F82+H82</f>
        <v>0.54751896661408628</v>
      </c>
      <c r="O82" s="20"/>
      <c r="P82" s="634">
        <f>VLOOKUP(B82,TwoStageCT!A$10:H$72,4,FALSE)/10000</f>
        <v>5.0170517941146892E-6</v>
      </c>
      <c r="Q82" s="58">
        <f>VLOOKUP($A82,'5 A data'!$A$5:$U$650,7,FALSE)*slidewire_res</f>
        <v>1E-3</v>
      </c>
      <c r="R82" s="347">
        <f t="shared" si="146"/>
        <v>-7.9999999999999967E-3</v>
      </c>
      <c r="S82" s="4">
        <v>0</v>
      </c>
      <c r="T82" s="21">
        <f t="shared" ref="T82:T87" si="161">BurdenUnc*K82</f>
        <v>-8.7499999999999991E-3</v>
      </c>
      <c r="U82" s="29">
        <f t="shared" si="147"/>
        <v>-1.4389498612260849E-3</v>
      </c>
      <c r="V82" s="29">
        <f t="shared" si="148"/>
        <v>5.0000000000000001E-4</v>
      </c>
      <c r="W82" s="23">
        <f>VLOOKUP($D82,Uncertainties!$B$35:$D$41,2,FALSE)</f>
        <v>2.5000000000000022E-3</v>
      </c>
      <c r="X82" s="23"/>
      <c r="Y82" s="24">
        <f t="shared" si="149"/>
        <v>-2.7916131452857566E-5</v>
      </c>
      <c r="Z82" s="23">
        <f t="shared" si="150"/>
        <v>1.2252913171337114E-2</v>
      </c>
      <c r="AA82" s="25">
        <f t="shared" si="151"/>
        <v>11.294044458685871</v>
      </c>
      <c r="AB82" s="26">
        <f t="shared" si="152"/>
        <v>2.1849334630479444</v>
      </c>
      <c r="AC82" s="14"/>
      <c r="AD82" s="635">
        <f>VLOOKUP(B82,TwoStageCT!A$10:H$72,7,FALSE)/10000</f>
        <v>2.600738521505678E-6</v>
      </c>
      <c r="AE82" s="366">
        <f>IF(ABS(VLOOKUP($A82,'5 A data'!$A$5:$U$1148,6,FALSE))&lt;4.5,IF(ABS(VLOOKUP($A82,'5 A data'!$A$5:$U$1148,6,FALSE))&lt;1.25,0.0008,0.002),0.004)*VLOOKUP($A82,'5 A data'!$A$5:$U$1148,7,FALSE)*25*RADIANS(1/60)*100</f>
        <v>2.9088820866572159E-3</v>
      </c>
      <c r="AF82" s="23">
        <f t="shared" ref="AF82:AF87" si="162">current_coef*(J82-J83)*IF(J83=0,0,1)</f>
        <v>1.5126186850617541E-2</v>
      </c>
      <c r="AG82" s="29">
        <f t="shared" si="153"/>
        <v>5.4751896661408628E-4</v>
      </c>
      <c r="AH82" s="4">
        <f t="shared" ref="AH82:AH87" si="163">BurdenUnc*L82</f>
        <v>1.2508192972626031E-2</v>
      </c>
      <c r="AI82" s="4">
        <f t="shared" si="154"/>
        <v>2.1900758664563451E-3</v>
      </c>
      <c r="AJ82" s="4">
        <f t="shared" si="155"/>
        <v>5.0000000000000001E-4</v>
      </c>
      <c r="AK82" s="21">
        <f>VLOOKUP($D82,Uncertainties!$B$35:$D$41,3,FALSE)</f>
        <v>4.363323129985941E-3</v>
      </c>
      <c r="AL82" s="21"/>
      <c r="AM82" s="369">
        <f>SQRT((VLOOKUP($A82,'5 A data'!$A$5:$U$1148,7,FALSE)*mutual_ind)^2+(aux_CT_phase*J82)^2)</f>
        <v>1.7096050693422794E-3</v>
      </c>
      <c r="AN82" s="29">
        <f t="shared" ref="AN82:AN87" si="164">SQRT(SUMSQ(AD82:AM82))</f>
        <v>2.0518907607072801E-2</v>
      </c>
      <c r="AO82" s="14">
        <f t="shared" ref="AO82:AO87" si="165">DoF_A(AD82:AM82,$AD$7:$AM$7)</f>
        <v>11.499120655325598</v>
      </c>
      <c r="AP82" s="27">
        <f t="shared" si="156"/>
        <v>2.1805760545570347</v>
      </c>
      <c r="AS82" s="27">
        <f>VLOOKUP($B82,TwoStageCT!$A$10:$H$72,5,FALSE)</f>
        <v>38.265350164989712</v>
      </c>
      <c r="AT82" s="27">
        <f>VLOOKUP($B82,TwoStageCT!$A$10:$H$72,8,FALSE)</f>
        <v>16.586629386739094</v>
      </c>
    </row>
    <row r="83" spans="1:46" ht="13.15" customHeight="1" x14ac:dyDescent="0.2">
      <c r="A83" s="68">
        <v>173</v>
      </c>
      <c r="B83" s="5" t="str">
        <f>B79&amp;D83</f>
        <v>120/20020</v>
      </c>
      <c r="C83" s="19">
        <f>VLOOKUP($A83,'5 A data'!$A$5:$U$650,3,FALSE)</f>
        <v>0.21600059637204713</v>
      </c>
      <c r="D83" s="163">
        <f>ROUND(VLOOKUP($A83,'5 A data'!$A$5:$U$650,9,FALSE)/10,0)*10</f>
        <v>20</v>
      </c>
      <c r="E83" s="23">
        <f t="shared" si="157"/>
        <v>0.99936709902044762</v>
      </c>
      <c r="F83" s="23">
        <f t="shared" si="158"/>
        <v>1.0011822386327505</v>
      </c>
      <c r="G83" s="486">
        <f>VLOOKUP(B83,TwoStageCT!A$10:H$72,3,FALSE)/10000</f>
        <v>3.1280516301103777E-5</v>
      </c>
      <c r="H83" s="486">
        <f>VLOOKUP(B83,TwoStageCT!A$10:H$72,6,FALSE)/10000</f>
        <v>4.5493238991726806E-6</v>
      </c>
      <c r="I83" s="19">
        <f>VLOOKUP($A83,'5 A data'!$A$5:$U$650,10,FALSE)</f>
        <v>-0.32</v>
      </c>
      <c r="J83" s="32">
        <f>VLOOKUP($A83,'5 A data'!$A$5:$U$650,11,FALSE)</f>
        <v>0.47123889803846891</v>
      </c>
      <c r="K83" s="22">
        <f t="shared" si="145"/>
        <v>-0.16300000000000001</v>
      </c>
      <c r="L83" s="22">
        <f t="shared" si="145"/>
        <v>0.22980168484591998</v>
      </c>
      <c r="M83" s="492">
        <f t="shared" si="159"/>
        <v>-0.31976619117024219</v>
      </c>
      <c r="N83" s="492">
        <f t="shared" si="160"/>
        <v>0.47180056419288391</v>
      </c>
      <c r="O83" s="20"/>
      <c r="P83" s="634">
        <f>VLOOKUP(B83,TwoStageCT!A$10:H$72,4,FALSE)/10000</f>
        <v>4.17832023036102E-6</v>
      </c>
      <c r="Q83" s="58">
        <f>VLOOKUP($A83,'5 A data'!$A$5:$U$650,7,FALSE)*slidewire_res</f>
        <v>1E-3</v>
      </c>
      <c r="R83" s="347">
        <f t="shared" si="146"/>
        <v>-5.8000000000000057E-3</v>
      </c>
      <c r="S83" s="4">
        <v>0</v>
      </c>
      <c r="T83" s="21">
        <f t="shared" si="161"/>
        <v>-8.150000000000001E-3</v>
      </c>
      <c r="U83" s="29">
        <f t="shared" si="147"/>
        <v>-1.2790647646809688E-3</v>
      </c>
      <c r="V83" s="29">
        <f t="shared" si="148"/>
        <v>5.0000000000000001E-4</v>
      </c>
      <c r="W83" s="23">
        <f>VLOOKUP($D83,Uncertainties!$B$35:$D$41,2,FALSE)</f>
        <v>-1.0000000000000009E-3</v>
      </c>
      <c r="X83" s="23"/>
      <c r="Y83" s="24">
        <f t="shared" si="149"/>
        <v>-2.4814339069206726E-5</v>
      </c>
      <c r="Z83" s="23">
        <f t="shared" si="150"/>
        <v>1.0195545099798826E-2</v>
      </c>
      <c r="AA83" s="25">
        <f t="shared" si="151"/>
        <v>9.7385865982829234</v>
      </c>
      <c r="AB83" s="26">
        <f t="shared" si="152"/>
        <v>2.224680277665438</v>
      </c>
      <c r="AC83" s="14"/>
      <c r="AD83" s="635">
        <f>VLOOKUP(B83,TwoStageCT!A$10:H$72,7,FALSE)/10000</f>
        <v>1.9770475075939077E-6</v>
      </c>
      <c r="AE83" s="366">
        <f>IF(ABS(VLOOKUP($A83,'5 A data'!$A$5:$U$1148,6,FALSE))&lt;4.5,IF(ABS(VLOOKUP($A83,'5 A data'!$A$5:$U$1148,6,FALSE))&lt;1.25,0.0008,0.002),0.004)*VLOOKUP($A83,'5 A data'!$A$5:$U$1148,7,FALSE)*25*RADIANS(1/60)*100</f>
        <v>2.9088820866572159E-3</v>
      </c>
      <c r="AF83" s="23">
        <f t="shared" si="162"/>
        <v>1.1053751929297407E-2</v>
      </c>
      <c r="AG83" s="29">
        <f t="shared" si="153"/>
        <v>4.718005641928839E-4</v>
      </c>
      <c r="AH83" s="4">
        <f t="shared" si="163"/>
        <v>1.1490084242296E-2</v>
      </c>
      <c r="AI83" s="4">
        <f t="shared" si="154"/>
        <v>1.8872022567715356E-3</v>
      </c>
      <c r="AJ83" s="4">
        <f t="shared" si="155"/>
        <v>5.0000000000000001E-4</v>
      </c>
      <c r="AK83" s="21">
        <f>VLOOKUP($D83,Uncertainties!$B$35:$D$41,3,FALSE)</f>
        <v>-1.454441043328647E-3</v>
      </c>
      <c r="AL83" s="21"/>
      <c r="AM83" s="369">
        <f>SQRT((VLOOKUP($A83,'5 A data'!$A$5:$U$1148,7,FALSE)*mutual_ind)^2+(aux_CT_phase*J83)^2)</f>
        <v>1.7071951704404635E-3</v>
      </c>
      <c r="AN83" s="29">
        <f t="shared" si="164"/>
        <v>1.6484329186871011E-2</v>
      </c>
      <c r="AO83" s="14">
        <f t="shared" si="165"/>
        <v>11.376007471901429</v>
      </c>
      <c r="AP83" s="27">
        <f t="shared" si="156"/>
        <v>2.18317119904358</v>
      </c>
      <c r="AS83" s="27">
        <f>VLOOKUP($B83,TwoStageCT!$A$10:$H$72,5,FALSE)</f>
        <v>36.657700403051521</v>
      </c>
      <c r="AT83" s="27">
        <f>VLOOKUP($B83,TwoStageCT!$A$10:$H$72,8,FALSE)</f>
        <v>53.09445811850042</v>
      </c>
    </row>
    <row r="84" spans="1:46" ht="13.15" customHeight="1" x14ac:dyDescent="0.2">
      <c r="A84">
        <v>174</v>
      </c>
      <c r="B84" s="5" t="str">
        <f>B79&amp;D84</f>
        <v>120/20040</v>
      </c>
      <c r="C84" s="19">
        <f>VLOOKUP($A84,'5 A data'!$A$5:$U$650,3,FALSE)</f>
        <v>0.21600059637204713</v>
      </c>
      <c r="D84" s="163">
        <f>ROUND(VLOOKUP($A84,'5 A data'!$A$5:$U$650,9,FALSE)/10,0)*10</f>
        <v>40</v>
      </c>
      <c r="E84" s="23">
        <f t="shared" si="157"/>
        <v>0.99936709902044762</v>
      </c>
      <c r="F84" s="23">
        <f t="shared" si="158"/>
        <v>1.0011822386327505</v>
      </c>
      <c r="G84" s="486">
        <f>VLOOKUP(B84,TwoStageCT!A$10:H$72,3,FALSE)/10000</f>
        <v>2.5200167333853628E-5</v>
      </c>
      <c r="H84" s="486">
        <f>VLOOKUP(B84,TwoStageCT!A$10:H$72,6,FALSE)/10000</f>
        <v>5.7416420558101514E-6</v>
      </c>
      <c r="I84" s="19">
        <f>VLOOKUP($A84,'5 A data'!$A$5:$U$650,10,FALSE)</f>
        <v>-0.29099999999999998</v>
      </c>
      <c r="J84" s="32">
        <f>VLOOKUP($A84,'5 A data'!$A$5:$U$650,11,FALSE)</f>
        <v>0.41597013839198188</v>
      </c>
      <c r="K84" s="22">
        <f>I84-I92</f>
        <v>-0.15299999999999997</v>
      </c>
      <c r="L84" s="22">
        <f>J84-J92</f>
        <v>0.21089395128264818</v>
      </c>
      <c r="M84" s="492">
        <f t="shared" si="159"/>
        <v>-0.29079062564761637</v>
      </c>
      <c r="N84" s="492">
        <f t="shared" si="160"/>
        <v>0.41646765600171526</v>
      </c>
      <c r="O84" s="20"/>
      <c r="P84" s="634">
        <f>VLOOKUP(B84,TwoStageCT!A$10:H$72,4,FALSE)/10000</f>
        <v>3.3964590328801363E-6</v>
      </c>
      <c r="Q84" s="58">
        <f>VLOOKUP($A84,'5 A data'!$A$5:$U$650,7,FALSE)*slidewire_res</f>
        <v>1E-3</v>
      </c>
      <c r="R84" s="347">
        <f t="shared" si="146"/>
        <v>-2.9999999999999918E-3</v>
      </c>
      <c r="S84" s="4">
        <v>0</v>
      </c>
      <c r="T84" s="21">
        <f t="shared" si="161"/>
        <v>-7.6499999999999988E-3</v>
      </c>
      <c r="U84" s="29">
        <f t="shared" si="147"/>
        <v>-1.1631625025904655E-3</v>
      </c>
      <c r="V84" s="29">
        <f t="shared" si="148"/>
        <v>5.0000000000000001E-4</v>
      </c>
      <c r="W84" s="23">
        <f>VLOOKUP($D84,Uncertainties!$B$35:$D$41,2,FALSE)</f>
        <v>-1.0000000000000009E-3</v>
      </c>
      <c r="X84" s="23"/>
      <c r="Y84" s="24">
        <f t="shared" si="149"/>
        <v>-2.2565539591059864E-5</v>
      </c>
      <c r="Z84" s="23">
        <f t="shared" si="150"/>
        <v>8.4336212712537335E-3</v>
      </c>
      <c r="AA84" s="25">
        <f t="shared" si="151"/>
        <v>7.2081071569792492</v>
      </c>
      <c r="AB84" s="26">
        <f t="shared" si="152"/>
        <v>2.3325364480420787</v>
      </c>
      <c r="AC84" s="14"/>
      <c r="AD84" s="635">
        <f>VLOOKUP(B84,TwoStageCT!A$10:H$72,7,FALSE)/10000</f>
        <v>1.6849048737447556E-6</v>
      </c>
      <c r="AE84" s="366">
        <f>IF(ABS(VLOOKUP($A84,'5 A data'!$A$5:$U$1148,6,FALSE))&lt;4.5,IF(ABS(VLOOKUP($A84,'5 A data'!$A$5:$U$1148,6,FALSE))&lt;1.25,0.0008,0.002),0.004)*VLOOKUP($A84,'5 A data'!$A$5:$U$1148,7,FALSE)*25*RADIANS(1/60)*100</f>
        <v>2.9088820866572159E-3</v>
      </c>
      <c r="AF84" s="23">
        <f t="shared" si="162"/>
        <v>5.2359877559829959E-3</v>
      </c>
      <c r="AG84" s="29">
        <f t="shared" si="153"/>
        <v>4.1646765600171525E-4</v>
      </c>
      <c r="AH84" s="4">
        <f t="shared" si="163"/>
        <v>1.054469756413241E-2</v>
      </c>
      <c r="AI84" s="4">
        <f t="shared" si="154"/>
        <v>1.665870624006861E-3</v>
      </c>
      <c r="AJ84" s="4">
        <f t="shared" si="155"/>
        <v>5.0000000000000001E-4</v>
      </c>
      <c r="AK84" s="21">
        <f>VLOOKUP($D84,Uncertainties!$B$35:$D$41,3,FALSE)</f>
        <v>-2.908882086657183E-3</v>
      </c>
      <c r="AL84" s="21"/>
      <c r="AM84" s="369">
        <f>SQRT((VLOOKUP($A84,'5 A data'!$A$5:$U$1148,7,FALSE)*mutual_ind)^2+(aux_CT_phase*J84)^2)</f>
        <v>1.7056587404982373E-3</v>
      </c>
      <c r="AN84" s="29">
        <f t="shared" si="164"/>
        <v>1.2713663882230847E-2</v>
      </c>
      <c r="AO84" s="14">
        <f t="shared" si="165"/>
        <v>9.8729023353833067</v>
      </c>
      <c r="AP84" s="27">
        <f t="shared" si="156"/>
        <v>2.2206944136376001</v>
      </c>
      <c r="AS84" s="27">
        <f>VLOOKUP($B84,TwoStageCT!$A$10:$H$72,5,FALSE)</f>
        <v>38.659909732018328</v>
      </c>
      <c r="AT84" s="27">
        <f>VLOOKUP($B84,TwoStageCT!$A$10:$H$72,8,FALSE)</f>
        <v>52.499330597885681</v>
      </c>
    </row>
    <row r="85" spans="1:46" ht="13.15" customHeight="1" x14ac:dyDescent="0.2">
      <c r="A85" s="68">
        <v>175</v>
      </c>
      <c r="B85" s="5" t="str">
        <f>B79&amp;D85</f>
        <v>120/20060</v>
      </c>
      <c r="C85" s="19">
        <f>VLOOKUP($A85,'5 A data'!$A$5:$U$650,3,FALSE)</f>
        <v>0.21600059637204713</v>
      </c>
      <c r="D85" s="163">
        <f>ROUND(VLOOKUP($A85,'5 A data'!$A$5:$U$650,9,FALSE)/10,0)*10</f>
        <v>60</v>
      </c>
      <c r="E85" s="23">
        <f t="shared" si="157"/>
        <v>0.99936709902044762</v>
      </c>
      <c r="F85" s="23">
        <f t="shared" si="158"/>
        <v>1.0011822386327505</v>
      </c>
      <c r="G85" s="486">
        <f>VLOOKUP(B85,TwoStageCT!A$10:H$72,3,FALSE)/10000</f>
        <v>2.195627602528684E-5</v>
      </c>
      <c r="H85" s="486">
        <f>VLOOKUP(B85,TwoStageCT!A$10:H$72,6,FALSE)/10000</f>
        <v>5.5507836163637805E-6</v>
      </c>
      <c r="I85" s="19">
        <f>VLOOKUP($A85,'5 A data'!$A$5:$U$650,10,FALSE)</f>
        <v>-0.27600000000000002</v>
      </c>
      <c r="J85" s="32">
        <f>VLOOKUP($A85,'5 A data'!$A$5:$U$650,11,FALSE)</f>
        <v>0.3897901996120669</v>
      </c>
      <c r="K85" s="22">
        <f t="shared" ref="K85:L87" si="166">I85-I93</f>
        <v>-0.14600000000000002</v>
      </c>
      <c r="L85" s="22">
        <f t="shared" si="166"/>
        <v>0.19925842293601925</v>
      </c>
      <c r="M85" s="492">
        <f t="shared" si="159"/>
        <v>-0.27580336305361824</v>
      </c>
      <c r="N85" s="492">
        <f t="shared" si="160"/>
        <v>0.39025657542833214</v>
      </c>
      <c r="O85" s="20"/>
      <c r="P85" s="634">
        <f>VLOOKUP(B85,TwoStageCT!A$10:H$72,4,FALSE)/10000</f>
        <v>2.9709098248278708E-6</v>
      </c>
      <c r="Q85" s="58">
        <f>VLOOKUP($A85,'5 A data'!$A$5:$U$650,7,FALSE)*slidewire_res</f>
        <v>1E-3</v>
      </c>
      <c r="R85" s="347">
        <f t="shared" si="146"/>
        <v>-2.4000000000000024E-3</v>
      </c>
      <c r="S85" s="4">
        <v>0</v>
      </c>
      <c r="T85" s="21">
        <f t="shared" si="161"/>
        <v>-7.3000000000000009E-3</v>
      </c>
      <c r="U85" s="29">
        <f t="shared" si="147"/>
        <v>-1.1032134522144729E-3</v>
      </c>
      <c r="V85" s="29">
        <f t="shared" si="148"/>
        <v>5.0000000000000001E-4</v>
      </c>
      <c r="W85" s="23">
        <f>VLOOKUP($D85,Uncertainties!$B$35:$D$41,2,FALSE)</f>
        <v>-1.0000000000000009E-3</v>
      </c>
      <c r="X85" s="23"/>
      <c r="Y85" s="24">
        <f t="shared" si="149"/>
        <v>-2.1402367447190804E-5</v>
      </c>
      <c r="Z85" s="23">
        <f t="shared" si="150"/>
        <v>7.9068038301695915E-3</v>
      </c>
      <c r="AA85" s="25">
        <f t="shared" si="151"/>
        <v>6.7950586704098841</v>
      </c>
      <c r="AB85" s="26">
        <f t="shared" si="152"/>
        <v>2.3592802676548534</v>
      </c>
      <c r="AC85" s="14"/>
      <c r="AD85" s="635">
        <f>VLOOKUP(B85,TwoStageCT!A$10:H$72,7,FALSE)/10000</f>
        <v>1.6017059195029239E-6</v>
      </c>
      <c r="AE85" s="366">
        <f>IF(ABS(VLOOKUP($A85,'5 A data'!$A$5:$U$1148,6,FALSE))&lt;4.5,IF(ABS(VLOOKUP($A85,'5 A data'!$A$5:$U$1148,6,FALSE))&lt;1.25,0.0008,0.002),0.004)*VLOOKUP($A85,'5 A data'!$A$5:$U$1148,7,FALSE)*25*RADIANS(1/60)*100</f>
        <v>2.9088820866572159E-3</v>
      </c>
      <c r="AF85" s="23">
        <f t="shared" si="162"/>
        <v>7.5630934253087647E-3</v>
      </c>
      <c r="AG85" s="29">
        <f t="shared" si="153"/>
        <v>3.9025657542833217E-4</v>
      </c>
      <c r="AH85" s="4">
        <f t="shared" si="163"/>
        <v>9.9629211468009633E-3</v>
      </c>
      <c r="AI85" s="4">
        <f t="shared" si="154"/>
        <v>1.5610263017133287E-3</v>
      </c>
      <c r="AJ85" s="4">
        <f t="shared" si="155"/>
        <v>5.0000000000000001E-4</v>
      </c>
      <c r="AK85" s="21">
        <f>VLOOKUP($D85,Uncertainties!$B$35:$D$41,3,FALSE)</f>
        <v>-2.908882086657183E-3</v>
      </c>
      <c r="AL85" s="21"/>
      <c r="AM85" s="369">
        <f>SQRT((VLOOKUP($A85,'5 A data'!$A$5:$U$1148,7,FALSE)*mutual_ind)^2+(aux_CT_phase*J85)^2)</f>
        <v>1.7049973447945612E-3</v>
      </c>
      <c r="AN85" s="29">
        <f t="shared" si="164"/>
        <v>1.3383926619120301E-2</v>
      </c>
      <c r="AO85" s="14">
        <f t="shared" si="165"/>
        <v>12.118409097177345</v>
      </c>
      <c r="AP85" s="27">
        <f t="shared" si="156"/>
        <v>2.1683957879400748</v>
      </c>
      <c r="AS85" s="27">
        <f>VLOOKUP($B85,TwoStageCT!$A$10:$H$72,5,FALSE)</f>
        <v>42.291164682130272</v>
      </c>
      <c r="AT85" s="27">
        <f>VLOOKUP($B85,TwoStageCT!$A$10:$H$72,8,FALSE)</f>
        <v>48.978667479860043</v>
      </c>
    </row>
    <row r="86" spans="1:46" ht="13.15" customHeight="1" x14ac:dyDescent="0.2">
      <c r="A86">
        <v>176</v>
      </c>
      <c r="B86" s="5" t="str">
        <f>B79&amp;D86</f>
        <v>120/200100</v>
      </c>
      <c r="C86" s="19">
        <f>VLOOKUP($A86,'5 A data'!$A$5:$U$650,3,FALSE)</f>
        <v>0.21600059637204713</v>
      </c>
      <c r="D86" s="164">
        <f>ROUND(VLOOKUP($A86,'5 A data'!$A$5:$U$650,9,FALSE)/10,0)*10</f>
        <v>100</v>
      </c>
      <c r="E86" s="23">
        <f t="shared" si="157"/>
        <v>0.99936709902044762</v>
      </c>
      <c r="F86" s="23">
        <f t="shared" si="158"/>
        <v>1.0011822386327505</v>
      </c>
      <c r="G86" s="486">
        <f>VLOOKUP(B86,TwoStageCT!A$10:H$72,3,FALSE)/10000</f>
        <v>1.6881396356939836E-5</v>
      </c>
      <c r="H86" s="486">
        <f>VLOOKUP(B86,TwoStageCT!A$10:H$72,6,FALSE)/10000</f>
        <v>7.3590724152435355E-6</v>
      </c>
      <c r="I86" s="19">
        <f>VLOOKUP($A86,'5 A data'!$A$5:$U$650,10,FALSE)</f>
        <v>-0.26400000000000001</v>
      </c>
      <c r="J86" s="32">
        <f>VLOOKUP($A86,'5 A data'!$A$5:$U$650,11,FALSE)</f>
        <v>0.35197473248552308</v>
      </c>
      <c r="K86" s="22">
        <f t="shared" si="166"/>
        <v>-0.14300000000000002</v>
      </c>
      <c r="L86" s="22">
        <f t="shared" si="166"/>
        <v>0.17744180728609013</v>
      </c>
      <c r="M86" s="492">
        <f t="shared" si="159"/>
        <v>-0.26381603274504128</v>
      </c>
      <c r="N86" s="492">
        <f t="shared" si="160"/>
        <v>0.35239820968443469</v>
      </c>
      <c r="O86" s="20"/>
      <c r="P86" s="634">
        <f>VLOOKUP(B86,TwoStageCT!A$10:H$72,4,FALSE)/10000</f>
        <v>2.4131313466023584E-6</v>
      </c>
      <c r="Q86" s="58">
        <f>VLOOKUP($A86,'5 A data'!$A$5:$U$650,7,FALSE)*slidewire_res</f>
        <v>1E-3</v>
      </c>
      <c r="R86" s="347">
        <f t="shared" si="146"/>
        <v>-6.000000000000006E-4</v>
      </c>
      <c r="S86" s="4">
        <v>0</v>
      </c>
      <c r="T86" s="21">
        <f t="shared" si="161"/>
        <v>-7.150000000000001E-3</v>
      </c>
      <c r="U86" s="29">
        <f t="shared" si="147"/>
        <v>-1.0552641309801651E-3</v>
      </c>
      <c r="V86" s="29">
        <f t="shared" si="148"/>
        <v>5.0000000000000001E-4</v>
      </c>
      <c r="W86" s="23">
        <f>VLOOKUP($D86,Uncertainties!$B$35:$D$41,2,FALSE)</f>
        <v>1.999999999999974E-3</v>
      </c>
      <c r="X86" s="23"/>
      <c r="Y86" s="24">
        <f t="shared" si="149"/>
        <v>-2.0471829732095549E-5</v>
      </c>
      <c r="Z86" s="23">
        <f t="shared" si="150"/>
        <v>7.60568914071228E-3</v>
      </c>
      <c r="AA86" s="25">
        <f t="shared" si="151"/>
        <v>6.3802093466944916</v>
      </c>
      <c r="AB86" s="26">
        <f t="shared" si="152"/>
        <v>2.390386578194069</v>
      </c>
      <c r="AC86" s="14"/>
      <c r="AD86" s="635">
        <f>VLOOKUP(B86,TwoStageCT!A$10:H$72,7,FALSE)/10000</f>
        <v>1.6933288916776063E-6</v>
      </c>
      <c r="AE86" s="366">
        <f>IF(ABS(VLOOKUP($A86,'5 A data'!$A$5:$U$1148,6,FALSE))&lt;4.5,IF(ABS(VLOOKUP($A86,'5 A data'!$A$5:$U$1148,6,FALSE))&lt;1.25,0.0008,0.002),0.004)*VLOOKUP($A86,'5 A data'!$A$5:$U$1148,7,FALSE)*25*RADIANS(1/60)*100</f>
        <v>2.9088820866572159E-3</v>
      </c>
      <c r="AF86" s="23">
        <f t="shared" si="162"/>
        <v>3.4906585039886418E-3</v>
      </c>
      <c r="AG86" s="29">
        <f t="shared" si="153"/>
        <v>3.5239820968443472E-4</v>
      </c>
      <c r="AH86" s="4">
        <f t="shared" si="163"/>
        <v>8.8720903643045076E-3</v>
      </c>
      <c r="AI86" s="4">
        <f t="shared" si="154"/>
        <v>1.4095928387377389E-3</v>
      </c>
      <c r="AJ86" s="4">
        <f t="shared" si="155"/>
        <v>5.0000000000000001E-4</v>
      </c>
      <c r="AK86" s="21">
        <f>VLOOKUP($D86,Uncertainties!$B$35:$D$41,3,FALSE)</f>
        <v>-2.9088820866572385E-3</v>
      </c>
      <c r="AL86" s="21"/>
      <c r="AM86" s="369">
        <f>SQRT((VLOOKUP($A86,'5 A data'!$A$5:$U$1148,7,FALSE)*mutual_ind)^2+(aux_CT_phase*J86)^2)</f>
        <v>1.7041174739551221E-3</v>
      </c>
      <c r="AN86" s="29">
        <f t="shared" si="164"/>
        <v>1.0634238567646259E-2</v>
      </c>
      <c r="AO86" s="14">
        <f t="shared" si="165"/>
        <v>9.9028694750587327</v>
      </c>
      <c r="AP86" s="27">
        <f t="shared" si="156"/>
        <v>2.219821676465338</v>
      </c>
      <c r="AS86" s="27">
        <f>VLOOKUP($B86,TwoStageCT!$A$10:$H$72,5,FALSE)</f>
        <v>59.567261398457461</v>
      </c>
      <c r="AT86" s="27">
        <f>VLOOKUP($B86,TwoStageCT!$A$10:$H$72,8,FALSE)</f>
        <v>45.732629829898706</v>
      </c>
    </row>
    <row r="87" spans="1:46" ht="13.15" customHeight="1" x14ac:dyDescent="0.2">
      <c r="A87" s="68">
        <v>177</v>
      </c>
      <c r="B87" s="5" t="str">
        <f>B79&amp;D87</f>
        <v>120/200120</v>
      </c>
      <c r="C87" s="19">
        <f>VLOOKUP($A87,'5 A data'!$A$5:$U$650,3,FALSE)</f>
        <v>0.21600059637204713</v>
      </c>
      <c r="D87" s="164">
        <f>ROUND(VLOOKUP($A87,'5 A data'!$A$5:$U$650,9,FALSE)/10,0)*10</f>
        <v>120</v>
      </c>
      <c r="E87" s="23">
        <f t="shared" si="157"/>
        <v>0.99936709902044762</v>
      </c>
      <c r="F87" s="23">
        <f t="shared" si="158"/>
        <v>1.0011822386327505</v>
      </c>
      <c r="G87" s="486">
        <f>VLOOKUP(B87,TwoStageCT!A$10:H$72,3,FALSE)/10000</f>
        <v>1.5213305302217845E-5</v>
      </c>
      <c r="H87" s="486">
        <f>VLOOKUP(B87,TwoStageCT!A$10:H$72,6,FALSE)/10000</f>
        <v>7.5885012454326174E-6</v>
      </c>
      <c r="I87" s="19">
        <f>VLOOKUP($A87,'5 A data'!$A$5:$U$650,10,FALSE)</f>
        <v>-0.26100000000000001</v>
      </c>
      <c r="J87" s="32">
        <f>VLOOKUP($A87,'5 A data'!$A$5:$U$650,11,FALSE)</f>
        <v>0.33452143996557987</v>
      </c>
      <c r="K87" s="22">
        <f t="shared" si="166"/>
        <v>-0.14150000000000001</v>
      </c>
      <c r="L87" s="22">
        <f t="shared" si="166"/>
        <v>0.1628973968528041</v>
      </c>
      <c r="M87" s="492">
        <f t="shared" si="159"/>
        <v>-0.26081959953903461</v>
      </c>
      <c r="N87" s="492">
        <f t="shared" si="160"/>
        <v>0.33492451263663592</v>
      </c>
      <c r="O87" s="20"/>
      <c r="P87" s="634">
        <f>VLOOKUP(B87,TwoStageCT!A$10:H$72,4,FALSE)/10000</f>
        <v>2.2681305202526645E-6</v>
      </c>
      <c r="Q87" s="58">
        <f>VLOOKUP($A87,'5 A data'!$A$5:$U$650,7,FALSE)*slidewire_res</f>
        <v>1E-3</v>
      </c>
      <c r="R87" s="347">
        <f t="shared" si="146"/>
        <v>0</v>
      </c>
      <c r="S87" s="4">
        <v>0</v>
      </c>
      <c r="T87" s="21">
        <f t="shared" si="161"/>
        <v>-7.0750000000000014E-3</v>
      </c>
      <c r="U87" s="29">
        <f t="shared" si="147"/>
        <v>-1.0432783981561384E-3</v>
      </c>
      <c r="V87" s="29">
        <f t="shared" si="148"/>
        <v>5.0000000000000001E-4</v>
      </c>
      <c r="W87" s="23">
        <f>VLOOKUP($D87,Uncertainties!$B$35:$D$41,2,FALSE)</f>
        <v>-1.0000000000000009E-3</v>
      </c>
      <c r="X87" s="23"/>
      <c r="Y87" s="24">
        <f t="shared" si="149"/>
        <v>-2.0239195303321737E-5</v>
      </c>
      <c r="Z87" s="23">
        <f t="shared" si="150"/>
        <v>7.3071519476128211E-3</v>
      </c>
      <c r="AA87" s="25">
        <f t="shared" si="151"/>
        <v>5.6832686048970809</v>
      </c>
      <c r="AB87" s="26">
        <f t="shared" si="152"/>
        <v>2.455456733547436</v>
      </c>
      <c r="AC87" s="14"/>
      <c r="AD87" s="635">
        <f>VLOOKUP(B87,TwoStageCT!A$10:H$72,7,FALSE)/10000</f>
        <v>1.7092397901526349E-6</v>
      </c>
      <c r="AE87" s="366">
        <f>IF(ABS(VLOOKUP($A87,'5 A data'!$A$5:$U$1148,6,FALSE))&lt;4.5,IF(ABS(VLOOKUP($A87,'5 A data'!$A$5:$U$1148,6,FALSE))&lt;1.25,0.0008,0.002),0.004)*VLOOKUP($A87,'5 A data'!$A$5:$U$1148,7,FALSE)*25*RADIANS(1/60)*100</f>
        <v>2.9088820866572159E-3</v>
      </c>
      <c r="AF87" s="23">
        <f t="shared" si="162"/>
        <v>0</v>
      </c>
      <c r="AG87" s="29">
        <f t="shared" si="153"/>
        <v>3.3492451263663595E-4</v>
      </c>
      <c r="AH87" s="4">
        <f t="shared" si="163"/>
        <v>8.1448698426402049E-3</v>
      </c>
      <c r="AI87" s="4">
        <f t="shared" si="154"/>
        <v>1.3396980505465438E-3</v>
      </c>
      <c r="AJ87" s="4">
        <f t="shared" si="155"/>
        <v>5.0000000000000001E-4</v>
      </c>
      <c r="AK87" s="21">
        <f>VLOOKUP($D87,Uncertainties!$B$35:$D$41,3,FALSE)</f>
        <v>1.4544410433285915E-3</v>
      </c>
      <c r="AL87" s="21"/>
      <c r="AM87" s="369">
        <f>SQRT((VLOOKUP($A87,'5 A data'!$A$5:$U$1148,7,FALSE)*mutual_ind)^2+(aux_CT_phase*J87)^2)</f>
        <v>1.703741499222138E-3</v>
      </c>
      <c r="AN87" s="29">
        <f t="shared" si="164"/>
        <v>9.0540378732154279E-3</v>
      </c>
      <c r="AO87" s="14">
        <f t="shared" si="165"/>
        <v>7.4900330072562591</v>
      </c>
      <c r="AP87" s="27">
        <f t="shared" si="156"/>
        <v>2.3162792434748365</v>
      </c>
      <c r="AS87" s="27">
        <f>VLOOKUP($B87,TwoStageCT!$A$10:$H$72,5,FALSE)</f>
        <v>68.00069900375496</v>
      </c>
      <c r="AT87" s="27">
        <f>VLOOKUP($B87,TwoStageCT!$A$10:$H$72,8,FALSE)</f>
        <v>47.345132453902309</v>
      </c>
    </row>
    <row r="88" spans="1:46" ht="13.15" customHeight="1" x14ac:dyDescent="0.2">
      <c r="A88">
        <v>178</v>
      </c>
      <c r="B88" s="5"/>
      <c r="C88" s="19"/>
      <c r="D88" s="19"/>
      <c r="E88" s="23"/>
      <c r="F88" s="23"/>
      <c r="G88" s="347"/>
      <c r="H88" s="347"/>
      <c r="I88" s="19"/>
      <c r="J88" s="32"/>
      <c r="K88" s="31"/>
      <c r="L88" s="31"/>
      <c r="M88" s="638" t="s">
        <v>93</v>
      </c>
      <c r="N88" s="638"/>
      <c r="O88" s="20"/>
      <c r="P88" s="634"/>
      <c r="Q88" s="58"/>
      <c r="R88" s="347"/>
      <c r="S88" s="4"/>
      <c r="T88" s="4"/>
      <c r="U88" s="29"/>
      <c r="V88" s="29"/>
      <c r="W88" s="29"/>
      <c r="X88" s="29"/>
      <c r="Y88" s="24"/>
      <c r="Z88" s="29"/>
      <c r="AA88" s="25"/>
      <c r="AB88" s="26"/>
      <c r="AC88" s="14"/>
      <c r="AD88" s="635"/>
      <c r="AE88" s="35"/>
      <c r="AF88" s="28"/>
      <c r="AG88" s="29"/>
      <c r="AH88" s="4"/>
      <c r="AI88" s="4"/>
      <c r="AJ88" s="4"/>
      <c r="AK88" s="4"/>
      <c r="AL88" s="4"/>
      <c r="AM88" s="24"/>
      <c r="AN88" s="29"/>
      <c r="AO88" s="14"/>
      <c r="AP88" s="27"/>
    </row>
    <row r="89" spans="1:46" ht="13.15" customHeight="1" x14ac:dyDescent="0.2">
      <c r="A89" s="68">
        <v>179</v>
      </c>
      <c r="B89" s="5" t="str">
        <f>B79&amp;D89</f>
        <v>120/2005</v>
      </c>
      <c r="C89" s="19">
        <f>VLOOKUP($A89,'5 A data'!$A$5:$U$650,3,FALSE)</f>
        <v>2.1000057980615688E-2</v>
      </c>
      <c r="D89" s="19">
        <f>ROUND(VLOOKUP($A89,'5 A data'!$A$5:$U$650,9,FALSE),0)</f>
        <v>5</v>
      </c>
      <c r="E89" s="23">
        <f t="shared" si="157"/>
        <v>0.99936709902044762</v>
      </c>
      <c r="F89" s="23">
        <f t="shared" si="158"/>
        <v>1.0011822386327505</v>
      </c>
      <c r="G89" s="486">
        <f>VLOOKUP(B89,TwoStageCT!A$10:H$72,3,FALSE)/10000</f>
        <v>3.6805932694608759E-5</v>
      </c>
      <c r="H89" s="486">
        <f>VLOOKUP(B89,TwoStageCT!A$10:H$72,6,FALSE)/10000</f>
        <v>4.6965346060309593E-6</v>
      </c>
      <c r="I89" s="19">
        <f>VLOOKUP($A89,'5 A data'!$A$5:$U$650,10,FALSE)</f>
        <v>-0.23200000000000001</v>
      </c>
      <c r="J89" s="32">
        <f>VLOOKUP($A89,'5 A data'!$A$5:$U$650,11,FALSE)</f>
        <v>0.39560796378538138</v>
      </c>
      <c r="K89" s="31"/>
      <c r="L89" s="31"/>
      <c r="M89" s="31">
        <f>I89*E89+G89</f>
        <v>-0.23181636104004924</v>
      </c>
      <c r="N89" s="31">
        <f>J89*F89+H89</f>
        <v>0.39608036333819824</v>
      </c>
      <c r="O89" s="20"/>
      <c r="P89" s="634">
        <f>VLOOKUP(B89,TwoStageCT!A$10:H$72,4,FALSE)/10000</f>
        <v>6.4429594675743464E-6</v>
      </c>
      <c r="Q89" s="58">
        <f>VLOOKUP($A89,'5 A data'!$A$5:$U$650,7,FALSE)*slidewire_res</f>
        <v>1E-3</v>
      </c>
      <c r="R89" s="347">
        <f t="shared" ref="R89:R95" si="167">current_coef*(I89-I90)*IF(I90=0,0,1)</f>
        <v>-9.4000000000000038E-3</v>
      </c>
      <c r="S89" s="4">
        <v>0</v>
      </c>
      <c r="T89" s="4">
        <f>BurdenUnc*K81</f>
        <v>-9.3999999999999986E-3</v>
      </c>
      <c r="U89" s="29">
        <f t="shared" ref="U89:U95" si="168">0.004*M89</f>
        <v>-9.2726544416019694E-4</v>
      </c>
      <c r="V89" s="29">
        <f t="shared" si="148"/>
        <v>5.0000000000000001E-4</v>
      </c>
      <c r="W89" s="23">
        <f>VLOOKUP($D89,Uncertainties!$B$35:$D$41,2,FALSE)</f>
        <v>5.0000000000000044E-3</v>
      </c>
      <c r="X89" s="23"/>
      <c r="Y89" s="24">
        <f t="shared" ref="Y89:Y95" si="169">I89*aux_CT_ratio</f>
        <v>-1.7990395825174879E-5</v>
      </c>
      <c r="Z89" s="23">
        <f t="shared" ref="Z89:Z95" si="170">SQRT(SUMSQ(P89:Y89))</f>
        <v>1.4276910953354103E-2</v>
      </c>
      <c r="AA89" s="25">
        <f t="shared" ref="AA89:AA95" si="171">DoF_A(P89:Y89,$P$7:$Y$7)</f>
        <v>13.092367284512877</v>
      </c>
      <c r="AB89" s="26">
        <f t="shared" ref="AB89:AB95" si="172">CoverFactor(AA89)</f>
        <v>2.1517670503648931</v>
      </c>
      <c r="AC89" s="14"/>
      <c r="AD89" s="635">
        <f>VLOOKUP(B89,TwoStageCT!A$10:H$72,7,FALSE)/10000</f>
        <v>4.6788986298833412E-6</v>
      </c>
      <c r="AE89" s="366">
        <f>IF(ABS(VLOOKUP($A89,'5 A data'!$A$5:$U$1148,6,FALSE))&lt;4.5,IF(ABS(VLOOKUP($A89,'5 A data'!$A$5:$U$1148,6,FALSE))&lt;1.25,0.0008,0.002),0.004)*VLOOKUP($A89,'5 A data'!$A$5:$U$1148,7,FALSE)*25*RADIANS(1/60)*100</f>
        <v>2.9088820866572159E-3</v>
      </c>
      <c r="AF89" s="23">
        <f t="shared" ref="AF89:AF95" si="173">current_coef*(J89-J90)*IF(J90=0,0,1)</f>
        <v>1.9780398189269077E-2</v>
      </c>
      <c r="AG89" s="29">
        <f t="shared" ref="AG89:AG95" si="174">0.001*N89</f>
        <v>3.9608036333819822E-4</v>
      </c>
      <c r="AH89" s="4">
        <f>BurdenUnc*L81</f>
        <v>1.439896632895322E-2</v>
      </c>
      <c r="AI89" s="4">
        <f t="shared" ref="AI89:AI95" si="175">0.004*N89</f>
        <v>1.5843214533527929E-3</v>
      </c>
      <c r="AJ89" s="4">
        <f t="shared" si="155"/>
        <v>5.0000000000000001E-4</v>
      </c>
      <c r="AK89" s="21">
        <f>VLOOKUP($D89,Uncertainties!$B$35:$D$41,3,FALSE)</f>
        <v>-1.1635528346628732E-2</v>
      </c>
      <c r="AL89" s="21"/>
      <c r="AM89" s="369">
        <f>SQRT((VLOOKUP($A89,'5 A data'!$A$5:$U$1148,7,FALSE)*mutual_ind)^2+(aux_CT_phase*J89)^2)</f>
        <v>1.7051406291681245E-3</v>
      </c>
      <c r="AN89" s="29">
        <f t="shared" ref="AN89:AN95" si="176">SQRT(SUMSQ(AD89:AM89))</f>
        <v>2.7354450814204845E-2</v>
      </c>
      <c r="AO89" s="14">
        <f t="shared" ref="AO89:AO95" si="177">DoF_A(AD89:AM89,$AD$7:$AM$7)</f>
        <v>13.757373362023246</v>
      </c>
      <c r="AP89" s="27">
        <f t="shared" si="156"/>
        <v>2.1418716707076353</v>
      </c>
      <c r="AS89" s="27">
        <f>VLOOKUP($B89,TwoStageCT!$A$10:$H$72,5,FALSE)</f>
        <v>26.31606241070681</v>
      </c>
      <c r="AT89" s="27">
        <f>VLOOKUP($B89,TwoStageCT!$A$10:$H$72,8,FALSE)</f>
        <v>9.9413455012810044</v>
      </c>
    </row>
    <row r="90" spans="1:46" ht="13.15" customHeight="1" x14ac:dyDescent="0.2">
      <c r="A90">
        <v>180</v>
      </c>
      <c r="B90" s="5" t="str">
        <f>B79&amp;D90</f>
        <v>120/20010</v>
      </c>
      <c r="C90" s="19">
        <f>VLOOKUP($A90,'5 A data'!$A$5:$U$650,3,FALSE)</f>
        <v>2.1000057980615688E-2</v>
      </c>
      <c r="D90" s="163">
        <f>ROUND(VLOOKUP($A90,'5 A data'!$A$5:$U$650,9,FALSE)/10,0)*10</f>
        <v>10</v>
      </c>
      <c r="E90" s="23">
        <f t="shared" si="157"/>
        <v>0.99936709902044762</v>
      </c>
      <c r="F90" s="23">
        <f t="shared" si="158"/>
        <v>1.0011822386327505</v>
      </c>
      <c r="G90" s="486">
        <f>VLOOKUP(B90,TwoStageCT!A$10:H$72,3,FALSE)/10000</f>
        <v>3.4690340839935311E-5</v>
      </c>
      <c r="H90" s="486">
        <f>VLOOKUP(B90,TwoStageCT!A$10:H$72,6,FALSE)/10000</f>
        <v>2.6036797087866982E-6</v>
      </c>
      <c r="I90" s="19">
        <f>VLOOKUP($A90,'5 A data'!$A$5:$U$650,10,FALSE)</f>
        <v>-0.185</v>
      </c>
      <c r="J90" s="32">
        <f>VLOOKUP($A90,'5 A data'!$A$5:$U$650,11,FALSE)</f>
        <v>0.29670597283903599</v>
      </c>
      <c r="K90" s="31"/>
      <c r="L90" s="31"/>
      <c r="M90" s="31">
        <f t="shared" ref="M90:M95" si="178">I90*E90+G90</f>
        <v>-0.18484822297794287</v>
      </c>
      <c r="N90" s="31">
        <f t="shared" ref="N90:N95" si="179">J90*F90+H90</f>
        <v>0.29705935378240289</v>
      </c>
      <c r="O90" s="20"/>
      <c r="P90" s="634">
        <f>VLOOKUP(B90,TwoStageCT!A$10:H$72,4,FALSE)/10000</f>
        <v>5.0170517941146892E-6</v>
      </c>
      <c r="Q90" s="58">
        <f>VLOOKUP($A90,'5 A data'!$A$5:$U$650,7,FALSE)*slidewire_res</f>
        <v>1E-3</v>
      </c>
      <c r="R90" s="347">
        <f t="shared" si="167"/>
        <v>-5.5999999999999999E-3</v>
      </c>
      <c r="S90" s="4">
        <v>0</v>
      </c>
      <c r="T90" s="4">
        <f t="shared" ref="T90:T95" si="180">BurdenUnc*K82</f>
        <v>-8.7499999999999991E-3</v>
      </c>
      <c r="U90" s="29">
        <f t="shared" si="168"/>
        <v>-7.393928919117715E-4</v>
      </c>
      <c r="V90" s="29">
        <f t="shared" si="148"/>
        <v>5.0000000000000001E-4</v>
      </c>
      <c r="W90" s="23">
        <f>VLOOKUP($D90,Uncertainties!$B$35:$D$41,2,FALSE)</f>
        <v>2.5000000000000022E-3</v>
      </c>
      <c r="X90" s="23"/>
      <c r="Y90" s="24">
        <f t="shared" si="169"/>
        <v>-1.4345789774385138E-5</v>
      </c>
      <c r="Z90" s="23">
        <f t="shared" si="170"/>
        <v>1.0768910475117834E-2</v>
      </c>
      <c r="AA90" s="25">
        <f t="shared" si="171"/>
        <v>9.7991946274135486</v>
      </c>
      <c r="AB90" s="26">
        <f t="shared" si="172"/>
        <v>2.2228665188081842</v>
      </c>
      <c r="AC90" s="14"/>
      <c r="AD90" s="635">
        <f>VLOOKUP(B90,TwoStageCT!A$10:H$72,7,FALSE)/10000</f>
        <v>2.600738521505678E-6</v>
      </c>
      <c r="AE90" s="366">
        <f>IF(ABS(VLOOKUP($A90,'5 A data'!$A$5:$U$1148,6,FALSE))&lt;4.5,IF(ABS(VLOOKUP($A90,'5 A data'!$A$5:$U$1148,6,FALSE))&lt;1.25,0.0008,0.002),0.004)*VLOOKUP($A90,'5 A data'!$A$5:$U$1148,7,FALSE)*25*RADIANS(1/60)*100</f>
        <v>2.9088820866572159E-3</v>
      </c>
      <c r="AF90" s="23">
        <f t="shared" si="173"/>
        <v>1.1053751929297412E-2</v>
      </c>
      <c r="AG90" s="29">
        <f t="shared" si="174"/>
        <v>2.9705935378240291E-4</v>
      </c>
      <c r="AH90" s="4">
        <f t="shared" ref="AH90:AH95" si="181">BurdenUnc*L82</f>
        <v>1.2508192972626031E-2</v>
      </c>
      <c r="AI90" s="4">
        <f t="shared" si="175"/>
        <v>1.1882374151296116E-3</v>
      </c>
      <c r="AJ90" s="4">
        <f t="shared" si="155"/>
        <v>5.0000000000000001E-4</v>
      </c>
      <c r="AK90" s="21">
        <f>VLOOKUP($D90,Uncertainties!$B$35:$D$41,3,FALSE)</f>
        <v>4.363323129985941E-3</v>
      </c>
      <c r="AL90" s="21"/>
      <c r="AM90" s="369">
        <f>SQRT((VLOOKUP($A90,'5 A data'!$A$5:$U$1148,7,FALSE)*mutual_ind)^2+(aux_CT_phase*J90)^2)</f>
        <v>1.7029922230581589E-3</v>
      </c>
      <c r="AN90" s="29">
        <f t="shared" si="176"/>
        <v>1.7629261146618252E-2</v>
      </c>
      <c r="AO90" s="14">
        <f t="shared" si="177"/>
        <v>12.185219508452494</v>
      </c>
      <c r="AP90" s="27">
        <f t="shared" si="156"/>
        <v>2.167162514181181</v>
      </c>
      <c r="AS90" s="27">
        <f>VLOOKUP($B90,TwoStageCT!$A$10:$H$72,5,FALSE)</f>
        <v>38.265350164989712</v>
      </c>
      <c r="AT90" s="27">
        <f>VLOOKUP($B90,TwoStageCT!$A$10:$H$72,8,FALSE)</f>
        <v>16.586629386739094</v>
      </c>
    </row>
    <row r="91" spans="1:46" ht="13.15" customHeight="1" x14ac:dyDescent="0.2">
      <c r="A91" s="68">
        <v>181</v>
      </c>
      <c r="B91" s="5" t="str">
        <f>B79&amp;D91</f>
        <v>120/20020</v>
      </c>
      <c r="C91" s="19">
        <f>VLOOKUP($A91,'5 A data'!$A$5:$U$650,3,FALSE)</f>
        <v>2.1000057980615688E-2</v>
      </c>
      <c r="D91" s="163">
        <f>ROUND(VLOOKUP($A91,'5 A data'!$A$5:$U$650,9,FALSE)/10,0)*10</f>
        <v>20</v>
      </c>
      <c r="E91" s="23">
        <f t="shared" si="157"/>
        <v>0.99936709902044762</v>
      </c>
      <c r="F91" s="23">
        <f t="shared" si="158"/>
        <v>1.0011822386327505</v>
      </c>
      <c r="G91" s="486">
        <f>VLOOKUP(B91,TwoStageCT!A$10:H$72,3,FALSE)/10000</f>
        <v>3.1280516301103777E-5</v>
      </c>
      <c r="H91" s="486">
        <f>VLOOKUP(B91,TwoStageCT!A$10:H$72,6,FALSE)/10000</f>
        <v>4.5493238991726806E-6</v>
      </c>
      <c r="I91" s="19">
        <f>VLOOKUP($A91,'5 A data'!$A$5:$U$650,10,FALSE)</f>
        <v>-0.157</v>
      </c>
      <c r="J91" s="32">
        <f>VLOOKUP($A91,'5 A data'!$A$5:$U$650,11,FALSE)</f>
        <v>0.24143721319254893</v>
      </c>
      <c r="K91" s="31"/>
      <c r="L91" s="31"/>
      <c r="M91" s="31">
        <f t="shared" si="178"/>
        <v>-0.15686935402990917</v>
      </c>
      <c r="N91" s="31">
        <f t="shared" si="179"/>
        <v>0.24172719891726796</v>
      </c>
      <c r="O91" s="20"/>
      <c r="P91" s="634">
        <f>VLOOKUP(B91,TwoStageCT!A$10:H$72,4,FALSE)/10000</f>
        <v>4.17832023036102E-6</v>
      </c>
      <c r="Q91" s="58">
        <f>VLOOKUP($A91,'5 A data'!$A$5:$U$650,7,FALSE)*slidewire_res</f>
        <v>1E-3</v>
      </c>
      <c r="R91" s="347">
        <f t="shared" si="167"/>
        <v>-3.7999999999999978E-3</v>
      </c>
      <c r="S91" s="4">
        <v>0</v>
      </c>
      <c r="T91" s="4">
        <f t="shared" si="180"/>
        <v>-8.150000000000001E-3</v>
      </c>
      <c r="U91" s="29">
        <f t="shared" si="168"/>
        <v>-6.2747741611963667E-4</v>
      </c>
      <c r="V91" s="29">
        <f t="shared" si="148"/>
        <v>5.0000000000000001E-4</v>
      </c>
      <c r="W91" s="23">
        <f>VLOOKUP($D91,Uncertainties!$B$35:$D$41,2,FALSE)</f>
        <v>-1.0000000000000009E-3</v>
      </c>
      <c r="X91" s="23"/>
      <c r="Y91" s="24">
        <f t="shared" si="169"/>
        <v>-1.2174535105829549E-5</v>
      </c>
      <c r="Z91" s="23">
        <f t="shared" si="170"/>
        <v>9.1381832759802519E-3</v>
      </c>
      <c r="AA91" s="25">
        <f t="shared" si="171"/>
        <v>7.543485109485764</v>
      </c>
      <c r="AB91" s="26">
        <f t="shared" si="172"/>
        <v>2.3133581687070883</v>
      </c>
      <c r="AC91" s="14"/>
      <c r="AD91" s="635">
        <f>VLOOKUP(B91,TwoStageCT!A$10:H$72,7,FALSE)/10000</f>
        <v>1.9770475075939077E-6</v>
      </c>
      <c r="AE91" s="366">
        <f>IF(ABS(VLOOKUP($A91,'5 A data'!$A$5:$U$1148,6,FALSE))&lt;4.5,IF(ABS(VLOOKUP($A91,'5 A data'!$A$5:$U$1148,6,FALSE))&lt;1.25,0.0008,0.002),0.004)*VLOOKUP($A91,'5 A data'!$A$5:$U$1148,7,FALSE)*25*RADIANS(1/60)*100</f>
        <v>2.9088820866572159E-3</v>
      </c>
      <c r="AF91" s="23">
        <f t="shared" si="173"/>
        <v>7.2722052166430467E-3</v>
      </c>
      <c r="AG91" s="29">
        <f t="shared" si="174"/>
        <v>2.4172719891726798E-4</v>
      </c>
      <c r="AH91" s="4">
        <f t="shared" si="181"/>
        <v>1.1490084242296E-2</v>
      </c>
      <c r="AI91" s="4">
        <f t="shared" si="175"/>
        <v>9.6690879566907191E-4</v>
      </c>
      <c r="AJ91" s="4">
        <f t="shared" si="155"/>
        <v>5.0000000000000001E-4</v>
      </c>
      <c r="AK91" s="21">
        <f>VLOOKUP($D91,Uncertainties!$B$35:$D$41,3,FALSE)</f>
        <v>-1.454441043328647E-3</v>
      </c>
      <c r="AL91" s="21"/>
      <c r="AM91" s="369">
        <f>SQRT((VLOOKUP($A91,'5 A data'!$A$5:$U$1148,7,FALSE)*mutual_ind)^2+(aux_CT_phase*J91)^2)</f>
        <v>1.7020581543825786E-3</v>
      </c>
      <c r="AN91" s="29">
        <f t="shared" si="176"/>
        <v>1.4128848108677474E-2</v>
      </c>
      <c r="AO91" s="14">
        <f t="shared" si="177"/>
        <v>9.8107184498192002</v>
      </c>
      <c r="AP91" s="27">
        <f t="shared" si="156"/>
        <v>2.2225245040842543</v>
      </c>
      <c r="AS91" s="27">
        <f>VLOOKUP($B91,TwoStageCT!$A$10:$H$72,5,FALSE)</f>
        <v>36.657700403051521</v>
      </c>
      <c r="AT91" s="27">
        <f>VLOOKUP($B91,TwoStageCT!$A$10:$H$72,8,FALSE)</f>
        <v>53.09445811850042</v>
      </c>
    </row>
    <row r="92" spans="1:46" ht="13.15" customHeight="1" x14ac:dyDescent="0.2">
      <c r="A92">
        <v>182</v>
      </c>
      <c r="B92" s="5" t="str">
        <f>B79&amp;D92</f>
        <v>120/20040</v>
      </c>
      <c r="C92" s="19">
        <f>VLOOKUP($A92,'5 A data'!$A$5:$U$650,3,FALSE)</f>
        <v>2.1000057980615688E-2</v>
      </c>
      <c r="D92" s="163">
        <f>ROUND(VLOOKUP($A92,'5 A data'!$A$5:$U$650,9,FALSE)/10,0)*10</f>
        <v>40</v>
      </c>
      <c r="E92" s="23">
        <f t="shared" si="157"/>
        <v>0.99936709902044762</v>
      </c>
      <c r="F92" s="23">
        <f t="shared" si="158"/>
        <v>1.0011822386327505</v>
      </c>
      <c r="G92" s="486">
        <f>VLOOKUP(B92,TwoStageCT!A$10:H$72,3,FALSE)/10000</f>
        <v>2.5200167333853628E-5</v>
      </c>
      <c r="H92" s="486">
        <f>VLOOKUP(B92,TwoStageCT!A$10:H$72,6,FALSE)/10000</f>
        <v>5.7416420558101514E-6</v>
      </c>
      <c r="I92" s="19">
        <f>VLOOKUP($A92,'5 A data'!$A$5:$U$650,10,FALSE)</f>
        <v>-0.13800000000000001</v>
      </c>
      <c r="J92" s="32">
        <f>VLOOKUP($A92,'5 A data'!$A$5:$U$650,11,FALSE)</f>
        <v>0.2050761871093337</v>
      </c>
      <c r="K92" s="31"/>
      <c r="L92" s="31"/>
      <c r="M92" s="31">
        <f t="shared" si="178"/>
        <v>-0.13788745949748793</v>
      </c>
      <c r="N92" s="31">
        <f t="shared" si="179"/>
        <v>0.20532437774244733</v>
      </c>
      <c r="O92" s="20"/>
      <c r="P92" s="634">
        <f>VLOOKUP(B92,TwoStageCT!A$10:H$72,4,FALSE)/10000</f>
        <v>3.3964590328801363E-6</v>
      </c>
      <c r="Q92" s="58">
        <f>VLOOKUP($A92,'5 A data'!$A$5:$U$650,7,FALSE)*slidewire_res</f>
        <v>1E-3</v>
      </c>
      <c r="R92" s="347">
        <f t="shared" si="167"/>
        <v>-1.6000000000000016E-3</v>
      </c>
      <c r="S92" s="4">
        <v>0</v>
      </c>
      <c r="T92" s="4">
        <f t="shared" si="180"/>
        <v>-7.6499999999999988E-3</v>
      </c>
      <c r="U92" s="29">
        <f t="shared" si="168"/>
        <v>-5.5154983798995176E-4</v>
      </c>
      <c r="V92" s="29">
        <f t="shared" si="148"/>
        <v>5.0000000000000001E-4</v>
      </c>
      <c r="W92" s="23">
        <f>VLOOKUP($D92,Uncertainties!$B$35:$D$41,2,FALSE)</f>
        <v>-1.0000000000000009E-3</v>
      </c>
      <c r="X92" s="23"/>
      <c r="Y92" s="24">
        <f t="shared" si="169"/>
        <v>-1.0701183723595402E-5</v>
      </c>
      <c r="Z92" s="23">
        <f t="shared" si="170"/>
        <v>7.9772697882830677E-3</v>
      </c>
      <c r="AA92" s="25">
        <f t="shared" si="171"/>
        <v>5.8981304997997155</v>
      </c>
      <c r="AB92" s="26">
        <f t="shared" si="172"/>
        <v>2.4333591851212653</v>
      </c>
      <c r="AC92" s="14"/>
      <c r="AD92" s="635">
        <f>VLOOKUP(B92,TwoStageCT!A$10:H$72,7,FALSE)/10000</f>
        <v>1.6849048737447556E-6</v>
      </c>
      <c r="AE92" s="366">
        <f>IF(ABS(VLOOKUP($A92,'5 A data'!$A$5:$U$1148,6,FALSE))&lt;4.5,IF(ABS(VLOOKUP($A92,'5 A data'!$A$5:$U$1148,6,FALSE))&lt;1.25,0.0008,0.002),0.004)*VLOOKUP($A92,'5 A data'!$A$5:$U$1148,7,FALSE)*25*RADIANS(1/60)*100</f>
        <v>2.9088820866572159E-3</v>
      </c>
      <c r="AF92" s="23">
        <f t="shared" si="173"/>
        <v>2.9088820866572107E-3</v>
      </c>
      <c r="AG92" s="29">
        <f t="shared" si="174"/>
        <v>2.0532437774244732E-4</v>
      </c>
      <c r="AH92" s="4">
        <f t="shared" si="181"/>
        <v>1.054469756413241E-2</v>
      </c>
      <c r="AI92" s="4">
        <f t="shared" si="175"/>
        <v>8.2129751096978929E-4</v>
      </c>
      <c r="AJ92" s="4">
        <f t="shared" si="155"/>
        <v>5.0000000000000001E-4</v>
      </c>
      <c r="AK92" s="21">
        <f>VLOOKUP($D92,Uncertainties!$B$35:$D$41,3,FALSE)</f>
        <v>-2.908882086657183E-3</v>
      </c>
      <c r="AL92" s="21"/>
      <c r="AM92" s="369">
        <f>SQRT((VLOOKUP($A92,'5 A data'!$A$5:$U$1148,7,FALSE)*mutual_ind)^2+(aux_CT_phase*J92)^2)</f>
        <v>1.7015480534634398E-3</v>
      </c>
      <c r="AN92" s="29">
        <f t="shared" si="176"/>
        <v>1.1850628169848871E-2</v>
      </c>
      <c r="AO92" s="14">
        <f t="shared" si="177"/>
        <v>7.8613302368443607</v>
      </c>
      <c r="AP92" s="27">
        <f t="shared" si="156"/>
        <v>2.2969461827716873</v>
      </c>
      <c r="AS92" s="27">
        <f>VLOOKUP($B92,TwoStageCT!$A$10:$H$72,5,FALSE)</f>
        <v>38.659909732018328</v>
      </c>
      <c r="AT92" s="27">
        <f>VLOOKUP($B92,TwoStageCT!$A$10:$H$72,8,FALSE)</f>
        <v>52.499330597885681</v>
      </c>
    </row>
    <row r="93" spans="1:46" ht="13.15" customHeight="1" x14ac:dyDescent="0.2">
      <c r="A93" s="68">
        <v>183</v>
      </c>
      <c r="B93" s="5" t="str">
        <f>B79&amp;D93</f>
        <v>120/20060</v>
      </c>
      <c r="C93" s="19">
        <f>VLOOKUP($A93,'5 A data'!$A$5:$U$650,3,FALSE)</f>
        <v>2.1000057980615688E-2</v>
      </c>
      <c r="D93" s="163">
        <f>ROUND(VLOOKUP($A93,'5 A data'!$A$5:$U$650,9,FALSE)/10,0)*10</f>
        <v>60</v>
      </c>
      <c r="E93" s="23">
        <f t="shared" si="157"/>
        <v>0.99936709902044762</v>
      </c>
      <c r="F93" s="23">
        <f t="shared" si="158"/>
        <v>1.0011822386327505</v>
      </c>
      <c r="G93" s="486">
        <f>VLOOKUP(B93,TwoStageCT!A$10:H$72,3,FALSE)/10000</f>
        <v>2.195627602528684E-5</v>
      </c>
      <c r="H93" s="486">
        <f>VLOOKUP(B93,TwoStageCT!A$10:H$72,6,FALSE)/10000</f>
        <v>5.5507836163637805E-6</v>
      </c>
      <c r="I93" s="19">
        <f>VLOOKUP($A93,'5 A data'!$A$5:$U$650,10,FALSE)</f>
        <v>-0.13</v>
      </c>
      <c r="J93" s="32">
        <f>VLOOKUP($A93,'5 A data'!$A$5:$U$650,11,FALSE)</f>
        <v>0.19053177667604765</v>
      </c>
      <c r="K93" s="31"/>
      <c r="L93" s="31"/>
      <c r="M93" s="31">
        <f t="shared" si="178"/>
        <v>-0.12989576659663293</v>
      </c>
      <c r="N93" s="31">
        <f t="shared" si="179"/>
        <v>0.19076258148681702</v>
      </c>
      <c r="O93" s="20"/>
      <c r="P93" s="634">
        <f>VLOOKUP(B93,TwoStageCT!A$10:H$72,4,FALSE)/10000</f>
        <v>2.9709098248278708E-6</v>
      </c>
      <c r="Q93" s="58">
        <f>VLOOKUP($A93,'5 A data'!$A$5:$U$650,7,FALSE)*slidewire_res</f>
        <v>1E-3</v>
      </c>
      <c r="R93" s="347">
        <f t="shared" si="167"/>
        <v>-1.8000000000000017E-3</v>
      </c>
      <c r="S93" s="4">
        <v>0</v>
      </c>
      <c r="T93" s="4">
        <f t="shared" si="180"/>
        <v>-7.3000000000000009E-3</v>
      </c>
      <c r="U93" s="29">
        <f t="shared" si="168"/>
        <v>-5.1958306638653169E-4</v>
      </c>
      <c r="V93" s="29">
        <f t="shared" si="148"/>
        <v>5.0000000000000001E-4</v>
      </c>
      <c r="W93" s="23">
        <f>VLOOKUP($D93,Uncertainties!$B$35:$D$41,2,FALSE)</f>
        <v>-1.0000000000000009E-3</v>
      </c>
      <c r="X93" s="23"/>
      <c r="Y93" s="24">
        <f t="shared" si="169"/>
        <v>-1.0080825246865232E-5</v>
      </c>
      <c r="Z93" s="23">
        <f t="shared" si="170"/>
        <v>7.6844047923192134E-3</v>
      </c>
      <c r="AA93" s="25">
        <f t="shared" si="171"/>
        <v>6.1134052214813073</v>
      </c>
      <c r="AB93" s="26">
        <f t="shared" si="172"/>
        <v>2.4131380943081009</v>
      </c>
      <c r="AC93" s="14"/>
      <c r="AD93" s="635">
        <f>VLOOKUP(B93,TwoStageCT!A$10:H$72,7,FALSE)/10000</f>
        <v>1.6017059195029239E-6</v>
      </c>
      <c r="AE93" s="366">
        <f>IF(ABS(VLOOKUP($A93,'5 A data'!$A$5:$U$1148,6,FALSE))&lt;4.5,IF(ABS(VLOOKUP($A93,'5 A data'!$A$5:$U$1148,6,FALSE))&lt;1.25,0.0008,0.002),0.004)*VLOOKUP($A93,'5 A data'!$A$5:$U$1148,7,FALSE)*25*RADIANS(1/60)*100</f>
        <v>2.9088820866572159E-3</v>
      </c>
      <c r="AF93" s="23">
        <f t="shared" si="173"/>
        <v>3.1997702953229404E-3</v>
      </c>
      <c r="AG93" s="29">
        <f t="shared" si="174"/>
        <v>1.9076258148681703E-4</v>
      </c>
      <c r="AH93" s="4">
        <f t="shared" si="181"/>
        <v>9.9629211468009633E-3</v>
      </c>
      <c r="AI93" s="4">
        <f t="shared" si="175"/>
        <v>7.6305032594726813E-4</v>
      </c>
      <c r="AJ93" s="4">
        <f t="shared" si="155"/>
        <v>5.0000000000000001E-4</v>
      </c>
      <c r="AK93" s="21">
        <f>VLOOKUP($D93,Uncertainties!$B$35:$D$41,3,FALSE)</f>
        <v>-2.908882086657183E-3</v>
      </c>
      <c r="AL93" s="21"/>
      <c r="AM93" s="369">
        <f>SQRT((VLOOKUP($A93,'5 A data'!$A$5:$U$1148,7,FALSE)*mutual_ind)^2+(aux_CT_phase*J93)^2)</f>
        <v>1.7013672383223266E-3</v>
      </c>
      <c r="AN93" s="29">
        <f t="shared" si="176"/>
        <v>1.1409855692158308E-2</v>
      </c>
      <c r="AO93" s="14">
        <f t="shared" si="177"/>
        <v>8.4181832791386242</v>
      </c>
      <c r="AP93" s="27">
        <f t="shared" si="156"/>
        <v>2.2716395875786599</v>
      </c>
      <c r="AS93" s="27">
        <f>VLOOKUP($B93,TwoStageCT!$A$10:$H$72,5,FALSE)</f>
        <v>42.291164682130272</v>
      </c>
      <c r="AT93" s="27">
        <f>VLOOKUP($B93,TwoStageCT!$A$10:$H$72,8,FALSE)</f>
        <v>48.978667479860043</v>
      </c>
    </row>
    <row r="94" spans="1:46" ht="13.15" customHeight="1" x14ac:dyDescent="0.2">
      <c r="A94">
        <v>184</v>
      </c>
      <c r="B94" s="5" t="str">
        <f>B79&amp;D94</f>
        <v>120/200100</v>
      </c>
      <c r="C94" s="19">
        <f>VLOOKUP($A94,'5 A data'!$A$5:$U$650,3,FALSE)</f>
        <v>2.1000057980615688E-2</v>
      </c>
      <c r="D94" s="164">
        <f>ROUND(VLOOKUP($A94,'5 A data'!$A$5:$U$650,9,FALSE)/10,0)*10</f>
        <v>100</v>
      </c>
      <c r="E94" s="23">
        <f t="shared" si="157"/>
        <v>0.99936709902044762</v>
      </c>
      <c r="F94" s="23">
        <f t="shared" si="158"/>
        <v>1.0011822386327505</v>
      </c>
      <c r="G94" s="486">
        <f>VLOOKUP(B94,TwoStageCT!A$10:H$72,3,FALSE)/10000</f>
        <v>1.6881396356939836E-5</v>
      </c>
      <c r="H94" s="486">
        <f>VLOOKUP(B94,TwoStageCT!A$10:H$72,6,FALSE)/10000</f>
        <v>7.3590724152435355E-6</v>
      </c>
      <c r="I94" s="19">
        <f>VLOOKUP($A94,'5 A data'!$A$5:$U$650,10,FALSE)</f>
        <v>-0.121</v>
      </c>
      <c r="J94" s="32">
        <f>VLOOKUP($A94,'5 A data'!$A$5:$U$650,11,FALSE)</f>
        <v>0.17453292519943295</v>
      </c>
      <c r="K94" s="31"/>
      <c r="L94" s="31"/>
      <c r="M94" s="31">
        <f t="shared" si="178"/>
        <v>-0.12090653758511721</v>
      </c>
      <c r="N94" s="31">
        <f t="shared" si="179"/>
        <v>0.17474662383870593</v>
      </c>
      <c r="O94" s="20"/>
      <c r="P94" s="634">
        <f>VLOOKUP(B94,TwoStageCT!A$10:H$72,4,FALSE)/10000</f>
        <v>2.4131313466023584E-6</v>
      </c>
      <c r="Q94" s="58">
        <f>VLOOKUP($A94,'5 A data'!$A$5:$U$650,7,FALSE)*slidewire_res</f>
        <v>1E-3</v>
      </c>
      <c r="R94" s="347">
        <f t="shared" si="167"/>
        <v>-3.000000000000003E-4</v>
      </c>
      <c r="S94" s="4">
        <v>0</v>
      </c>
      <c r="T94" s="4">
        <f t="shared" si="180"/>
        <v>-7.150000000000001E-3</v>
      </c>
      <c r="U94" s="29">
        <f t="shared" si="168"/>
        <v>-4.8362615034046888E-4</v>
      </c>
      <c r="V94" s="29">
        <f t="shared" si="148"/>
        <v>5.0000000000000001E-4</v>
      </c>
      <c r="W94" s="23">
        <f>VLOOKUP($D94,Uncertainties!$B$35:$D$41,2,FALSE)</f>
        <v>1.999999999999974E-3</v>
      </c>
      <c r="X94" s="23"/>
      <c r="Y94" s="24">
        <f t="shared" si="169"/>
        <v>-9.3829219605437922E-6</v>
      </c>
      <c r="Z94" s="23">
        <f t="shared" si="170"/>
        <v>7.5297070404976886E-3</v>
      </c>
      <c r="AA94" s="25">
        <f t="shared" si="171"/>
        <v>6.1321031215852209</v>
      </c>
      <c r="AB94" s="26">
        <f t="shared" si="172"/>
        <v>2.4114642552882022</v>
      </c>
      <c r="AC94" s="14"/>
      <c r="AD94" s="635">
        <f>VLOOKUP(B94,TwoStageCT!A$10:H$72,7,FALSE)/10000</f>
        <v>1.6933288916776063E-6</v>
      </c>
      <c r="AE94" s="366">
        <f>IF(ABS(VLOOKUP($A94,'5 A data'!$A$5:$U$1148,6,FALSE))&lt;4.5,IF(ABS(VLOOKUP($A94,'5 A data'!$A$5:$U$1148,6,FALSE))&lt;1.25,0.0008,0.002),0.004)*VLOOKUP($A94,'5 A data'!$A$5:$U$1148,7,FALSE)*25*RADIANS(1/60)*100</f>
        <v>2.9088820866572159E-3</v>
      </c>
      <c r="AF94" s="23">
        <f t="shared" si="173"/>
        <v>5.8177641733143666E-4</v>
      </c>
      <c r="AG94" s="29">
        <f t="shared" si="174"/>
        <v>1.7474662383870594E-4</v>
      </c>
      <c r="AH94" s="4">
        <f t="shared" si="181"/>
        <v>8.8720903643045076E-3</v>
      </c>
      <c r="AI94" s="4">
        <f t="shared" si="175"/>
        <v>6.9898649535482375E-4</v>
      </c>
      <c r="AJ94" s="4">
        <f t="shared" si="155"/>
        <v>5.0000000000000001E-4</v>
      </c>
      <c r="AK94" s="21">
        <f>VLOOKUP($D94,Uncertainties!$B$35:$D$41,3,FALSE)</f>
        <v>-2.9088820866572385E-3</v>
      </c>
      <c r="AL94" s="21"/>
      <c r="AM94" s="369">
        <f>SQRT((VLOOKUP($A94,'5 A data'!$A$5:$U$1148,7,FALSE)*mutual_ind)^2+(aux_CT_phase*J94)^2)</f>
        <v>1.7011836780036968E-3</v>
      </c>
      <c r="AN94" s="29">
        <f t="shared" si="176"/>
        <v>9.981923086119171E-3</v>
      </c>
      <c r="AO94" s="14">
        <f t="shared" si="177"/>
        <v>7.8731253775734702</v>
      </c>
      <c r="AP94" s="27">
        <f t="shared" si="156"/>
        <v>2.2963668892551894</v>
      </c>
      <c r="AS94" s="27">
        <f>VLOOKUP($B94,TwoStageCT!$A$10:$H$72,5,FALSE)</f>
        <v>59.567261398457461</v>
      </c>
      <c r="AT94" s="27">
        <f>VLOOKUP($B94,TwoStageCT!$A$10:$H$72,8,FALSE)</f>
        <v>45.732629829898706</v>
      </c>
    </row>
    <row r="95" spans="1:46" ht="13.15" customHeight="1" x14ac:dyDescent="0.2">
      <c r="A95" s="68">
        <v>185</v>
      </c>
      <c r="B95" s="5" t="str">
        <f>B79&amp;D95</f>
        <v>120/200120</v>
      </c>
      <c r="C95" s="19">
        <f>VLOOKUP($A95,'5 A data'!$A$5:$U$650,3,FALSE)</f>
        <v>2.1000057980615688E-2</v>
      </c>
      <c r="D95" s="164">
        <f>ROUND(VLOOKUP($A95,'5 A data'!$A$5:$U$650,9,FALSE)/10,0)*10</f>
        <v>120</v>
      </c>
      <c r="E95" s="23">
        <f t="shared" si="157"/>
        <v>0.99936709902044762</v>
      </c>
      <c r="F95" s="23">
        <f t="shared" si="158"/>
        <v>1.0011822386327505</v>
      </c>
      <c r="G95" s="486">
        <f>VLOOKUP(B95,TwoStageCT!A$10:H$72,3,FALSE)/10000</f>
        <v>1.5213305302217845E-5</v>
      </c>
      <c r="H95" s="486">
        <f>VLOOKUP(B95,TwoStageCT!A$10:H$72,6,FALSE)/10000</f>
        <v>7.5885012454326174E-6</v>
      </c>
      <c r="I95" s="19">
        <f>VLOOKUP($A95,'5 A data'!$A$5:$U$650,10,FALSE)</f>
        <v>-0.1195</v>
      </c>
      <c r="J95" s="32">
        <f>VLOOKUP($A95,'5 A data'!$A$5:$U$650,11,FALSE)</f>
        <v>0.17162404311277576</v>
      </c>
      <c r="K95" s="31"/>
      <c r="L95" s="31"/>
      <c r="M95" s="31">
        <f t="shared" si="178"/>
        <v>-0.11940915502764127</v>
      </c>
      <c r="N95" s="31">
        <f t="shared" si="179"/>
        <v>0.17183453218809797</v>
      </c>
      <c r="O95" s="20"/>
      <c r="P95" s="634">
        <f>VLOOKUP(B95,TwoStageCT!A$10:H$72,4,FALSE)/10000</f>
        <v>2.2681305202526645E-6</v>
      </c>
      <c r="Q95" s="58">
        <f>VLOOKUP($A95,'5 A data'!$A$5:$U$650,7,FALSE)*slidewire_res</f>
        <v>1E-3</v>
      </c>
      <c r="R95" s="347">
        <f t="shared" si="167"/>
        <v>0</v>
      </c>
      <c r="S95" s="4">
        <v>0</v>
      </c>
      <c r="T95" s="4">
        <f t="shared" si="180"/>
        <v>-7.0750000000000014E-3</v>
      </c>
      <c r="U95" s="29">
        <f t="shared" si="168"/>
        <v>-4.7763662011056509E-4</v>
      </c>
      <c r="V95" s="29">
        <f t="shared" si="148"/>
        <v>5.0000000000000001E-4</v>
      </c>
      <c r="W95" s="23">
        <f>VLOOKUP($D95,Uncertainties!$B$35:$D$41,2,FALSE)</f>
        <v>-1.0000000000000009E-3</v>
      </c>
      <c r="X95" s="23"/>
      <c r="Y95" s="24">
        <f t="shared" si="169"/>
        <v>-9.2666047461568862E-6</v>
      </c>
      <c r="Z95" s="23">
        <f t="shared" si="170"/>
        <v>7.2480240586831838E-3</v>
      </c>
      <c r="AA95" s="25">
        <f t="shared" si="171"/>
        <v>5.5040236662265238</v>
      </c>
      <c r="AB95" s="26">
        <f t="shared" si="172"/>
        <v>2.47556006318269</v>
      </c>
      <c r="AC95" s="14"/>
      <c r="AD95" s="635">
        <f>VLOOKUP(B95,TwoStageCT!A$10:H$72,7,FALSE)/10000</f>
        <v>1.7092397901526349E-6</v>
      </c>
      <c r="AE95" s="366">
        <f>IF(ABS(VLOOKUP($A95,'5 A data'!$A$5:$U$1148,6,FALSE))&lt;4.5,IF(ABS(VLOOKUP($A95,'5 A data'!$A$5:$U$1148,6,FALSE))&lt;1.25,0.0008,0.002),0.004)*VLOOKUP($A95,'5 A data'!$A$5:$U$1148,7,FALSE)*25*RADIANS(1/60)*100</f>
        <v>2.9088820866572159E-3</v>
      </c>
      <c r="AF95" s="23">
        <f t="shared" si="173"/>
        <v>0</v>
      </c>
      <c r="AG95" s="29">
        <f t="shared" si="174"/>
        <v>1.7183453218809797E-4</v>
      </c>
      <c r="AH95" s="4">
        <f t="shared" si="181"/>
        <v>8.1448698426402049E-3</v>
      </c>
      <c r="AI95" s="4">
        <f t="shared" si="175"/>
        <v>6.873381287523919E-4</v>
      </c>
      <c r="AJ95" s="4">
        <f t="shared" si="155"/>
        <v>5.0000000000000001E-4</v>
      </c>
      <c r="AK95" s="21">
        <f>VLOOKUP($D95,Uncertainties!$B$35:$D$41,3,FALSE)</f>
        <v>1.4544410433285915E-3</v>
      </c>
      <c r="AL95" s="21"/>
      <c r="AM95" s="369">
        <f>SQRT((VLOOKUP($A95,'5 A data'!$A$5:$U$1148,7,FALSE)*mutual_ind)^2+(aux_CT_phase*J95)^2)</f>
        <v>1.7011520299637143E-3</v>
      </c>
      <c r="AN95" s="29">
        <f t="shared" si="176"/>
        <v>8.9756214523777321E-3</v>
      </c>
      <c r="AO95" s="14">
        <f t="shared" si="177"/>
        <v>7.2388411842961853</v>
      </c>
      <c r="AP95" s="27">
        <f t="shared" si="156"/>
        <v>2.3306912542051319</v>
      </c>
      <c r="AS95" s="27">
        <f>VLOOKUP($B95,TwoStageCT!$A$10:$H$72,5,FALSE)</f>
        <v>68.00069900375496</v>
      </c>
      <c r="AT95" s="27">
        <f>VLOOKUP($B95,TwoStageCT!$A$10:$H$72,8,FALSE)</f>
        <v>47.345132453902309</v>
      </c>
    </row>
    <row r="96" spans="1:46" ht="13.15" customHeight="1" x14ac:dyDescent="0.2">
      <c r="A96">
        <v>186</v>
      </c>
      <c r="P96" s="97"/>
      <c r="R96" s="42"/>
      <c r="AD96" s="250"/>
    </row>
    <row r="97" spans="1:46" ht="13.15" customHeight="1" x14ac:dyDescent="0.2">
      <c r="A97" s="68">
        <v>187</v>
      </c>
      <c r="B97" s="474" t="str">
        <f>MID(D97,FIND("AT,",D97,1)-4,3)&amp;"/"&amp;MID(D97,FIND("AT,",D97,1)+4,3)</f>
        <v>120/200</v>
      </c>
      <c r="C97" t="s">
        <v>113</v>
      </c>
      <c r="D97" s="161" t="str">
        <f>VLOOKUP($A97,'5 A data'!$A$5:$U$574,2,FALSE)</f>
        <v>200/5 Range, 1 turns @ 1VA burden, vs 120 AT, 200 range, 2 Stage CT</v>
      </c>
      <c r="E97" s="158"/>
      <c r="F97" s="158"/>
      <c r="G97" s="158"/>
      <c r="H97" s="158"/>
      <c r="I97" s="158"/>
      <c r="J97" s="158"/>
      <c r="K97" s="158"/>
      <c r="M97" s="4"/>
      <c r="N97" s="4"/>
      <c r="P97" s="97"/>
      <c r="R97" s="42"/>
      <c r="AD97" s="250"/>
    </row>
    <row r="98" spans="1:46" ht="13.15" customHeight="1" x14ac:dyDescent="0.2">
      <c r="A98">
        <v>188</v>
      </c>
      <c r="M98" s="639" t="s">
        <v>472</v>
      </c>
      <c r="N98" s="639"/>
      <c r="P98" s="97"/>
      <c r="R98" s="42"/>
      <c r="AD98" s="250"/>
    </row>
    <row r="99" spans="1:46" ht="13.15" customHeight="1" x14ac:dyDescent="0.2">
      <c r="A99" s="68">
        <v>189</v>
      </c>
      <c r="B99" s="5" t="str">
        <f>B97&amp;D99</f>
        <v>120/2005</v>
      </c>
      <c r="C99" s="19">
        <f>VLOOKUP($A99,'5 A data'!$A$5:$U$574,3,FALSE)</f>
        <v>0.21600059637204713</v>
      </c>
      <c r="D99" s="19">
        <f>ROUND(VLOOKUP($A99,'5 A data'!$A$5:$U$650,9,FALSE),0)</f>
        <v>5</v>
      </c>
      <c r="E99" s="23">
        <f>TestSetRatioCor</f>
        <v>0.99936709902044762</v>
      </c>
      <c r="F99" s="23">
        <f>TestSetPhaseCor</f>
        <v>1.0011822386327505</v>
      </c>
      <c r="G99" s="486">
        <f>VLOOKUP(B99,TwoStageCT!A$10:H$72,3,FALSE)/10000</f>
        <v>3.6805932694608759E-5</v>
      </c>
      <c r="H99" s="486">
        <f>VLOOKUP(B99,TwoStageCT!A$10:H$72,6,FALSE)/10000</f>
        <v>4.6965346060309593E-6</v>
      </c>
      <c r="I99" s="19">
        <f>VLOOKUP($A99,'5 A data'!$A$5:$U$650,10,FALSE)</f>
        <v>-0.32600000000000001</v>
      </c>
      <c r="J99" s="32">
        <f>VLOOKUP($A99,'5 A data'!$A$5:$U$650,11,FALSE)</f>
        <v>0.53523430394492766</v>
      </c>
      <c r="K99" s="22">
        <f t="shared" ref="K99:L102" si="182">I99-I107</f>
        <v>-9.4E-2</v>
      </c>
      <c r="L99" s="22">
        <f t="shared" si="182"/>
        <v>0.13962634015954628</v>
      </c>
      <c r="M99" s="492">
        <f>I99*E99+G99</f>
        <v>-0.3257568683479713</v>
      </c>
      <c r="N99" s="492">
        <f>J99*F99+H99</f>
        <v>0.53587177515123063</v>
      </c>
      <c r="P99" s="634">
        <f>VLOOKUP(B99,TwoStageCT!A$10:H$72,4,FALSE)/10000</f>
        <v>6.4429594675743464E-6</v>
      </c>
      <c r="Q99" s="58">
        <f>VLOOKUP($A99,'5 A data'!$A$5:$U$650,7,FALSE)*slidewire_res</f>
        <v>1E-3</v>
      </c>
      <c r="R99" s="347">
        <f t="shared" ref="R99:R105" si="183">current_coef*(I99-I100)*IF(I100=0,0,1)</f>
        <v>-1.0599999999999998E-2</v>
      </c>
      <c r="S99" s="21">
        <v>0</v>
      </c>
      <c r="T99" s="21">
        <f>BurdenUnc*K99</f>
        <v>-4.7000000000000002E-3</v>
      </c>
      <c r="U99" s="23">
        <f t="shared" ref="U99:U105" si="184">0.004*M99</f>
        <v>-1.3030274733918852E-3</v>
      </c>
      <c r="V99" s="23">
        <f t="shared" ref="V99:V113" si="185">earthing_Re</f>
        <v>5.0000000000000001E-4</v>
      </c>
      <c r="W99" s="23">
        <f>VLOOKUP($D99,Uncertainties!$B$35:$D$41,2,FALSE)</f>
        <v>5.0000000000000044E-3</v>
      </c>
      <c r="X99" s="23"/>
      <c r="Y99" s="24">
        <f t="shared" ref="Y99:Y105" si="186">I99*aux_CT_ratio</f>
        <v>-2.5279607926754353E-5</v>
      </c>
      <c r="Z99" s="23">
        <f t="shared" ref="Z99:Z105" si="187">SQRT(SUMSQ(P99:Y99))</f>
        <v>1.2743569404476818E-2</v>
      </c>
      <c r="AA99" s="25">
        <f t="shared" ref="AA99:AA105" si="188">DoF_A(P99:Y99,$P$7:$Y$7)</f>
        <v>9.8653093931884488</v>
      </c>
      <c r="AB99" s="26">
        <f t="shared" ref="AB99:AB105" si="189">CoverFactor(AA99)</f>
        <v>2.2209164886078239</v>
      </c>
      <c r="AC99" s="14"/>
      <c r="AD99" s="635">
        <f>VLOOKUP(B99,TwoStageCT!A$10:H$72,7,FALSE)/10000</f>
        <v>4.6788986298833412E-6</v>
      </c>
      <c r="AE99" s="366">
        <f>IF(ABS(VLOOKUP($A99,'5 A data'!$A$5:$U$1148,6,FALSE))&lt;4.5,IF(ABS(VLOOKUP($A99,'5 A data'!$A$5:$U$1148,6,FALSE))&lt;1.25,0.0008,0.002),0.004)*VLOOKUP($A99,'5 A data'!$A$5:$U$1148,7,FALSE)*25*RADIANS(1/60)*100</f>
        <v>2.9088820866572159E-3</v>
      </c>
      <c r="AF99" s="23">
        <f>current_coef*(J99-J100)*IF(J100=0,0,1)</f>
        <v>2.2107503858594835E-2</v>
      </c>
      <c r="AG99" s="29">
        <f t="shared" ref="AG99:AG105" si="190">0.001*N99</f>
        <v>5.3587177515123068E-4</v>
      </c>
      <c r="AH99" s="4">
        <f>BurdenUnc*L99</f>
        <v>6.981317007977314E-3</v>
      </c>
      <c r="AI99" s="4">
        <f t="shared" ref="AI99:AI105" si="191">0.004*N99</f>
        <v>2.1434871006049227E-3</v>
      </c>
      <c r="AJ99" s="4">
        <f t="shared" ref="AJ99:AJ113" si="192">earthing_Im</f>
        <v>5.0000000000000001E-4</v>
      </c>
      <c r="AK99" s="21">
        <f>VLOOKUP($D99,Uncertainties!$B$35:$D$41,3,FALSE)</f>
        <v>-1.1635528346628732E-2</v>
      </c>
      <c r="AL99" s="21"/>
      <c r="AM99" s="369">
        <f>SQRT((VLOOKUP($A99,'5 A data'!$A$5:$U$1148,7,FALSE)*mutual_ind)^2+(aux_CT_phase*J99)^2)</f>
        <v>1.7092112435240074E-3</v>
      </c>
      <c r="AN99" s="29">
        <f t="shared" ref="AN99:AN105" si="193">SQRT(SUMSQ(AD99:AM99))</f>
        <v>2.6256061193558326E-2</v>
      </c>
      <c r="AO99" s="14">
        <f t="shared" ref="AO99:AO105" si="194">DoF_A(AD99:AM99,$AD$7:$AM$7)</f>
        <v>9.5554828803959424</v>
      </c>
      <c r="AP99" s="27">
        <f t="shared" ref="AP99:AP105" si="195">CoverFactor(AO99)</f>
        <v>2.2303173711823927</v>
      </c>
      <c r="AS99" s="27">
        <f>VLOOKUP($B99,TwoStageCT!$A$10:$H$72,5,FALSE)</f>
        <v>26.31606241070681</v>
      </c>
      <c r="AT99" s="27">
        <f>VLOOKUP($B99,TwoStageCT!$A$10:$H$72,8,FALSE)</f>
        <v>9.9413455012810044</v>
      </c>
    </row>
    <row r="100" spans="1:46" ht="13.15" customHeight="1" x14ac:dyDescent="0.2">
      <c r="A100">
        <v>190</v>
      </c>
      <c r="B100" s="5" t="str">
        <f>B97&amp;D100</f>
        <v>120/20010</v>
      </c>
      <c r="C100" s="19">
        <f>VLOOKUP($A100,'5 A data'!$A$5:$U$650,3,FALSE)</f>
        <v>0.21600059637204713</v>
      </c>
      <c r="D100" s="163">
        <f>ROUND(VLOOKUP($A100,'5 A data'!$A$5:$U$650,9,FALSE)/10,0)*10</f>
        <v>10</v>
      </c>
      <c r="E100" s="23">
        <f t="shared" ref="E100:E113" si="196">TestSetRatioCor</f>
        <v>0.99936709902044762</v>
      </c>
      <c r="F100" s="23">
        <f t="shared" ref="F100:F113" si="197">TestSetPhaseCor</f>
        <v>1.0011822386327505</v>
      </c>
      <c r="G100" s="486">
        <f>VLOOKUP(B100,TwoStageCT!A$10:H$72,3,FALSE)/10000</f>
        <v>3.4690340839935311E-5</v>
      </c>
      <c r="H100" s="486">
        <f>VLOOKUP(B100,TwoStageCT!A$10:H$72,6,FALSE)/10000</f>
        <v>2.6036797087866982E-6</v>
      </c>
      <c r="I100" s="19">
        <f>VLOOKUP($A100,'5 A data'!$A$5:$U$650,10,FALSE)</f>
        <v>-0.27300000000000002</v>
      </c>
      <c r="J100" s="32">
        <f>VLOOKUP($A100,'5 A data'!$A$5:$U$650,11,FALSE)</f>
        <v>0.42469678465195349</v>
      </c>
      <c r="K100" s="22">
        <f t="shared" si="182"/>
        <v>-8.8000000000000023E-2</v>
      </c>
      <c r="L100" s="22">
        <f t="shared" si="182"/>
        <v>0.12799081181291749</v>
      </c>
      <c r="M100" s="492">
        <f t="shared" ref="M100:M105" si="198">I100*E100+G100</f>
        <v>-0.27279252769174228</v>
      </c>
      <c r="N100" s="492">
        <f t="shared" ref="N100:N105" si="199">J100*F100+H100</f>
        <v>0.4252014812776827</v>
      </c>
      <c r="P100" s="634">
        <f>VLOOKUP(B100,TwoStageCT!A$10:H$72,4,FALSE)/10000</f>
        <v>5.0170517941146892E-6</v>
      </c>
      <c r="Q100" s="58">
        <f>VLOOKUP($A100,'5 A data'!$A$5:$U$650,7,FALSE)*slidewire_res</f>
        <v>1E-3</v>
      </c>
      <c r="R100" s="347">
        <f t="shared" si="183"/>
        <v>-6.600000000000006E-3</v>
      </c>
      <c r="S100" s="4">
        <v>0</v>
      </c>
      <c r="T100" s="21">
        <f t="shared" ref="T100:T105" si="200">BurdenUnc*K100</f>
        <v>-4.4000000000000011E-3</v>
      </c>
      <c r="U100" s="29">
        <f t="shared" si="184"/>
        <v>-1.0911701107669692E-3</v>
      </c>
      <c r="V100" s="29">
        <f t="shared" si="185"/>
        <v>5.0000000000000001E-4</v>
      </c>
      <c r="W100" s="23">
        <f>VLOOKUP($D100,Uncertainties!$B$35:$D$41,2,FALSE)</f>
        <v>2.5000000000000022E-3</v>
      </c>
      <c r="X100" s="23"/>
      <c r="Y100" s="24">
        <f t="shared" si="186"/>
        <v>-2.1169733018416988E-5</v>
      </c>
      <c r="Z100" s="23">
        <f t="shared" si="187"/>
        <v>8.4623357023363294E-3</v>
      </c>
      <c r="AA100" s="25">
        <f t="shared" si="188"/>
        <v>11.194942758292846</v>
      </c>
      <c r="AB100" s="26">
        <f t="shared" si="189"/>
        <v>2.1871022047232778</v>
      </c>
      <c r="AC100" s="14"/>
      <c r="AD100" s="635">
        <f>VLOOKUP(B100,TwoStageCT!A$10:H$72,7,FALSE)/10000</f>
        <v>2.600738521505678E-6</v>
      </c>
      <c r="AE100" s="366">
        <f>IF(ABS(VLOOKUP($A100,'5 A data'!$A$5:$U$1148,6,FALSE))&lt;4.5,IF(ABS(VLOOKUP($A100,'5 A data'!$A$5:$U$1148,6,FALSE))&lt;1.25,0.0008,0.002),0.004)*VLOOKUP($A100,'5 A data'!$A$5:$U$1148,7,FALSE)*25*RADIANS(1/60)*100</f>
        <v>2.9088820866572159E-3</v>
      </c>
      <c r="AF100" s="23">
        <f t="shared" ref="AF100:AF105" si="201">current_coef*(J100-J101)*IF(J101=0,0,1)</f>
        <v>1.2799081181291739E-2</v>
      </c>
      <c r="AG100" s="29">
        <f t="shared" si="190"/>
        <v>4.2520148127768269E-4</v>
      </c>
      <c r="AH100" s="4">
        <f t="shared" ref="AH100:AH105" si="202">BurdenUnc*L100</f>
        <v>6.3995405906458747E-3</v>
      </c>
      <c r="AI100" s="4">
        <f t="shared" si="191"/>
        <v>1.7008059251107308E-3</v>
      </c>
      <c r="AJ100" s="4">
        <f t="shared" si="192"/>
        <v>5.0000000000000001E-4</v>
      </c>
      <c r="AK100" s="21">
        <f>VLOOKUP($D100,Uncertainties!$B$35:$D$41,3,FALSE)</f>
        <v>4.363323129985941E-3</v>
      </c>
      <c r="AL100" s="21"/>
      <c r="AM100" s="369">
        <f>SQRT((VLOOKUP($A100,'5 A data'!$A$5:$U$1148,7,FALSE)*mutual_ind)^2+(aux_CT_phase*J100)^2)</f>
        <v>1.7058886964758577E-3</v>
      </c>
      <c r="AN100" s="29">
        <f t="shared" si="193"/>
        <v>1.5443587105674105E-2</v>
      </c>
      <c r="AO100" s="14">
        <f t="shared" si="194"/>
        <v>9.8941002396902196</v>
      </c>
      <c r="AP100" s="27">
        <f t="shared" si="195"/>
        <v>2.2200764504175963</v>
      </c>
      <c r="AS100" s="27">
        <f>VLOOKUP($B100,TwoStageCT!$A$10:$H$72,5,FALSE)</f>
        <v>38.265350164989712</v>
      </c>
      <c r="AT100" s="27">
        <f>VLOOKUP($B100,TwoStageCT!$A$10:$H$72,8,FALSE)</f>
        <v>16.586629386739094</v>
      </c>
    </row>
    <row r="101" spans="1:46" ht="13.15" customHeight="1" x14ac:dyDescent="0.2">
      <c r="A101" s="68">
        <v>191</v>
      </c>
      <c r="B101" s="5" t="str">
        <f>B97&amp;D101</f>
        <v>120/20020</v>
      </c>
      <c r="C101" s="19">
        <f>VLOOKUP($A101,'5 A data'!$A$5:$U$650,3,FALSE)</f>
        <v>0.21600059637204713</v>
      </c>
      <c r="D101" s="163">
        <f>ROUND(VLOOKUP($A101,'5 A data'!$A$5:$U$650,9,FALSE)/10,0)*10</f>
        <v>20</v>
      </c>
      <c r="E101" s="23">
        <f t="shared" si="196"/>
        <v>0.99936709902044762</v>
      </c>
      <c r="F101" s="23">
        <f t="shared" si="197"/>
        <v>1.0011822386327505</v>
      </c>
      <c r="G101" s="486">
        <f>VLOOKUP(B101,TwoStageCT!A$10:H$72,3,FALSE)/10000</f>
        <v>3.1280516301103777E-5</v>
      </c>
      <c r="H101" s="486">
        <f>VLOOKUP(B101,TwoStageCT!A$10:H$72,6,FALSE)/10000</f>
        <v>4.5493238991726806E-6</v>
      </c>
      <c r="I101" s="19">
        <f>VLOOKUP($A101,'5 A data'!$A$5:$U$650,10,FALSE)</f>
        <v>-0.24</v>
      </c>
      <c r="J101" s="32">
        <f>VLOOKUP($A101,'5 A data'!$A$5:$U$650,11,FALSE)</f>
        <v>0.36070137874549479</v>
      </c>
      <c r="K101" s="22">
        <f t="shared" si="182"/>
        <v>-8.299999999999999E-2</v>
      </c>
      <c r="L101" s="22">
        <f t="shared" si="182"/>
        <v>0.11926416555294586</v>
      </c>
      <c r="M101" s="492">
        <f t="shared" si="198"/>
        <v>-0.23981682324860631</v>
      </c>
      <c r="N101" s="492">
        <f t="shared" si="199"/>
        <v>0.36113236317423325</v>
      </c>
      <c r="P101" s="634">
        <f>VLOOKUP(B101,TwoStageCT!A$10:H$72,4,FALSE)/10000</f>
        <v>4.17832023036102E-6</v>
      </c>
      <c r="Q101" s="58">
        <f>VLOOKUP($A101,'5 A data'!$A$5:$U$650,7,FALSE)*slidewire_res</f>
        <v>1E-3</v>
      </c>
      <c r="R101" s="347">
        <f t="shared" si="183"/>
        <v>-4.5999999999999991E-3</v>
      </c>
      <c r="S101" s="4">
        <v>0</v>
      </c>
      <c r="T101" s="21">
        <f t="shared" si="200"/>
        <v>-4.15E-3</v>
      </c>
      <c r="U101" s="29">
        <f t="shared" si="184"/>
        <v>-9.5926729299442525E-4</v>
      </c>
      <c r="V101" s="29">
        <f t="shared" si="185"/>
        <v>5.0000000000000001E-4</v>
      </c>
      <c r="W101" s="23">
        <f>VLOOKUP($D101,Uncertainties!$B$35:$D$41,2,FALSE)</f>
        <v>-1.0000000000000009E-3</v>
      </c>
      <c r="X101" s="23"/>
      <c r="Y101" s="24">
        <f t="shared" si="186"/>
        <v>-1.8610754301905045E-5</v>
      </c>
      <c r="Z101" s="23">
        <f t="shared" si="187"/>
        <v>6.4461661131206107E-3</v>
      </c>
      <c r="AA101" s="25">
        <f t="shared" si="188"/>
        <v>11.562390786567473</v>
      </c>
      <c r="AB101" s="26">
        <f t="shared" si="189"/>
        <v>2.1792659703212536</v>
      </c>
      <c r="AC101" s="14"/>
      <c r="AD101" s="635">
        <f>VLOOKUP(B101,TwoStageCT!A$10:H$72,7,FALSE)/10000</f>
        <v>1.9770475075939077E-6</v>
      </c>
      <c r="AE101" s="366">
        <f>IF(ABS(VLOOKUP($A101,'5 A data'!$A$5:$U$1148,6,FALSE))&lt;4.5,IF(ABS(VLOOKUP($A101,'5 A data'!$A$5:$U$1148,6,FALSE))&lt;1.25,0.0008,0.002),0.004)*VLOOKUP($A101,'5 A data'!$A$5:$U$1148,7,FALSE)*25*RADIANS(1/60)*100</f>
        <v>2.9088820866572159E-3</v>
      </c>
      <c r="AF101" s="23">
        <f t="shared" si="201"/>
        <v>9.8901990946345456E-3</v>
      </c>
      <c r="AG101" s="29">
        <f t="shared" si="190"/>
        <v>3.6113236317423327E-4</v>
      </c>
      <c r="AH101" s="4">
        <f t="shared" si="202"/>
        <v>5.9632082776472934E-3</v>
      </c>
      <c r="AI101" s="4">
        <f t="shared" si="191"/>
        <v>1.4445294526969331E-3</v>
      </c>
      <c r="AJ101" s="4">
        <f t="shared" si="192"/>
        <v>5.0000000000000001E-4</v>
      </c>
      <c r="AK101" s="21">
        <f>VLOOKUP($D101,Uncertainties!$B$35:$D$41,3,FALSE)</f>
        <v>-1.454441043328647E-3</v>
      </c>
      <c r="AL101" s="21"/>
      <c r="AM101" s="369">
        <f>SQRT((VLOOKUP($A101,'5 A data'!$A$5:$U$1148,7,FALSE)*mutual_ind)^2+(aux_CT_phase*J101)^2)</f>
        <v>1.704312597631989E-3</v>
      </c>
      <c r="AN101" s="29">
        <f t="shared" si="193"/>
        <v>1.221984664794571E-2</v>
      </c>
      <c r="AO101" s="14">
        <f t="shared" si="194"/>
        <v>10.210817362698045</v>
      </c>
      <c r="AP101" s="27">
        <f t="shared" si="195"/>
        <v>2.2111848157804657</v>
      </c>
      <c r="AS101" s="27">
        <f>VLOOKUP($B101,TwoStageCT!$A$10:$H$72,5,FALSE)</f>
        <v>36.657700403051521</v>
      </c>
      <c r="AT101" s="27">
        <f>VLOOKUP($B101,TwoStageCT!$A$10:$H$72,8,FALSE)</f>
        <v>53.09445811850042</v>
      </c>
    </row>
    <row r="102" spans="1:46" ht="13.15" customHeight="1" x14ac:dyDescent="0.2">
      <c r="A102">
        <v>192</v>
      </c>
      <c r="B102" s="5" t="str">
        <f>B97&amp;D102</f>
        <v>120/20040</v>
      </c>
      <c r="C102" s="19">
        <f>VLOOKUP($A102,'5 A data'!$A$5:$U$650,3,FALSE)</f>
        <v>0.21600059637204713</v>
      </c>
      <c r="D102" s="163">
        <f>ROUND(VLOOKUP($A102,'5 A data'!$A$5:$U$650,9,FALSE)/10,0)*10</f>
        <v>40</v>
      </c>
      <c r="E102" s="23">
        <f t="shared" si="196"/>
        <v>0.99936709902044762</v>
      </c>
      <c r="F102" s="23">
        <f t="shared" si="197"/>
        <v>1.0011822386327505</v>
      </c>
      <c r="G102" s="486">
        <f>VLOOKUP(B102,TwoStageCT!A$10:H$72,3,FALSE)/10000</f>
        <v>2.5200167333853628E-5</v>
      </c>
      <c r="H102" s="486">
        <f>VLOOKUP(B102,TwoStageCT!A$10:H$72,6,FALSE)/10000</f>
        <v>5.7416420558101514E-6</v>
      </c>
      <c r="I102" s="19">
        <f>VLOOKUP($A102,'5 A data'!$A$5:$U$650,10,FALSE)</f>
        <v>-0.217</v>
      </c>
      <c r="J102" s="32">
        <f>VLOOKUP($A102,'5 A data'!$A$5:$U$650,11,FALSE)</f>
        <v>0.31125038327232207</v>
      </c>
      <c r="K102" s="22">
        <f t="shared" si="182"/>
        <v>-7.8999999999999987E-2</v>
      </c>
      <c r="L102" s="22">
        <f t="shared" si="182"/>
        <v>0.10617419616298837</v>
      </c>
      <c r="M102" s="492">
        <f t="shared" si="198"/>
        <v>-0.21683746032010329</v>
      </c>
      <c r="N102" s="492">
        <f t="shared" si="199"/>
        <v>0.31162409714194078</v>
      </c>
      <c r="P102" s="634">
        <f>VLOOKUP(B102,TwoStageCT!A$10:H$72,4,FALSE)/10000</f>
        <v>3.3964590328801363E-6</v>
      </c>
      <c r="Q102" s="58">
        <f>VLOOKUP($A102,'5 A data'!$A$5:$U$650,7,FALSE)*slidewire_res</f>
        <v>1E-3</v>
      </c>
      <c r="R102" s="347">
        <f t="shared" si="183"/>
        <v>-2.6000000000000025E-3</v>
      </c>
      <c r="S102" s="4">
        <v>0</v>
      </c>
      <c r="T102" s="21">
        <f t="shared" si="200"/>
        <v>-3.9499999999999995E-3</v>
      </c>
      <c r="U102" s="29">
        <f t="shared" si="184"/>
        <v>-8.6734984128041318E-4</v>
      </c>
      <c r="V102" s="29">
        <f t="shared" si="185"/>
        <v>5.0000000000000001E-4</v>
      </c>
      <c r="W102" s="23">
        <f>VLOOKUP($D102,Uncertainties!$B$35:$D$41,2,FALSE)</f>
        <v>-1.0000000000000009E-3</v>
      </c>
      <c r="X102" s="23"/>
      <c r="Y102" s="24">
        <f t="shared" si="186"/>
        <v>-1.6827223681305811E-5</v>
      </c>
      <c r="Z102" s="23">
        <f t="shared" si="187"/>
        <v>5.036376717299844E-3</v>
      </c>
      <c r="AA102" s="25">
        <f t="shared" si="188"/>
        <v>11.048544650662159</v>
      </c>
      <c r="AB102" s="26">
        <f t="shared" si="189"/>
        <v>2.1903845700920246</v>
      </c>
      <c r="AC102" s="14"/>
      <c r="AD102" s="635">
        <f>VLOOKUP(B102,TwoStageCT!A$10:H$72,7,FALSE)/10000</f>
        <v>1.6849048737447556E-6</v>
      </c>
      <c r="AE102" s="366">
        <f>IF(ABS(VLOOKUP($A102,'5 A data'!$A$5:$U$1148,6,FALSE))&lt;4.5,IF(ABS(VLOOKUP($A102,'5 A data'!$A$5:$U$1148,6,FALSE))&lt;1.25,0.0008,0.002),0.004)*VLOOKUP($A102,'5 A data'!$A$5:$U$1148,7,FALSE)*25*RADIANS(1/60)*100</f>
        <v>2.9088820866572159E-3</v>
      </c>
      <c r="AF102" s="23">
        <f t="shared" si="201"/>
        <v>4.0724349213201007E-3</v>
      </c>
      <c r="AG102" s="29">
        <f t="shared" si="190"/>
        <v>3.116240971419408E-4</v>
      </c>
      <c r="AH102" s="4">
        <f t="shared" si="202"/>
        <v>5.3087098081494189E-3</v>
      </c>
      <c r="AI102" s="4">
        <f t="shared" si="191"/>
        <v>1.2464963885677632E-3</v>
      </c>
      <c r="AJ102" s="4">
        <f t="shared" si="192"/>
        <v>5.0000000000000001E-4</v>
      </c>
      <c r="AK102" s="21">
        <f>VLOOKUP($D102,Uncertainties!$B$35:$D$41,3,FALSE)</f>
        <v>-2.908882086657183E-3</v>
      </c>
      <c r="AL102" s="21"/>
      <c r="AM102" s="369">
        <f>SQRT((VLOOKUP($A102,'5 A data'!$A$5:$U$1148,7,FALSE)*mutual_ind)^2+(aux_CT_phase*J102)^2)</f>
        <v>1.7032698203696232E-3</v>
      </c>
      <c r="AN102" s="29">
        <f t="shared" si="193"/>
        <v>8.1542816819262492E-3</v>
      </c>
      <c r="AO102" s="14">
        <f t="shared" si="194"/>
        <v>18.727007797644372</v>
      </c>
      <c r="AP102" s="27">
        <f t="shared" si="195"/>
        <v>2.0913743464279397</v>
      </c>
      <c r="AS102" s="27">
        <f>VLOOKUP($B102,TwoStageCT!$A$10:$H$72,5,FALSE)</f>
        <v>38.659909732018328</v>
      </c>
      <c r="AT102" s="27">
        <f>VLOOKUP($B102,TwoStageCT!$A$10:$H$72,8,FALSE)</f>
        <v>52.499330597885681</v>
      </c>
    </row>
    <row r="103" spans="1:46" ht="13.15" customHeight="1" x14ac:dyDescent="0.2">
      <c r="A103" s="68">
        <v>193</v>
      </c>
      <c r="B103" s="5" t="str">
        <f>B97&amp;D103</f>
        <v>120/20060</v>
      </c>
      <c r="C103" s="19">
        <f>VLOOKUP($A103,'5 A data'!$A$5:$U$650,3,FALSE)</f>
        <v>0.21600059637204713</v>
      </c>
      <c r="D103" s="163">
        <f>ROUND(VLOOKUP($A103,'5 A data'!$A$5:$U$650,9,FALSE)/10,0)*10</f>
        <v>60</v>
      </c>
      <c r="E103" s="23">
        <f t="shared" si="196"/>
        <v>0.99936709902044762</v>
      </c>
      <c r="F103" s="23">
        <f t="shared" si="197"/>
        <v>1.0011822386327505</v>
      </c>
      <c r="G103" s="486">
        <f>VLOOKUP(B103,TwoStageCT!A$10:H$72,3,FALSE)/10000</f>
        <v>2.195627602528684E-5</v>
      </c>
      <c r="H103" s="486">
        <f>VLOOKUP(B103,TwoStageCT!A$10:H$72,6,FALSE)/10000</f>
        <v>5.5507836163637805E-6</v>
      </c>
      <c r="I103" s="19">
        <f>VLOOKUP($A103,'5 A data'!$A$5:$U$650,10,FALSE)</f>
        <v>-0.20399999999999999</v>
      </c>
      <c r="J103" s="32">
        <f>VLOOKUP($A103,'5 A data'!$A$5:$U$650,11,FALSE)</f>
        <v>0.29088820866572157</v>
      </c>
      <c r="K103" s="22">
        <f t="shared" ref="K103:L105" si="203">I103-I111</f>
        <v>-7.3999999999999982E-2</v>
      </c>
      <c r="L103" s="22">
        <f t="shared" si="203"/>
        <v>0.10035643198967392</v>
      </c>
      <c r="M103" s="492">
        <f t="shared" si="198"/>
        <v>-0.20384893192414602</v>
      </c>
      <c r="N103" s="492">
        <f t="shared" si="199"/>
        <v>0.29123765872743412</v>
      </c>
      <c r="P103" s="634">
        <f>VLOOKUP(B103,TwoStageCT!A$10:H$72,4,FALSE)/10000</f>
        <v>2.9709098248278708E-6</v>
      </c>
      <c r="Q103" s="58">
        <f>VLOOKUP($A103,'5 A data'!$A$5:$U$650,7,FALSE)*slidewire_res</f>
        <v>1E-3</v>
      </c>
      <c r="R103" s="347">
        <f t="shared" si="183"/>
        <v>-2.5999999999999968E-3</v>
      </c>
      <c r="S103" s="4">
        <v>0</v>
      </c>
      <c r="T103" s="21">
        <f t="shared" si="200"/>
        <v>-3.6999999999999993E-3</v>
      </c>
      <c r="U103" s="29">
        <f t="shared" si="184"/>
        <v>-8.153957276965841E-4</v>
      </c>
      <c r="V103" s="29">
        <f t="shared" si="185"/>
        <v>5.0000000000000001E-4</v>
      </c>
      <c r="W103" s="23">
        <f>VLOOKUP($D103,Uncertainties!$B$35:$D$41,2,FALSE)</f>
        <v>-1.0000000000000009E-3</v>
      </c>
      <c r="X103" s="23"/>
      <c r="Y103" s="24">
        <f t="shared" si="186"/>
        <v>-1.5819141156619287E-5</v>
      </c>
      <c r="Z103" s="23">
        <f t="shared" si="187"/>
        <v>4.8337489864780873E-3</v>
      </c>
      <c r="AA103" s="25">
        <f t="shared" si="188"/>
        <v>11.614614181625276</v>
      </c>
      <c r="AB103" s="26">
        <f t="shared" si="189"/>
        <v>2.1781964224631367</v>
      </c>
      <c r="AC103" s="14"/>
      <c r="AD103" s="635">
        <f>VLOOKUP(B103,TwoStageCT!A$10:H$72,7,FALSE)/10000</f>
        <v>1.6017059195029239E-6</v>
      </c>
      <c r="AE103" s="366">
        <f>IF(ABS(VLOOKUP($A103,'5 A data'!$A$5:$U$1148,6,FALSE))&lt;4.5,IF(ABS(VLOOKUP($A103,'5 A data'!$A$5:$U$1148,6,FALSE))&lt;1.25,0.0008,0.002),0.004)*VLOOKUP($A103,'5 A data'!$A$5:$U$1148,7,FALSE)*25*RADIANS(1/60)*100</f>
        <v>2.9088820866572159E-3</v>
      </c>
      <c r="AF103" s="23">
        <f t="shared" si="201"/>
        <v>5.2359877559829855E-3</v>
      </c>
      <c r="AG103" s="29">
        <f t="shared" si="190"/>
        <v>2.9123765872743411E-4</v>
      </c>
      <c r="AH103" s="4">
        <f t="shared" si="202"/>
        <v>5.0178215994836966E-3</v>
      </c>
      <c r="AI103" s="4">
        <f t="shared" si="191"/>
        <v>1.1649506349097364E-3</v>
      </c>
      <c r="AJ103" s="4">
        <f t="shared" si="192"/>
        <v>5.0000000000000001E-4</v>
      </c>
      <c r="AK103" s="21">
        <f>VLOOKUP($D103,Uncertainties!$B$35:$D$41,3,FALSE)</f>
        <v>-2.908882086657183E-3</v>
      </c>
      <c r="AL103" s="21"/>
      <c r="AM103" s="369">
        <f>SQRT((VLOOKUP($A103,'5 A data'!$A$5:$U$1148,7,FALSE)*mutual_ind)^2+(aux_CT_phase*J103)^2)</f>
        <v>1.7028848910114103E-3</v>
      </c>
      <c r="AN103" s="29">
        <f t="shared" si="193"/>
        <v>8.6086607696164667E-3</v>
      </c>
      <c r="AO103" s="14">
        <f t="shared" si="194"/>
        <v>18.354516926786747</v>
      </c>
      <c r="AP103" s="27">
        <f t="shared" si="195"/>
        <v>2.0941608895407637</v>
      </c>
      <c r="AS103" s="27">
        <f>VLOOKUP($B103,TwoStageCT!$A$10:$H$72,5,FALSE)</f>
        <v>42.291164682130272</v>
      </c>
      <c r="AT103" s="27">
        <f>VLOOKUP($B103,TwoStageCT!$A$10:$H$72,8,FALSE)</f>
        <v>48.978667479860043</v>
      </c>
    </row>
    <row r="104" spans="1:46" ht="13.15" customHeight="1" x14ac:dyDescent="0.2">
      <c r="A104">
        <v>194</v>
      </c>
      <c r="B104" s="5" t="str">
        <f>B97&amp;D104</f>
        <v>120/200100</v>
      </c>
      <c r="C104" s="19">
        <f>VLOOKUP($A104,'5 A data'!$A$5:$U$650,3,FALSE)</f>
        <v>0.21600059637204713</v>
      </c>
      <c r="D104" s="164">
        <f>ROUND(VLOOKUP($A104,'5 A data'!$A$5:$U$650,9,FALSE)/10,0)*10</f>
        <v>100</v>
      </c>
      <c r="E104" s="23">
        <f t="shared" si="196"/>
        <v>0.99936709902044762</v>
      </c>
      <c r="F104" s="23">
        <f t="shared" si="197"/>
        <v>1.0011822386327505</v>
      </c>
      <c r="G104" s="486">
        <f>VLOOKUP(B104,TwoStageCT!A$10:H$72,3,FALSE)/10000</f>
        <v>1.6881396356939836E-5</v>
      </c>
      <c r="H104" s="486">
        <f>VLOOKUP(B104,TwoStageCT!A$10:H$72,6,FALSE)/10000</f>
        <v>7.3590724152435355E-6</v>
      </c>
      <c r="I104" s="19">
        <f>VLOOKUP($A104,'5 A data'!$A$5:$U$650,10,FALSE)</f>
        <v>-0.191</v>
      </c>
      <c r="J104" s="32">
        <f>VLOOKUP($A104,'5 A data'!$A$5:$U$650,11,FALSE)</f>
        <v>0.26470826988580665</v>
      </c>
      <c r="K104" s="22">
        <f t="shared" si="203"/>
        <v>-7.0000000000000007E-2</v>
      </c>
      <c r="L104" s="22">
        <f t="shared" si="203"/>
        <v>9.0175344686373698E-2</v>
      </c>
      <c r="M104" s="492">
        <f t="shared" si="198"/>
        <v>-0.19086223451654855</v>
      </c>
      <c r="N104" s="492">
        <f t="shared" si="199"/>
        <v>0.26502857730128943</v>
      </c>
      <c r="P104" s="634">
        <f>VLOOKUP(B104,TwoStageCT!A$10:H$72,4,FALSE)/10000</f>
        <v>2.4131313466023584E-6</v>
      </c>
      <c r="Q104" s="58">
        <f>VLOOKUP($A104,'5 A data'!$A$5:$U$650,7,FALSE)*slidewire_res</f>
        <v>1E-3</v>
      </c>
      <c r="R104" s="347">
        <f t="shared" si="183"/>
        <v>-3.000000000000003E-4</v>
      </c>
      <c r="S104" s="4">
        <v>0</v>
      </c>
      <c r="T104" s="21">
        <f t="shared" si="200"/>
        <v>-3.5000000000000005E-3</v>
      </c>
      <c r="U104" s="29">
        <f t="shared" si="184"/>
        <v>-7.6344893806619418E-4</v>
      </c>
      <c r="V104" s="29">
        <f t="shared" si="185"/>
        <v>5.0000000000000001E-4</v>
      </c>
      <c r="W104" s="23">
        <f>VLOOKUP($D104,Uncertainties!$B$35:$D$41,2,FALSE)</f>
        <v>1.999999999999974E-3</v>
      </c>
      <c r="X104" s="23"/>
      <c r="Y104" s="24">
        <f t="shared" si="186"/>
        <v>-1.4811058631932765E-5</v>
      </c>
      <c r="Z104" s="23">
        <f t="shared" si="187"/>
        <v>4.2629894993648524E-3</v>
      </c>
      <c r="AA104" s="25">
        <f t="shared" si="188"/>
        <v>10.459711153559562</v>
      </c>
      <c r="AB104" s="26">
        <f t="shared" si="189"/>
        <v>2.2046179812501898</v>
      </c>
      <c r="AC104" s="14"/>
      <c r="AD104" s="635">
        <f>VLOOKUP(B104,TwoStageCT!A$10:H$72,7,FALSE)/10000</f>
        <v>1.6933288916776063E-6</v>
      </c>
      <c r="AE104" s="366">
        <f>IF(ABS(VLOOKUP($A104,'5 A data'!$A$5:$U$1148,6,FALSE))&lt;4.5,IF(ABS(VLOOKUP($A104,'5 A data'!$A$5:$U$1148,6,FALSE))&lt;1.25,0.0008,0.002),0.004)*VLOOKUP($A104,'5 A data'!$A$5:$U$1148,7,FALSE)*25*RADIANS(1/60)*100</f>
        <v>2.9088820866572159E-3</v>
      </c>
      <c r="AF104" s="23">
        <f t="shared" si="201"/>
        <v>1.1635528346628844E-3</v>
      </c>
      <c r="AG104" s="29">
        <f t="shared" si="190"/>
        <v>2.6502857730128945E-4</v>
      </c>
      <c r="AH104" s="4">
        <f t="shared" si="202"/>
        <v>4.5087672343186854E-3</v>
      </c>
      <c r="AI104" s="4">
        <f t="shared" si="191"/>
        <v>1.0601143092051578E-3</v>
      </c>
      <c r="AJ104" s="4">
        <f t="shared" si="192"/>
        <v>5.0000000000000001E-4</v>
      </c>
      <c r="AK104" s="21">
        <f>VLOOKUP($D104,Uncertainties!$B$35:$D$41,3,FALSE)</f>
        <v>-2.9088820866572385E-3</v>
      </c>
      <c r="AL104" s="21"/>
      <c r="AM104" s="369">
        <f>SQRT((VLOOKUP($A104,'5 A data'!$A$5:$U$1148,7,FALSE)*mutual_ind)^2+(aux_CT_phase*J104)^2)</f>
        <v>1.7024281228134814E-3</v>
      </c>
      <c r="AN104" s="29">
        <f t="shared" si="193"/>
        <v>6.5535008992556988E-3</v>
      </c>
      <c r="AO104" s="14">
        <f t="shared" si="194"/>
        <v>17.564962124681902</v>
      </c>
      <c r="AP104" s="27">
        <f t="shared" si="195"/>
        <v>2.1004793161197162</v>
      </c>
      <c r="AS104" s="27">
        <f>VLOOKUP($B104,TwoStageCT!$A$10:$H$72,5,FALSE)</f>
        <v>59.567261398457461</v>
      </c>
      <c r="AT104" s="27">
        <f>VLOOKUP($B104,TwoStageCT!$A$10:$H$72,8,FALSE)</f>
        <v>45.732629829898706</v>
      </c>
    </row>
    <row r="105" spans="1:46" ht="13.15" customHeight="1" x14ac:dyDescent="0.2">
      <c r="A105" s="68">
        <v>195</v>
      </c>
      <c r="B105" s="5" t="str">
        <f>B97&amp;D105</f>
        <v>120/200120</v>
      </c>
      <c r="C105" s="19">
        <f>VLOOKUP($A105,'5 A data'!$A$5:$U$650,3,FALSE)</f>
        <v>0.21600059637204713</v>
      </c>
      <c r="D105" s="164">
        <f>ROUND(VLOOKUP($A105,'5 A data'!$A$5:$U$650,9,FALSE)/10,0)*10</f>
        <v>120</v>
      </c>
      <c r="E105" s="23">
        <f t="shared" si="196"/>
        <v>0.99936709902044762</v>
      </c>
      <c r="F105" s="23">
        <f t="shared" si="197"/>
        <v>1.0011822386327505</v>
      </c>
      <c r="G105" s="486">
        <f>VLOOKUP(B105,TwoStageCT!A$10:H$72,3,FALSE)/10000</f>
        <v>1.5213305302217845E-5</v>
      </c>
      <c r="H105" s="486">
        <f>VLOOKUP(B105,TwoStageCT!A$10:H$72,6,FALSE)/10000</f>
        <v>7.5885012454326174E-6</v>
      </c>
      <c r="I105" s="19">
        <f>VLOOKUP($A105,'5 A data'!$A$5:$U$650,10,FALSE)</f>
        <v>-0.1895</v>
      </c>
      <c r="J105" s="32">
        <f>VLOOKUP($A105,'5 A data'!$A$5:$U$650,11,FALSE)</f>
        <v>0.25889050571249222</v>
      </c>
      <c r="K105" s="22">
        <f t="shared" si="203"/>
        <v>-7.0000000000000007E-2</v>
      </c>
      <c r="L105" s="22">
        <f t="shared" si="203"/>
        <v>8.726646259971646E-2</v>
      </c>
      <c r="M105" s="492">
        <f t="shared" si="198"/>
        <v>-0.1893648519590726</v>
      </c>
      <c r="N105" s="492">
        <f t="shared" si="199"/>
        <v>0.25920416457124329</v>
      </c>
      <c r="P105" s="634">
        <f>VLOOKUP(B105,TwoStageCT!A$10:H$72,4,FALSE)/10000</f>
        <v>2.2681305202526645E-6</v>
      </c>
      <c r="Q105" s="58">
        <f>VLOOKUP($A105,'5 A data'!$A$5:$U$650,7,FALSE)*slidewire_res</f>
        <v>1E-3</v>
      </c>
      <c r="R105" s="347">
        <f t="shared" si="183"/>
        <v>0</v>
      </c>
      <c r="S105" s="4">
        <v>0</v>
      </c>
      <c r="T105" s="21">
        <f t="shared" si="200"/>
        <v>-3.5000000000000005E-3</v>
      </c>
      <c r="U105" s="29">
        <f t="shared" si="184"/>
        <v>-7.5745940783629039E-4</v>
      </c>
      <c r="V105" s="29">
        <f t="shared" si="185"/>
        <v>5.0000000000000001E-4</v>
      </c>
      <c r="W105" s="23">
        <f>VLOOKUP($D105,Uncertainties!$B$35:$D$41,2,FALSE)</f>
        <v>-1.0000000000000009E-3</v>
      </c>
      <c r="X105" s="23"/>
      <c r="Y105" s="24">
        <f t="shared" si="186"/>
        <v>-1.4694741417545858E-5</v>
      </c>
      <c r="Z105" s="23">
        <f t="shared" si="187"/>
        <v>3.8825205516984829E-3</v>
      </c>
      <c r="AA105" s="25">
        <f t="shared" si="188"/>
        <v>7.4816656792673681</v>
      </c>
      <c r="AB105" s="26">
        <f t="shared" si="189"/>
        <v>2.3167409555261709</v>
      </c>
      <c r="AC105" s="14"/>
      <c r="AD105" s="635">
        <f>VLOOKUP(B105,TwoStageCT!A$10:H$72,7,FALSE)/10000</f>
        <v>1.7092397901526349E-6</v>
      </c>
      <c r="AE105" s="366">
        <f>IF(ABS(VLOOKUP($A105,'5 A data'!$A$5:$U$1148,6,FALSE))&lt;4.5,IF(ABS(VLOOKUP($A105,'5 A data'!$A$5:$U$1148,6,FALSE))&lt;1.25,0.0008,0.002),0.004)*VLOOKUP($A105,'5 A data'!$A$5:$U$1148,7,FALSE)*25*RADIANS(1/60)*100</f>
        <v>2.9088820866572159E-3</v>
      </c>
      <c r="AF105" s="23">
        <f t="shared" si="201"/>
        <v>0</v>
      </c>
      <c r="AG105" s="29">
        <f t="shared" si="190"/>
        <v>2.5920416457124332E-4</v>
      </c>
      <c r="AH105" s="4">
        <f t="shared" si="202"/>
        <v>4.363323129985823E-3</v>
      </c>
      <c r="AI105" s="4">
        <f t="shared" si="191"/>
        <v>1.0368166582849733E-3</v>
      </c>
      <c r="AJ105" s="4">
        <f t="shared" si="192"/>
        <v>5.0000000000000001E-4</v>
      </c>
      <c r="AK105" s="21">
        <f>VLOOKUP($D105,Uncertainties!$B$35:$D$41,3,FALSE)</f>
        <v>1.4544410433285915E-3</v>
      </c>
      <c r="AL105" s="21"/>
      <c r="AM105" s="369">
        <f>SQRT((VLOOKUP($A105,'5 A data'!$A$5:$U$1148,7,FALSE)*mutual_ind)^2+(aux_CT_phase*J105)^2)</f>
        <v>1.7023324490310322E-3</v>
      </c>
      <c r="AN105" s="29">
        <f t="shared" si="193"/>
        <v>5.8228598428621166E-3</v>
      </c>
      <c r="AO105" s="14">
        <f t="shared" si="194"/>
        <v>12.902979404331525</v>
      </c>
      <c r="AP105" s="27">
        <f t="shared" si="195"/>
        <v>2.1547873227884864</v>
      </c>
      <c r="AS105" s="27">
        <f>VLOOKUP($B105,TwoStageCT!$A$10:$H$72,5,FALSE)</f>
        <v>68.00069900375496</v>
      </c>
      <c r="AT105" s="27">
        <f>VLOOKUP($B105,TwoStageCT!$A$10:$H$72,8,FALSE)</f>
        <v>47.345132453902309</v>
      </c>
    </row>
    <row r="106" spans="1:46" ht="13.15" customHeight="1" x14ac:dyDescent="0.2">
      <c r="A106">
        <v>196</v>
      </c>
      <c r="B106" s="5"/>
      <c r="C106" s="19"/>
      <c r="D106" s="19"/>
      <c r="E106" s="23"/>
      <c r="F106" s="23"/>
      <c r="G106" s="347"/>
      <c r="H106" s="347"/>
      <c r="I106" s="19"/>
      <c r="J106" s="32"/>
      <c r="K106" s="31"/>
      <c r="L106" s="31"/>
      <c r="M106" s="638" t="s">
        <v>93</v>
      </c>
      <c r="N106" s="638"/>
      <c r="P106" s="634"/>
      <c r="Q106" s="58"/>
      <c r="R106" s="347"/>
      <c r="S106" s="4"/>
      <c r="T106" s="4"/>
      <c r="U106" s="29"/>
      <c r="V106" s="29"/>
      <c r="W106" s="29"/>
      <c r="X106" s="29"/>
      <c r="Y106" s="24"/>
      <c r="Z106" s="29"/>
      <c r="AA106" s="25"/>
      <c r="AB106" s="26"/>
      <c r="AC106" s="14"/>
      <c r="AD106" s="635"/>
      <c r="AE106" s="35"/>
      <c r="AF106" s="28"/>
      <c r="AG106" s="29"/>
      <c r="AH106" s="4"/>
      <c r="AI106" s="4"/>
      <c r="AJ106" s="4"/>
      <c r="AK106" s="4"/>
      <c r="AL106" s="4"/>
      <c r="AM106" s="24"/>
      <c r="AN106" s="29"/>
      <c r="AO106" s="14"/>
      <c r="AP106" s="27"/>
    </row>
    <row r="107" spans="1:46" ht="13.15" customHeight="1" x14ac:dyDescent="0.2">
      <c r="A107" s="68">
        <v>197</v>
      </c>
      <c r="B107" s="5" t="str">
        <f>B97&amp;D107</f>
        <v>120/2005</v>
      </c>
      <c r="C107" s="19">
        <f>VLOOKUP($A107,'5 A data'!$A$5:$U$650,3,FALSE)</f>
        <v>2.1000057980615688E-2</v>
      </c>
      <c r="D107" s="19">
        <f>ROUND(VLOOKUP($A107,'5 A data'!$A$5:$U$650,9,FALSE),0)</f>
        <v>5</v>
      </c>
      <c r="E107" s="23">
        <f t="shared" si="196"/>
        <v>0.99936709902044762</v>
      </c>
      <c r="F107" s="23">
        <f t="shared" si="197"/>
        <v>1.0011822386327505</v>
      </c>
      <c r="G107" s="486">
        <f>VLOOKUP(B107,TwoStageCT!A$10:H$72,3,FALSE)/10000</f>
        <v>3.6805932694608759E-5</v>
      </c>
      <c r="H107" s="486">
        <f>VLOOKUP(B107,TwoStageCT!A$10:H$72,6,FALSE)/10000</f>
        <v>4.6965346060309593E-6</v>
      </c>
      <c r="I107" s="19">
        <f>VLOOKUP($A107,'5 A data'!$A$5:$U$650,10,FALSE)</f>
        <v>-0.23200000000000001</v>
      </c>
      <c r="J107" s="32">
        <f>VLOOKUP($A107,'5 A data'!$A$5:$U$650,11,FALSE)</f>
        <v>0.39560796378538138</v>
      </c>
      <c r="K107" s="31"/>
      <c r="L107" s="31"/>
      <c r="M107" s="31">
        <f>I107*E107+G107</f>
        <v>-0.23181636104004924</v>
      </c>
      <c r="N107" s="31">
        <f>J107*F107+H107</f>
        <v>0.39608036333819824</v>
      </c>
      <c r="P107" s="634">
        <f>VLOOKUP(B107,TwoStageCT!A$10:H$72,4,FALSE)/10000</f>
        <v>6.4429594675743464E-6</v>
      </c>
      <c r="Q107" s="58">
        <f>VLOOKUP($A107,'5 A data'!$A$5:$U$650,7,FALSE)*slidewire_res</f>
        <v>1E-3</v>
      </c>
      <c r="R107" s="347">
        <f t="shared" ref="R107:R113" si="204">current_coef*(I107-I108)*IF(I108=0,0,1)</f>
        <v>-9.4000000000000038E-3</v>
      </c>
      <c r="S107" s="4">
        <v>0</v>
      </c>
      <c r="T107" s="4">
        <f>BurdenUnc*K99</f>
        <v>-4.7000000000000002E-3</v>
      </c>
      <c r="U107" s="29">
        <f t="shared" ref="U107:U113" si="205">0.004*M107</f>
        <v>-9.2726544416019694E-4</v>
      </c>
      <c r="V107" s="29">
        <f t="shared" si="185"/>
        <v>5.0000000000000001E-4</v>
      </c>
      <c r="W107" s="23">
        <f>VLOOKUP($D107,Uncertainties!$B$35:$D$41,2,FALSE)</f>
        <v>5.0000000000000044E-3</v>
      </c>
      <c r="X107" s="23"/>
      <c r="Y107" s="24">
        <f t="shared" ref="Y107:Y113" si="206">I107*aux_CT_ratio</f>
        <v>-1.7990395825174879E-5</v>
      </c>
      <c r="Z107" s="23">
        <f t="shared" ref="Z107:Z113" si="207">SQRT(SUMSQ(P107:Y107))</f>
        <v>1.172860547422422E-2</v>
      </c>
      <c r="AA107" s="25">
        <f t="shared" ref="AA107:AA113" si="208">DoF_A(P107:Y107,$P$7:$Y$7)</f>
        <v>11.069515843362034</v>
      </c>
      <c r="AB107" s="26">
        <f t="shared" ref="AB107:AB113" si="209">CoverFactor(AA107)</f>
        <v>2.1899084973402361</v>
      </c>
      <c r="AC107" s="14"/>
      <c r="AD107" s="635">
        <f>VLOOKUP(B107,TwoStageCT!A$10:H$72,7,FALSE)/10000</f>
        <v>4.6788986298833412E-6</v>
      </c>
      <c r="AE107" s="366">
        <f>IF(ABS(VLOOKUP($A107,'5 A data'!$A$5:$U$1148,6,FALSE))&lt;4.5,IF(ABS(VLOOKUP($A107,'5 A data'!$A$5:$U$1148,6,FALSE))&lt;1.25,0.0008,0.002),0.004)*VLOOKUP($A107,'5 A data'!$A$5:$U$1148,7,FALSE)*25*RADIANS(1/60)*100</f>
        <v>2.9088820866572159E-3</v>
      </c>
      <c r="AF107" s="23">
        <f t="shared" ref="AF107:AF113" si="210">current_coef*(J107-J108)*IF(J108=0,0,1)</f>
        <v>1.9780398189269077E-2</v>
      </c>
      <c r="AG107" s="29">
        <f t="shared" ref="AG107:AG113" si="211">0.001*N107</f>
        <v>3.9608036333819822E-4</v>
      </c>
      <c r="AH107" s="4">
        <f>BurdenUnc*L99</f>
        <v>6.981317007977314E-3</v>
      </c>
      <c r="AI107" s="4">
        <f t="shared" ref="AI107:AI113" si="212">0.004*N107</f>
        <v>1.5843214533527929E-3</v>
      </c>
      <c r="AJ107" s="4">
        <f t="shared" si="192"/>
        <v>5.0000000000000001E-4</v>
      </c>
      <c r="AK107" s="21">
        <f>VLOOKUP($D107,Uncertainties!$B$35:$D$41,3,FALSE)</f>
        <v>-1.1635528346628732E-2</v>
      </c>
      <c r="AL107" s="21"/>
      <c r="AM107" s="369">
        <f>SQRT((VLOOKUP($A107,'5 A data'!$A$5:$U$1148,7,FALSE)*mutual_ind)^2+(aux_CT_phase*J107)^2)</f>
        <v>1.7051406291681245E-3</v>
      </c>
      <c r="AN107" s="29">
        <f t="shared" ref="AN107:AN113" si="213">SQRT(SUMSQ(AD107:AM107))</f>
        <v>2.4283215091299111E-2</v>
      </c>
      <c r="AO107" s="14">
        <f t="shared" ref="AO107:AO113" si="214">DoF_A(AD107:AM107,$AD$7:$AM$7)</f>
        <v>10.673913509616282</v>
      </c>
      <c r="AP107" s="27">
        <f t="shared" ref="AP107:AP113" si="215">CoverFactor(AO107)</f>
        <v>2.1992386436139277</v>
      </c>
      <c r="AS107" s="27">
        <f>VLOOKUP($B107,TwoStageCT!$A$10:$H$72,5,FALSE)</f>
        <v>26.31606241070681</v>
      </c>
      <c r="AT107" s="27">
        <f>VLOOKUP($B107,TwoStageCT!$A$10:$H$72,8,FALSE)</f>
        <v>9.9413455012810044</v>
      </c>
    </row>
    <row r="108" spans="1:46" ht="13.15" customHeight="1" x14ac:dyDescent="0.2">
      <c r="A108">
        <v>198</v>
      </c>
      <c r="B108" s="5" t="str">
        <f>B97&amp;D108</f>
        <v>120/20010</v>
      </c>
      <c r="C108" s="19">
        <f>VLOOKUP($A108,'5 A data'!$A$5:$U$650,3,FALSE)</f>
        <v>2.1000057980615688E-2</v>
      </c>
      <c r="D108" s="163">
        <f>ROUND(VLOOKUP($A108,'5 A data'!$A$5:$U$650,9,FALSE)/10,0)*10</f>
        <v>10</v>
      </c>
      <c r="E108" s="23">
        <f t="shared" si="196"/>
        <v>0.99936709902044762</v>
      </c>
      <c r="F108" s="23">
        <f t="shared" si="197"/>
        <v>1.0011822386327505</v>
      </c>
      <c r="G108" s="486">
        <f>VLOOKUP(B108,TwoStageCT!A$10:H$72,3,FALSE)/10000</f>
        <v>3.4690340839935311E-5</v>
      </c>
      <c r="H108" s="486">
        <f>VLOOKUP(B108,TwoStageCT!A$10:H$72,6,FALSE)/10000</f>
        <v>2.6036797087866982E-6</v>
      </c>
      <c r="I108" s="19">
        <f>VLOOKUP($A108,'5 A data'!$A$5:$U$650,10,FALSE)</f>
        <v>-0.185</v>
      </c>
      <c r="J108" s="32">
        <f>VLOOKUP($A108,'5 A data'!$A$5:$U$650,11,FALSE)</f>
        <v>0.29670597283903599</v>
      </c>
      <c r="K108" s="31"/>
      <c r="L108" s="31"/>
      <c r="M108" s="31">
        <f t="shared" ref="M108:M113" si="216">I108*E108+G108</f>
        <v>-0.18484822297794287</v>
      </c>
      <c r="N108" s="31">
        <f t="shared" ref="N108:N113" si="217">J108*F108+H108</f>
        <v>0.29705935378240289</v>
      </c>
      <c r="P108" s="634">
        <f>VLOOKUP(B108,TwoStageCT!A$10:H$72,4,FALSE)/10000</f>
        <v>5.0170517941146892E-6</v>
      </c>
      <c r="Q108" s="58">
        <f>VLOOKUP($A108,'5 A data'!$A$5:$U$650,7,FALSE)*slidewire_res</f>
        <v>1E-3</v>
      </c>
      <c r="R108" s="347">
        <f t="shared" si="204"/>
        <v>-5.5999999999999999E-3</v>
      </c>
      <c r="S108" s="4">
        <v>0</v>
      </c>
      <c r="T108" s="4">
        <f t="shared" ref="T108:T113" si="218">BurdenUnc*K100</f>
        <v>-4.4000000000000011E-3</v>
      </c>
      <c r="U108" s="29">
        <f t="shared" si="205"/>
        <v>-7.393928919117715E-4</v>
      </c>
      <c r="V108" s="29">
        <f t="shared" si="185"/>
        <v>5.0000000000000001E-4</v>
      </c>
      <c r="W108" s="23">
        <f>VLOOKUP($D108,Uncertainties!$B$35:$D$41,2,FALSE)</f>
        <v>2.5000000000000022E-3</v>
      </c>
      <c r="X108" s="23"/>
      <c r="Y108" s="24">
        <f t="shared" si="206"/>
        <v>-1.4345789774385138E-5</v>
      </c>
      <c r="Z108" s="23">
        <f t="shared" si="207"/>
        <v>7.6659593542558408E-3</v>
      </c>
      <c r="AA108" s="25">
        <f t="shared" si="208"/>
        <v>12.556129741505718</v>
      </c>
      <c r="AB108" s="26">
        <f t="shared" si="209"/>
        <v>2.1605754232517222</v>
      </c>
      <c r="AC108" s="14"/>
      <c r="AD108" s="635">
        <f>VLOOKUP(B108,TwoStageCT!A$10:H$72,7,FALSE)/10000</f>
        <v>2.600738521505678E-6</v>
      </c>
      <c r="AE108" s="366">
        <f>IF(ABS(VLOOKUP($A108,'5 A data'!$A$5:$U$1148,6,FALSE))&lt;4.5,IF(ABS(VLOOKUP($A108,'5 A data'!$A$5:$U$1148,6,FALSE))&lt;1.25,0.0008,0.002),0.004)*VLOOKUP($A108,'5 A data'!$A$5:$U$1148,7,FALSE)*25*RADIANS(1/60)*100</f>
        <v>2.9088820866572159E-3</v>
      </c>
      <c r="AF108" s="23">
        <f t="shared" si="210"/>
        <v>1.1053751929297412E-2</v>
      </c>
      <c r="AG108" s="29">
        <f t="shared" si="211"/>
        <v>2.9705935378240291E-4</v>
      </c>
      <c r="AH108" s="4">
        <f t="shared" ref="AH108:AH113" si="219">BurdenUnc*L100</f>
        <v>6.3995405906458747E-3</v>
      </c>
      <c r="AI108" s="4">
        <f t="shared" si="212"/>
        <v>1.1882374151296116E-3</v>
      </c>
      <c r="AJ108" s="4">
        <f t="shared" si="192"/>
        <v>5.0000000000000001E-4</v>
      </c>
      <c r="AK108" s="21">
        <f>VLOOKUP($D108,Uncertainties!$B$35:$D$41,3,FALSE)</f>
        <v>4.363323129985941E-3</v>
      </c>
      <c r="AL108" s="21"/>
      <c r="AM108" s="369">
        <f>SQRT((VLOOKUP($A108,'5 A data'!$A$5:$U$1148,7,FALSE)*mutual_ind)^2+(aux_CT_phase*J108)^2)</f>
        <v>1.7029922230581589E-3</v>
      </c>
      <c r="AN108" s="29">
        <f t="shared" si="213"/>
        <v>1.3974622603367038E-2</v>
      </c>
      <c r="AO108" s="14">
        <f t="shared" si="214"/>
        <v>11.328016278532681</v>
      </c>
      <c r="AP108" s="27">
        <f t="shared" si="215"/>
        <v>2.184199638243479</v>
      </c>
      <c r="AS108" s="27">
        <f>VLOOKUP($B108,TwoStageCT!$A$10:$H$72,5,FALSE)</f>
        <v>38.265350164989712</v>
      </c>
      <c r="AT108" s="27">
        <f>VLOOKUP($B108,TwoStageCT!$A$10:$H$72,8,FALSE)</f>
        <v>16.586629386739094</v>
      </c>
    </row>
    <row r="109" spans="1:46" ht="13.15" customHeight="1" x14ac:dyDescent="0.2">
      <c r="A109" s="68">
        <v>199</v>
      </c>
      <c r="B109" s="5" t="str">
        <f>B97&amp;D109</f>
        <v>120/20020</v>
      </c>
      <c r="C109" s="19">
        <f>VLOOKUP($A109,'5 A data'!$A$5:$U$650,3,FALSE)</f>
        <v>2.1000057980615688E-2</v>
      </c>
      <c r="D109" s="163">
        <f>ROUND(VLOOKUP($A109,'5 A data'!$A$5:$U$650,9,FALSE)/10,0)*10</f>
        <v>20</v>
      </c>
      <c r="E109" s="23">
        <f t="shared" si="196"/>
        <v>0.99936709902044762</v>
      </c>
      <c r="F109" s="23">
        <f t="shared" si="197"/>
        <v>1.0011822386327505</v>
      </c>
      <c r="G109" s="486">
        <f>VLOOKUP(B109,TwoStageCT!A$10:H$72,3,FALSE)/10000</f>
        <v>3.1280516301103777E-5</v>
      </c>
      <c r="H109" s="486">
        <f>VLOOKUP(B109,TwoStageCT!A$10:H$72,6,FALSE)/10000</f>
        <v>4.5493238991726806E-6</v>
      </c>
      <c r="I109" s="19">
        <f>VLOOKUP($A109,'5 A data'!$A$5:$U$650,10,FALSE)</f>
        <v>-0.157</v>
      </c>
      <c r="J109" s="32">
        <f>VLOOKUP($A109,'5 A data'!$A$5:$U$650,11,FALSE)</f>
        <v>0.24143721319254893</v>
      </c>
      <c r="K109" s="31"/>
      <c r="L109" s="31"/>
      <c r="M109" s="31">
        <f t="shared" si="216"/>
        <v>-0.15686935402990917</v>
      </c>
      <c r="N109" s="31">
        <f t="shared" si="217"/>
        <v>0.24172719891726796</v>
      </c>
      <c r="P109" s="634">
        <f>VLOOKUP(B109,TwoStageCT!A$10:H$72,4,FALSE)/10000</f>
        <v>4.17832023036102E-6</v>
      </c>
      <c r="Q109" s="58">
        <f>VLOOKUP($A109,'5 A data'!$A$5:$U$650,7,FALSE)*slidewire_res</f>
        <v>1E-3</v>
      </c>
      <c r="R109" s="347">
        <f t="shared" si="204"/>
        <v>-3.7999999999999978E-3</v>
      </c>
      <c r="S109" s="4">
        <v>0</v>
      </c>
      <c r="T109" s="4">
        <f t="shared" si="218"/>
        <v>-4.15E-3</v>
      </c>
      <c r="U109" s="29">
        <f t="shared" si="205"/>
        <v>-6.2747741611963667E-4</v>
      </c>
      <c r="V109" s="29">
        <f t="shared" si="185"/>
        <v>5.0000000000000001E-4</v>
      </c>
      <c r="W109" s="23">
        <f>VLOOKUP($D109,Uncertainties!$B$35:$D$41,2,FALSE)</f>
        <v>-1.0000000000000009E-3</v>
      </c>
      <c r="X109" s="23"/>
      <c r="Y109" s="24">
        <f t="shared" si="206"/>
        <v>-1.2174535105829549E-5</v>
      </c>
      <c r="Z109" s="23">
        <f t="shared" si="207"/>
        <v>5.8571660028895502E-3</v>
      </c>
      <c r="AA109" s="25">
        <f t="shared" si="208"/>
        <v>11.61261761277799</v>
      </c>
      <c r="AB109" s="26">
        <f t="shared" si="209"/>
        <v>2.1782371186030947</v>
      </c>
      <c r="AC109" s="14"/>
      <c r="AD109" s="635">
        <f>VLOOKUP(B109,TwoStageCT!A$10:H$72,7,FALSE)/10000</f>
        <v>1.9770475075939077E-6</v>
      </c>
      <c r="AE109" s="366">
        <f>IF(ABS(VLOOKUP($A109,'5 A data'!$A$5:$U$1148,6,FALSE))&lt;4.5,IF(ABS(VLOOKUP($A109,'5 A data'!$A$5:$U$1148,6,FALSE))&lt;1.25,0.0008,0.002),0.004)*VLOOKUP($A109,'5 A data'!$A$5:$U$1148,7,FALSE)*25*RADIANS(1/60)*100</f>
        <v>2.9088820866572159E-3</v>
      </c>
      <c r="AF109" s="23">
        <f t="shared" si="210"/>
        <v>7.2722052166430467E-3</v>
      </c>
      <c r="AG109" s="29">
        <f t="shared" si="211"/>
        <v>2.4172719891726798E-4</v>
      </c>
      <c r="AH109" s="4">
        <f t="shared" si="219"/>
        <v>5.9632082776472934E-3</v>
      </c>
      <c r="AI109" s="4">
        <f t="shared" si="212"/>
        <v>9.6690879566907191E-4</v>
      </c>
      <c r="AJ109" s="4">
        <f t="shared" si="192"/>
        <v>5.0000000000000001E-4</v>
      </c>
      <c r="AK109" s="21">
        <f>VLOOKUP($D109,Uncertainties!$B$35:$D$41,3,FALSE)</f>
        <v>-1.454441043328647E-3</v>
      </c>
      <c r="AL109" s="21"/>
      <c r="AM109" s="369">
        <f>SQRT((VLOOKUP($A109,'5 A data'!$A$5:$U$1148,7,FALSE)*mutual_ind)^2+(aux_CT_phase*J109)^2)</f>
        <v>1.7020581543825786E-3</v>
      </c>
      <c r="AN109" s="29">
        <f t="shared" si="213"/>
        <v>1.0156877765613869E-2</v>
      </c>
      <c r="AO109" s="14">
        <f t="shared" si="214"/>
        <v>12.840635795548195</v>
      </c>
      <c r="AP109" s="27">
        <f t="shared" si="215"/>
        <v>2.1558026859399315</v>
      </c>
      <c r="AS109" s="27">
        <f>VLOOKUP($B109,TwoStageCT!$A$10:$H$72,5,FALSE)</f>
        <v>36.657700403051521</v>
      </c>
      <c r="AT109" s="27">
        <f>VLOOKUP($B109,TwoStageCT!$A$10:$H$72,8,FALSE)</f>
        <v>53.09445811850042</v>
      </c>
    </row>
    <row r="110" spans="1:46" ht="13.15" customHeight="1" x14ac:dyDescent="0.2">
      <c r="A110">
        <v>200</v>
      </c>
      <c r="B110" s="5" t="str">
        <f>B97&amp;D110</f>
        <v>120/20040</v>
      </c>
      <c r="C110" s="19">
        <f>VLOOKUP($A110,'5 A data'!$A$5:$U$650,3,FALSE)</f>
        <v>2.1000057980615688E-2</v>
      </c>
      <c r="D110" s="163">
        <f>ROUND(VLOOKUP($A110,'5 A data'!$A$5:$U$650,9,FALSE)/10,0)*10</f>
        <v>40</v>
      </c>
      <c r="E110" s="23">
        <f t="shared" si="196"/>
        <v>0.99936709902044762</v>
      </c>
      <c r="F110" s="23">
        <f t="shared" si="197"/>
        <v>1.0011822386327505</v>
      </c>
      <c r="G110" s="486">
        <f>VLOOKUP(B110,TwoStageCT!A$10:H$72,3,FALSE)/10000</f>
        <v>2.5200167333853628E-5</v>
      </c>
      <c r="H110" s="486">
        <f>VLOOKUP(B110,TwoStageCT!A$10:H$72,6,FALSE)/10000</f>
        <v>5.7416420558101514E-6</v>
      </c>
      <c r="I110" s="19">
        <f>VLOOKUP($A110,'5 A data'!$A$5:$U$650,10,FALSE)</f>
        <v>-0.13800000000000001</v>
      </c>
      <c r="J110" s="32">
        <f>VLOOKUP($A110,'5 A data'!$A$5:$U$650,11,FALSE)</f>
        <v>0.2050761871093337</v>
      </c>
      <c r="K110" s="31"/>
      <c r="L110" s="31"/>
      <c r="M110" s="31">
        <f t="shared" si="216"/>
        <v>-0.13788745949748793</v>
      </c>
      <c r="N110" s="31">
        <f t="shared" si="217"/>
        <v>0.20532437774244733</v>
      </c>
      <c r="P110" s="634">
        <f>VLOOKUP(B110,TwoStageCT!A$10:H$72,4,FALSE)/10000</f>
        <v>3.3964590328801363E-6</v>
      </c>
      <c r="Q110" s="58">
        <f>VLOOKUP($A110,'5 A data'!$A$5:$U$650,7,FALSE)*slidewire_res</f>
        <v>1E-3</v>
      </c>
      <c r="R110" s="347">
        <f t="shared" si="204"/>
        <v>-1.6000000000000016E-3</v>
      </c>
      <c r="S110" s="4">
        <v>0</v>
      </c>
      <c r="T110" s="4">
        <f t="shared" si="218"/>
        <v>-3.9499999999999995E-3</v>
      </c>
      <c r="U110" s="29">
        <f t="shared" si="205"/>
        <v>-5.5154983798995176E-4</v>
      </c>
      <c r="V110" s="29">
        <f t="shared" si="185"/>
        <v>5.0000000000000001E-4</v>
      </c>
      <c r="W110" s="23">
        <f>VLOOKUP($D110,Uncertainties!$B$35:$D$41,2,FALSE)</f>
        <v>-1.0000000000000009E-3</v>
      </c>
      <c r="X110" s="23"/>
      <c r="Y110" s="24">
        <f t="shared" si="206"/>
        <v>-1.0701183723595402E-5</v>
      </c>
      <c r="Z110" s="23">
        <f t="shared" si="207"/>
        <v>4.5515748126394445E-3</v>
      </c>
      <c r="AA110" s="25">
        <f t="shared" si="208"/>
        <v>8.5309660027289667</v>
      </c>
      <c r="AB110" s="26">
        <f t="shared" si="209"/>
        <v>2.2669768075105834</v>
      </c>
      <c r="AC110" s="14"/>
      <c r="AD110" s="635">
        <f>VLOOKUP(B110,TwoStageCT!A$10:H$72,7,FALSE)/10000</f>
        <v>1.6849048737447556E-6</v>
      </c>
      <c r="AE110" s="366">
        <f>IF(ABS(VLOOKUP($A110,'5 A data'!$A$5:$U$1148,6,FALSE))&lt;4.5,IF(ABS(VLOOKUP($A110,'5 A data'!$A$5:$U$1148,6,FALSE))&lt;1.25,0.0008,0.002),0.004)*VLOOKUP($A110,'5 A data'!$A$5:$U$1148,7,FALSE)*25*RADIANS(1/60)*100</f>
        <v>2.9088820866572159E-3</v>
      </c>
      <c r="AF110" s="23">
        <f t="shared" si="210"/>
        <v>2.9088820866572107E-3</v>
      </c>
      <c r="AG110" s="29">
        <f t="shared" si="211"/>
        <v>2.0532437774244732E-4</v>
      </c>
      <c r="AH110" s="4">
        <f t="shared" si="219"/>
        <v>5.3087098081494189E-3</v>
      </c>
      <c r="AI110" s="4">
        <f t="shared" si="212"/>
        <v>8.2129751096978929E-4</v>
      </c>
      <c r="AJ110" s="4">
        <f t="shared" si="192"/>
        <v>5.0000000000000001E-4</v>
      </c>
      <c r="AK110" s="21">
        <f>VLOOKUP($D110,Uncertainties!$B$35:$D$41,3,FALSE)</f>
        <v>-2.908882086657183E-3</v>
      </c>
      <c r="AL110" s="21"/>
      <c r="AM110" s="369">
        <f>SQRT((VLOOKUP($A110,'5 A data'!$A$5:$U$1148,7,FALSE)*mutual_ind)^2+(aux_CT_phase*J110)^2)</f>
        <v>1.7015480534634398E-3</v>
      </c>
      <c r="AN110" s="29">
        <f t="shared" si="213"/>
        <v>7.5782017080662008E-3</v>
      </c>
      <c r="AO110" s="14">
        <f t="shared" si="214"/>
        <v>16.913606393171001</v>
      </c>
      <c r="AP110" s="27">
        <f t="shared" si="215"/>
        <v>2.1061611430584235</v>
      </c>
      <c r="AS110" s="27">
        <f>VLOOKUP($B110,TwoStageCT!$A$10:$H$72,5,FALSE)</f>
        <v>38.659909732018328</v>
      </c>
      <c r="AT110" s="27">
        <f>VLOOKUP($B110,TwoStageCT!$A$10:$H$72,8,FALSE)</f>
        <v>52.499330597885681</v>
      </c>
    </row>
    <row r="111" spans="1:46" ht="13.15" customHeight="1" x14ac:dyDescent="0.2">
      <c r="A111" s="68">
        <v>201</v>
      </c>
      <c r="B111" s="5" t="str">
        <f>B97&amp;D111</f>
        <v>120/20060</v>
      </c>
      <c r="C111" s="19">
        <f>VLOOKUP($A111,'5 A data'!$A$5:$U$650,3,FALSE)</f>
        <v>2.1000057980615688E-2</v>
      </c>
      <c r="D111" s="163">
        <f>ROUND(VLOOKUP($A111,'5 A data'!$A$5:$U$650,9,FALSE)/10,0)*10</f>
        <v>60</v>
      </c>
      <c r="E111" s="23">
        <f t="shared" si="196"/>
        <v>0.99936709902044762</v>
      </c>
      <c r="F111" s="23">
        <f t="shared" si="197"/>
        <v>1.0011822386327505</v>
      </c>
      <c r="G111" s="486">
        <f>VLOOKUP(B111,TwoStageCT!A$10:H$72,3,FALSE)/10000</f>
        <v>2.195627602528684E-5</v>
      </c>
      <c r="H111" s="486">
        <f>VLOOKUP(B111,TwoStageCT!A$10:H$72,6,FALSE)/10000</f>
        <v>5.5507836163637805E-6</v>
      </c>
      <c r="I111" s="19">
        <f>VLOOKUP($A111,'5 A data'!$A$5:$U$650,10,FALSE)</f>
        <v>-0.13</v>
      </c>
      <c r="J111" s="32">
        <f>VLOOKUP($A111,'5 A data'!$A$5:$U$650,11,FALSE)</f>
        <v>0.19053177667604765</v>
      </c>
      <c r="K111" s="31"/>
      <c r="L111" s="31"/>
      <c r="M111" s="31">
        <f t="shared" si="216"/>
        <v>-0.12989576659663293</v>
      </c>
      <c r="N111" s="31">
        <f t="shared" si="217"/>
        <v>0.19076258148681702</v>
      </c>
      <c r="P111" s="634">
        <f>VLOOKUP(B111,TwoStageCT!A$10:H$72,4,FALSE)/10000</f>
        <v>2.9709098248278708E-6</v>
      </c>
      <c r="Q111" s="58">
        <f>VLOOKUP($A111,'5 A data'!$A$5:$U$650,7,FALSE)*slidewire_res</f>
        <v>1E-3</v>
      </c>
      <c r="R111" s="347">
        <f t="shared" si="204"/>
        <v>-1.8000000000000017E-3</v>
      </c>
      <c r="S111" s="4">
        <v>0</v>
      </c>
      <c r="T111" s="4">
        <f t="shared" si="218"/>
        <v>-3.6999999999999993E-3</v>
      </c>
      <c r="U111" s="29">
        <f t="shared" si="205"/>
        <v>-5.1958306638653169E-4</v>
      </c>
      <c r="V111" s="29">
        <f t="shared" si="185"/>
        <v>5.0000000000000001E-4</v>
      </c>
      <c r="W111" s="23">
        <f>VLOOKUP($D111,Uncertainties!$B$35:$D$41,2,FALSE)</f>
        <v>-1.0000000000000009E-3</v>
      </c>
      <c r="X111" s="23"/>
      <c r="Y111" s="24">
        <f t="shared" si="206"/>
        <v>-1.0080825246865232E-5</v>
      </c>
      <c r="Z111" s="23">
        <f t="shared" si="207"/>
        <v>4.4102241453489047E-3</v>
      </c>
      <c r="AA111" s="25">
        <f t="shared" si="208"/>
        <v>9.4837612706033969</v>
      </c>
      <c r="AB111" s="26">
        <f t="shared" si="209"/>
        <v>2.2325923745689442</v>
      </c>
      <c r="AC111" s="14"/>
      <c r="AD111" s="635">
        <f>VLOOKUP(B111,TwoStageCT!A$10:H$72,7,FALSE)/10000</f>
        <v>1.6017059195029239E-6</v>
      </c>
      <c r="AE111" s="366">
        <f>IF(ABS(VLOOKUP($A111,'5 A data'!$A$5:$U$1148,6,FALSE))&lt;4.5,IF(ABS(VLOOKUP($A111,'5 A data'!$A$5:$U$1148,6,FALSE))&lt;1.25,0.0008,0.002),0.004)*VLOOKUP($A111,'5 A data'!$A$5:$U$1148,7,FALSE)*25*RADIANS(1/60)*100</f>
        <v>2.9088820866572159E-3</v>
      </c>
      <c r="AF111" s="23">
        <f t="shared" si="210"/>
        <v>3.1997702953229404E-3</v>
      </c>
      <c r="AG111" s="29">
        <f t="shared" si="211"/>
        <v>1.9076258148681703E-4</v>
      </c>
      <c r="AH111" s="4">
        <f t="shared" si="219"/>
        <v>5.0178215994836966E-3</v>
      </c>
      <c r="AI111" s="4">
        <f t="shared" si="212"/>
        <v>7.6305032594726813E-4</v>
      </c>
      <c r="AJ111" s="4">
        <f t="shared" si="192"/>
        <v>5.0000000000000001E-4</v>
      </c>
      <c r="AK111" s="21">
        <f>VLOOKUP($D111,Uncertainties!$B$35:$D$41,3,FALSE)</f>
        <v>-2.908882086657183E-3</v>
      </c>
      <c r="AL111" s="21"/>
      <c r="AM111" s="369">
        <f>SQRT((VLOOKUP($A111,'5 A data'!$A$5:$U$1148,7,FALSE)*mutual_ind)^2+(aux_CT_phase*J111)^2)</f>
        <v>1.7013672383223266E-3</v>
      </c>
      <c r="AN111" s="29">
        <f t="shared" si="213"/>
        <v>7.4902298190875688E-3</v>
      </c>
      <c r="AO111" s="14">
        <f t="shared" si="214"/>
        <v>18.563255255342831</v>
      </c>
      <c r="AP111" s="27">
        <f t="shared" si="215"/>
        <v>2.0925848787009049</v>
      </c>
      <c r="AS111" s="27">
        <f>VLOOKUP($B111,TwoStageCT!$A$10:$H$72,5,FALSE)</f>
        <v>42.291164682130272</v>
      </c>
      <c r="AT111" s="27">
        <f>VLOOKUP($B111,TwoStageCT!$A$10:$H$72,8,FALSE)</f>
        <v>48.978667479860043</v>
      </c>
    </row>
    <row r="112" spans="1:46" ht="13.15" customHeight="1" x14ac:dyDescent="0.2">
      <c r="A112">
        <v>202</v>
      </c>
      <c r="B112" s="5" t="str">
        <f>B97&amp;D112</f>
        <v>120/200100</v>
      </c>
      <c r="C112" s="19">
        <f>VLOOKUP($A112,'5 A data'!$A$5:$U$650,3,FALSE)</f>
        <v>2.1000057980615688E-2</v>
      </c>
      <c r="D112" s="164">
        <f>ROUND(VLOOKUP($A112,'5 A data'!$A$5:$U$650,9,FALSE)/10,0)*10</f>
        <v>100</v>
      </c>
      <c r="E112" s="23">
        <f t="shared" si="196"/>
        <v>0.99936709902044762</v>
      </c>
      <c r="F112" s="23">
        <f t="shared" si="197"/>
        <v>1.0011822386327505</v>
      </c>
      <c r="G112" s="486">
        <f>VLOOKUP(B112,TwoStageCT!A$10:H$72,3,FALSE)/10000</f>
        <v>1.6881396356939836E-5</v>
      </c>
      <c r="H112" s="486">
        <f>VLOOKUP(B112,TwoStageCT!A$10:H$72,6,FALSE)/10000</f>
        <v>7.3590724152435355E-6</v>
      </c>
      <c r="I112" s="19">
        <f>VLOOKUP($A112,'5 A data'!$A$5:$U$650,10,FALSE)</f>
        <v>-0.121</v>
      </c>
      <c r="J112" s="32">
        <f>VLOOKUP($A112,'5 A data'!$A$5:$U$650,11,FALSE)</f>
        <v>0.17453292519943295</v>
      </c>
      <c r="K112" s="31"/>
      <c r="L112" s="31"/>
      <c r="M112" s="31">
        <f t="shared" si="216"/>
        <v>-0.12090653758511721</v>
      </c>
      <c r="N112" s="31">
        <f t="shared" si="217"/>
        <v>0.17474662383870593</v>
      </c>
      <c r="P112" s="634">
        <f>VLOOKUP(B112,TwoStageCT!A$10:H$72,4,FALSE)/10000</f>
        <v>2.4131313466023584E-6</v>
      </c>
      <c r="Q112" s="58">
        <f>VLOOKUP($A112,'5 A data'!$A$5:$U$650,7,FALSE)*slidewire_res</f>
        <v>1E-3</v>
      </c>
      <c r="R112" s="347">
        <f t="shared" si="204"/>
        <v>-3.000000000000003E-4</v>
      </c>
      <c r="S112" s="4">
        <v>0</v>
      </c>
      <c r="T112" s="4">
        <f t="shared" si="218"/>
        <v>-3.5000000000000005E-3</v>
      </c>
      <c r="U112" s="29">
        <f t="shared" si="205"/>
        <v>-4.8362615034046888E-4</v>
      </c>
      <c r="V112" s="29">
        <f t="shared" si="185"/>
        <v>5.0000000000000001E-4</v>
      </c>
      <c r="W112" s="23">
        <f>VLOOKUP($D112,Uncertainties!$B$35:$D$41,2,FALSE)</f>
        <v>1.999999999999974E-3</v>
      </c>
      <c r="X112" s="23"/>
      <c r="Y112" s="24">
        <f t="shared" si="206"/>
        <v>-9.3829219605437922E-6</v>
      </c>
      <c r="Z112" s="23">
        <f t="shared" si="207"/>
        <v>4.2218465291529077E-3</v>
      </c>
      <c r="AA112" s="25">
        <f t="shared" si="208"/>
        <v>10.079921770150133</v>
      </c>
      <c r="AB112" s="26">
        <f t="shared" si="209"/>
        <v>2.2147838504190358</v>
      </c>
      <c r="AC112" s="14"/>
      <c r="AD112" s="635">
        <f>VLOOKUP(B112,TwoStageCT!A$10:H$72,7,FALSE)/10000</f>
        <v>1.6933288916776063E-6</v>
      </c>
      <c r="AE112" s="366">
        <f>IF(ABS(VLOOKUP($A112,'5 A data'!$A$5:$U$1148,6,FALSE))&lt;4.5,IF(ABS(VLOOKUP($A112,'5 A data'!$A$5:$U$1148,6,FALSE))&lt;1.25,0.0008,0.002),0.004)*VLOOKUP($A112,'5 A data'!$A$5:$U$1148,7,FALSE)*25*RADIANS(1/60)*100</f>
        <v>2.9088820866572159E-3</v>
      </c>
      <c r="AF112" s="23">
        <f t="shared" si="210"/>
        <v>5.8177641733143666E-4</v>
      </c>
      <c r="AG112" s="29">
        <f t="shared" si="211"/>
        <v>1.7474662383870594E-4</v>
      </c>
      <c r="AH112" s="4">
        <f t="shared" si="219"/>
        <v>4.5087672343186854E-3</v>
      </c>
      <c r="AI112" s="4">
        <f t="shared" si="212"/>
        <v>6.9898649535482375E-4</v>
      </c>
      <c r="AJ112" s="4">
        <f t="shared" si="192"/>
        <v>5.0000000000000001E-4</v>
      </c>
      <c r="AK112" s="21">
        <f>VLOOKUP($D112,Uncertainties!$B$35:$D$41,3,FALSE)</f>
        <v>-2.9088820866572385E-3</v>
      </c>
      <c r="AL112" s="21"/>
      <c r="AM112" s="369">
        <f>SQRT((VLOOKUP($A112,'5 A data'!$A$5:$U$1148,7,FALSE)*mutual_ind)^2+(aux_CT_phase*J112)^2)</f>
        <v>1.7011836780036968E-3</v>
      </c>
      <c r="AN112" s="29">
        <f t="shared" si="213"/>
        <v>6.4229107916955958E-3</v>
      </c>
      <c r="AO112" s="14">
        <f t="shared" si="214"/>
        <v>16.292191861860633</v>
      </c>
      <c r="AP112" s="27">
        <f t="shared" si="215"/>
        <v>2.1120306630137144</v>
      </c>
      <c r="AS112" s="27">
        <f>VLOOKUP($B112,TwoStageCT!$A$10:$H$72,5,FALSE)</f>
        <v>59.567261398457461</v>
      </c>
      <c r="AT112" s="27">
        <f>VLOOKUP($B112,TwoStageCT!$A$10:$H$72,8,FALSE)</f>
        <v>45.732629829898706</v>
      </c>
    </row>
    <row r="113" spans="1:46" ht="13.15" customHeight="1" x14ac:dyDescent="0.2">
      <c r="A113" s="68">
        <v>203</v>
      </c>
      <c r="B113" s="5" t="str">
        <f>B97&amp;D113</f>
        <v>120/200120</v>
      </c>
      <c r="C113" s="19">
        <f>VLOOKUP($A113,'5 A data'!$A$5:$U$650,3,FALSE)</f>
        <v>2.1000057980615688E-2</v>
      </c>
      <c r="D113" s="164">
        <f>ROUND(VLOOKUP($A113,'5 A data'!$A$5:$U$650,9,FALSE)/10,0)*10</f>
        <v>120</v>
      </c>
      <c r="E113" s="23">
        <f t="shared" si="196"/>
        <v>0.99936709902044762</v>
      </c>
      <c r="F113" s="23">
        <f t="shared" si="197"/>
        <v>1.0011822386327505</v>
      </c>
      <c r="G113" s="486">
        <f>VLOOKUP(B113,TwoStageCT!A$10:H$72,3,FALSE)/10000</f>
        <v>1.5213305302217845E-5</v>
      </c>
      <c r="H113" s="486">
        <f>VLOOKUP(B113,TwoStageCT!A$10:H$72,6,FALSE)/10000</f>
        <v>7.5885012454326174E-6</v>
      </c>
      <c r="I113" s="19">
        <f>VLOOKUP($A113,'5 A data'!$A$5:$U$650,10,FALSE)</f>
        <v>-0.1195</v>
      </c>
      <c r="J113" s="32">
        <f>VLOOKUP($A113,'5 A data'!$A$5:$U$650,11,FALSE)</f>
        <v>0.17162404311277576</v>
      </c>
      <c r="K113" s="31"/>
      <c r="L113" s="31"/>
      <c r="M113" s="31">
        <f t="shared" si="216"/>
        <v>-0.11940915502764127</v>
      </c>
      <c r="N113" s="31">
        <f t="shared" si="217"/>
        <v>0.17183453218809797</v>
      </c>
      <c r="P113" s="634">
        <f>VLOOKUP(B113,TwoStageCT!A$10:H$72,4,FALSE)/10000</f>
        <v>2.2681305202526645E-6</v>
      </c>
      <c r="Q113" s="58">
        <f>VLOOKUP($A113,'5 A data'!$A$5:$U$650,7,FALSE)*slidewire_res</f>
        <v>1E-3</v>
      </c>
      <c r="R113" s="347">
        <f t="shared" si="204"/>
        <v>0</v>
      </c>
      <c r="S113" s="4">
        <v>0</v>
      </c>
      <c r="T113" s="4">
        <f t="shared" si="218"/>
        <v>-3.5000000000000005E-3</v>
      </c>
      <c r="U113" s="29">
        <f t="shared" si="205"/>
        <v>-4.7763662011056509E-4</v>
      </c>
      <c r="V113" s="29">
        <f t="shared" si="185"/>
        <v>5.0000000000000001E-4</v>
      </c>
      <c r="W113" s="23">
        <f>VLOOKUP($D113,Uncertainties!$B$35:$D$41,2,FALSE)</f>
        <v>-1.0000000000000009E-3</v>
      </c>
      <c r="X113" s="23"/>
      <c r="Y113" s="24">
        <f t="shared" si="206"/>
        <v>-9.2666047461568862E-6</v>
      </c>
      <c r="Z113" s="23">
        <f t="shared" si="207"/>
        <v>3.8377373223359395E-3</v>
      </c>
      <c r="AA113" s="25">
        <f t="shared" si="208"/>
        <v>7.1554598137118814</v>
      </c>
      <c r="AB113" s="26">
        <f t="shared" si="209"/>
        <v>2.3357410456693706</v>
      </c>
      <c r="AC113" s="14"/>
      <c r="AD113" s="635">
        <f>VLOOKUP(B113,TwoStageCT!A$10:H$72,7,FALSE)/10000</f>
        <v>1.7092397901526349E-6</v>
      </c>
      <c r="AE113" s="366">
        <f>IF(ABS(VLOOKUP($A113,'5 A data'!$A$5:$U$1148,6,FALSE))&lt;4.5,IF(ABS(VLOOKUP($A113,'5 A data'!$A$5:$U$1148,6,FALSE))&lt;1.25,0.0008,0.002),0.004)*VLOOKUP($A113,'5 A data'!$A$5:$U$1148,7,FALSE)*25*RADIANS(1/60)*100</f>
        <v>2.9088820866572159E-3</v>
      </c>
      <c r="AF113" s="23">
        <f t="shared" si="210"/>
        <v>0</v>
      </c>
      <c r="AG113" s="29">
        <f t="shared" si="211"/>
        <v>1.7183453218809797E-4</v>
      </c>
      <c r="AH113" s="4">
        <f t="shared" si="219"/>
        <v>4.363323129985823E-3</v>
      </c>
      <c r="AI113" s="4">
        <f t="shared" si="212"/>
        <v>6.873381287523919E-4</v>
      </c>
      <c r="AJ113" s="4">
        <f t="shared" si="192"/>
        <v>5.0000000000000001E-4</v>
      </c>
      <c r="AK113" s="21">
        <f>VLOOKUP($D113,Uncertainties!$B$35:$D$41,3,FALSE)</f>
        <v>1.4544410433285915E-3</v>
      </c>
      <c r="AL113" s="21"/>
      <c r="AM113" s="369">
        <f>SQRT((VLOOKUP($A113,'5 A data'!$A$5:$U$1148,7,FALSE)*mutual_ind)^2+(aux_CT_phase*J113)^2)</f>
        <v>1.7011520299637143E-3</v>
      </c>
      <c r="AN113" s="29">
        <f t="shared" si="213"/>
        <v>5.767275304639336E-3</v>
      </c>
      <c r="AO113" s="14">
        <f t="shared" si="214"/>
        <v>12.444104110362094</v>
      </c>
      <c r="AP113" s="27">
        <f t="shared" si="215"/>
        <v>2.1625198646994983</v>
      </c>
      <c r="AS113" s="27">
        <f>VLOOKUP($B113,TwoStageCT!$A$10:$H$72,5,FALSE)</f>
        <v>68.00069900375496</v>
      </c>
      <c r="AT113" s="27">
        <f>VLOOKUP($B113,TwoStageCT!$A$10:$H$72,8,FALSE)</f>
        <v>47.345132453902309</v>
      </c>
    </row>
    <row r="114" spans="1:46" ht="13.15" customHeight="1" x14ac:dyDescent="0.2">
      <c r="A114">
        <v>204</v>
      </c>
      <c r="P114" s="97"/>
      <c r="R114" s="42"/>
      <c r="AD114" s="250"/>
    </row>
    <row r="115" spans="1:46" ht="13.15" customHeight="1" x14ac:dyDescent="0.2">
      <c r="A115" s="68">
        <v>205</v>
      </c>
      <c r="B115" s="474" t="str">
        <f>MID(D115,FIND("AT,",D115,1)-4,3)&amp;"/"&amp;MID(D115,FIND("AT,",D115,1)+4,3)</f>
        <v>120/200</v>
      </c>
      <c r="C115" t="s">
        <v>113</v>
      </c>
      <c r="D115" s="59" t="str">
        <f>VLOOKUP($A115,'5 A data'!$A$5:$U$574,2,FALSE)</f>
        <v>200/5 Range, 1 turns @ 5VA burden, vs 120 AT, 200 range, 2 Stage CT</v>
      </c>
      <c r="M115" s="502" t="s">
        <v>490</v>
      </c>
      <c r="P115" s="97"/>
      <c r="R115" s="42"/>
      <c r="Z115" s="29"/>
      <c r="AA115" s="25"/>
      <c r="AD115" s="250"/>
      <c r="AN115" s="29"/>
      <c r="AO115" s="14"/>
    </row>
    <row r="116" spans="1:46" ht="13.15" customHeight="1" x14ac:dyDescent="0.2">
      <c r="A116">
        <v>206</v>
      </c>
      <c r="C116" s="19"/>
      <c r="M116" s="638" t="s">
        <v>160</v>
      </c>
      <c r="N116" s="638"/>
      <c r="O116" s="19"/>
      <c r="P116" s="97"/>
      <c r="R116" s="42"/>
      <c r="Z116" s="29"/>
      <c r="AA116" s="25"/>
      <c r="AD116" s="250"/>
      <c r="AN116" s="29"/>
      <c r="AO116" s="14"/>
    </row>
    <row r="117" spans="1:46" ht="13.15" customHeight="1" x14ac:dyDescent="0.2">
      <c r="A117" s="68">
        <v>207</v>
      </c>
      <c r="B117" s="5" t="str">
        <f>B115&amp;D117</f>
        <v>120/2005</v>
      </c>
      <c r="C117" s="19">
        <f>VLOOKUP($A117,'5 A data'!$A$5:$U$574,3,FALSE)</f>
        <v>0.21600059637204713</v>
      </c>
      <c r="D117" s="19">
        <f>ROUND(VLOOKUP($A117,'5 A data'!$A$5:$U$650,9,FALSE),0)</f>
        <v>5</v>
      </c>
      <c r="E117" s="23">
        <f>TestSetRatioCor</f>
        <v>0.99936709902044762</v>
      </c>
      <c r="F117" s="23">
        <f>TestSetPhaseCor</f>
        <v>1.0011822386327505</v>
      </c>
      <c r="G117" s="486">
        <f>VLOOKUP(B117,TwoStageCT!A$10:H$72,3,FALSE)/10000</f>
        <v>3.6805932694608759E-5</v>
      </c>
      <c r="H117" s="486">
        <f>VLOOKUP(B117,TwoStageCT!A$10:H$72,6,FALSE)/10000</f>
        <v>4.6965346060309593E-6</v>
      </c>
      <c r="I117" s="19">
        <f>VLOOKUP($A117,'5 A data'!$A$5:$U$650,10,FALSE)</f>
        <v>-0.998</v>
      </c>
      <c r="J117" s="32">
        <f>VLOOKUP($A117,'5 A data'!$A$5:$U$650,11,FALSE)</f>
        <v>0.4014257279586958</v>
      </c>
      <c r="K117" s="22">
        <f t="shared" ref="K117:L119" si="220">I117-I125</f>
        <v>-0.77800000000000002</v>
      </c>
      <c r="L117" s="22">
        <f t="shared" si="220"/>
        <v>2.0362174606600503E-2</v>
      </c>
      <c r="M117" s="501">
        <f>I117*E117+G117</f>
        <v>-0.99733155888971214</v>
      </c>
      <c r="N117" s="501">
        <f>J117*F117+H117</f>
        <v>0.40190500549707459</v>
      </c>
      <c r="O117" s="72"/>
      <c r="P117" s="634">
        <f>VLOOKUP(B117,TwoStageCT!A$10:H$72,4,FALSE)/10000</f>
        <v>6.4429594675743464E-6</v>
      </c>
      <c r="Q117" s="58">
        <f>VLOOKUP($A117,'5 A data'!$A$5:$U$650,7,FALSE)*slidewire_res</f>
        <v>2E-3</v>
      </c>
      <c r="R117" s="347">
        <f t="shared" ref="R117:R123" si="221">current_coef*(I117-I118)*IF(I118=0,0,1)</f>
        <v>-2.2800000000000001E-2</v>
      </c>
      <c r="S117" s="21">
        <v>0</v>
      </c>
      <c r="T117" s="21">
        <f>BurdenUnc*K117</f>
        <v>-3.8900000000000004E-2</v>
      </c>
      <c r="U117" s="23">
        <f t="shared" ref="U117:U123" si="222">0.004*M117</f>
        <v>-3.989326235558849E-3</v>
      </c>
      <c r="V117" s="23">
        <f t="shared" ref="V117:V131" si="223">earthing_Re</f>
        <v>5.0000000000000001E-4</v>
      </c>
      <c r="W117" s="23">
        <f>VLOOKUP($D117,Uncertainties!$B$35:$D$41,2,FALSE)</f>
        <v>5.0000000000000044E-3</v>
      </c>
      <c r="X117" s="23"/>
      <c r="Y117" s="24">
        <f t="shared" ref="Y117:Y123" si="224">I117*aux_CT_ratio</f>
        <v>-7.7389719972088472E-5</v>
      </c>
      <c r="Z117" s="23">
        <f t="shared" ref="Z117:Z123" si="225">SQRT(SUMSQ(P117:Y117))</f>
        <v>4.5587506561493386E-2</v>
      </c>
      <c r="AA117" s="25">
        <f t="shared" ref="AA117:AA123" si="226">DoF_A(P117:Y117,$P$7:$Y$7)</f>
        <v>8.4337132711972256</v>
      </c>
      <c r="AB117" s="26">
        <f t="shared" ref="AB117:AB123" si="227">CoverFactor(AA117)</f>
        <v>2.2709890061586937</v>
      </c>
      <c r="AC117" s="23"/>
      <c r="AD117" s="635">
        <f>VLOOKUP(B117,TwoStageCT!A$10:H$72,7,FALSE)/10000</f>
        <v>4.6788986298833412E-6</v>
      </c>
      <c r="AE117" s="366">
        <f>IF(ABS(VLOOKUP($A117,'5 A data'!$A$5:$U$1148,6,FALSE))&lt;4.5,IF(ABS(VLOOKUP($A117,'5 A data'!$A$5:$U$1148,6,FALSE))&lt;1.25,0.0008,0.002),0.004)*VLOOKUP($A117,'5 A data'!$A$5:$U$1148,7,FALSE)*25*RADIANS(1/60)*100</f>
        <v>5.8177641733144318E-3</v>
      </c>
      <c r="AF117" s="23">
        <f>current_coef*(J117-J118)*IF(J118=0,0,1)</f>
        <v>1.1635528346628855E-2</v>
      </c>
      <c r="AG117" s="29">
        <f t="shared" ref="AG117:AG123" si="228">0.001*N117</f>
        <v>4.0190500549707462E-4</v>
      </c>
      <c r="AH117" s="4">
        <f>BurdenUnc*L117</f>
        <v>1.0181087303300252E-3</v>
      </c>
      <c r="AI117" s="4">
        <f t="shared" ref="AI117:AI123" si="229">0.004*N117</f>
        <v>1.6076200219882985E-3</v>
      </c>
      <c r="AJ117" s="4">
        <f t="shared" ref="AJ117:AJ131" si="230">earthing_Im</f>
        <v>5.0000000000000001E-4</v>
      </c>
      <c r="AK117" s="21">
        <f>VLOOKUP($D117,Uncertainties!$B$35:$D$41,3,FALSE)</f>
        <v>-1.1635528346628732E-2</v>
      </c>
      <c r="AL117" s="21"/>
      <c r="AM117" s="369">
        <f>SQRT((VLOOKUP($A117,'5 A data'!$A$5:$U$1148,7,FALSE)*mutual_ind)^2+(aux_CT_phase*J117)^2)</f>
        <v>3.4029848299370466E-3</v>
      </c>
      <c r="AN117" s="29">
        <f t="shared" ref="AN117:AN123" si="231">SQRT(SUMSQ(AD117:AM117))</f>
        <v>1.7894978697581478E-2</v>
      </c>
      <c r="AO117" s="14">
        <f t="shared" ref="AO117:AO123" si="232">DoF_A(AD117:AM117,$AD$7:$AM$7)</f>
        <v>19.026584293364376</v>
      </c>
      <c r="AP117" s="27">
        <f t="shared" ref="AP117:AP123" si="233">CoverFactor(AO117)</f>
        <v>2.0892163275738196</v>
      </c>
      <c r="AS117" s="27">
        <f>VLOOKUP($B117,TwoStageCT!$A$10:$H$72,5,FALSE)</f>
        <v>26.31606241070681</v>
      </c>
      <c r="AT117" s="27">
        <f>VLOOKUP($B117,TwoStageCT!$A$10:$H$72,8,FALSE)</f>
        <v>9.9413455012810044</v>
      </c>
    </row>
    <row r="118" spans="1:46" ht="13.15" customHeight="1" x14ac:dyDescent="0.2">
      <c r="A118">
        <v>208</v>
      </c>
      <c r="B118" s="5" t="str">
        <f>B115&amp;D118</f>
        <v>120/20010</v>
      </c>
      <c r="C118" s="19">
        <f>VLOOKUP($A118,'5 A data'!$A$5:$U$650,3,FALSE)</f>
        <v>0.21600059637204713</v>
      </c>
      <c r="D118" s="163">
        <f>ROUND(VLOOKUP($A118,'5 A data'!$A$5:$U$650,9,FALSE)/10,0)*10</f>
        <v>10</v>
      </c>
      <c r="E118" s="23">
        <f t="shared" ref="E118:E131" si="234">TestSetRatioCor</f>
        <v>0.99936709902044762</v>
      </c>
      <c r="F118" s="23">
        <f t="shared" ref="F118:F131" si="235">TestSetPhaseCor</f>
        <v>1.0011822386327505</v>
      </c>
      <c r="G118" s="486">
        <f>VLOOKUP(B118,TwoStageCT!A$10:H$72,3,FALSE)/10000</f>
        <v>3.4690340839935311E-5</v>
      </c>
      <c r="H118" s="486">
        <f>VLOOKUP(B118,TwoStageCT!A$10:H$72,6,FALSE)/10000</f>
        <v>2.6036797087866982E-6</v>
      </c>
      <c r="I118" s="19">
        <f>VLOOKUP($A118,'5 A data'!$A$5:$U$650,10,FALSE)</f>
        <v>-0.88400000000000001</v>
      </c>
      <c r="J118" s="32">
        <f>VLOOKUP($A118,'5 A data'!$A$5:$U$650,11,FALSE)</f>
        <v>0.34324808622555153</v>
      </c>
      <c r="K118" s="22">
        <f t="shared" si="220"/>
        <v>-0.70100000000000007</v>
      </c>
      <c r="L118" s="22">
        <f t="shared" si="220"/>
        <v>4.6542113386515538E-2</v>
      </c>
      <c r="M118" s="501">
        <f t="shared" ref="M118:M123" si="236">I118*E118+G118</f>
        <v>-0.88340582519323574</v>
      </c>
      <c r="N118" s="501">
        <f t="shared" ref="N118:N123" si="237">J118*F118+H118</f>
        <v>0.34365649105341384</v>
      </c>
      <c r="O118" s="72"/>
      <c r="P118" s="634">
        <f>VLOOKUP(B118,TwoStageCT!A$10:H$72,4,FALSE)/10000</f>
        <v>5.0170517941146892E-6</v>
      </c>
      <c r="Q118" s="58">
        <f>VLOOKUP($A118,'5 A data'!$A$5:$U$650,7,FALSE)*slidewire_res</f>
        <v>2E-3</v>
      </c>
      <c r="R118" s="347">
        <f t="shared" si="221"/>
        <v>-1.9599999999999996E-2</v>
      </c>
      <c r="S118" s="4">
        <v>0</v>
      </c>
      <c r="T118" s="21">
        <f t="shared" ref="T118:T123" si="238">BurdenUnc*K118</f>
        <v>-3.5050000000000005E-2</v>
      </c>
      <c r="U118" s="29">
        <f t="shared" si="222"/>
        <v>-3.5336233007729431E-3</v>
      </c>
      <c r="V118" s="29">
        <f t="shared" si="223"/>
        <v>5.0000000000000001E-4</v>
      </c>
      <c r="W118" s="23">
        <f>VLOOKUP($D118,Uncertainties!$B$35:$D$41,2,FALSE)</f>
        <v>2.5000000000000022E-3</v>
      </c>
      <c r="X118" s="23"/>
      <c r="Y118" s="24">
        <f t="shared" si="224"/>
        <v>-6.8549611678683586E-5</v>
      </c>
      <c r="Z118" s="23">
        <f t="shared" si="225"/>
        <v>4.0443215968216914E-2</v>
      </c>
      <c r="AA118" s="25">
        <f t="shared" si="226"/>
        <v>8.0729857215567797</v>
      </c>
      <c r="AB118" s="26">
        <f t="shared" si="227"/>
        <v>2.2868500083178316</v>
      </c>
      <c r="AC118" s="23"/>
      <c r="AD118" s="635">
        <f>VLOOKUP(B118,TwoStageCT!A$10:H$72,7,FALSE)/10000</f>
        <v>2.600738521505678E-6</v>
      </c>
      <c r="AE118" s="366">
        <f>IF(ABS(VLOOKUP($A118,'5 A data'!$A$5:$U$1148,6,FALSE))&lt;4.5,IF(ABS(VLOOKUP($A118,'5 A data'!$A$5:$U$1148,6,FALSE))&lt;1.25,0.0008,0.002),0.004)*VLOOKUP($A118,'5 A data'!$A$5:$U$1148,7,FALSE)*25*RADIANS(1/60)*100</f>
        <v>5.8177641733144318E-3</v>
      </c>
      <c r="AF118" s="23">
        <f t="shared" ref="AF118:AF123" si="239">current_coef*(J118-J119)*IF(J119=0,0,1)</f>
        <v>1.2799081181291761E-2</v>
      </c>
      <c r="AG118" s="29">
        <f t="shared" si="228"/>
        <v>3.4365649105341382E-4</v>
      </c>
      <c r="AH118" s="4">
        <f t="shared" ref="AH118:AH123" si="240">BurdenUnc*L118</f>
        <v>2.327105669325777E-3</v>
      </c>
      <c r="AI118" s="4">
        <f t="shared" si="229"/>
        <v>1.3746259642136553E-3</v>
      </c>
      <c r="AJ118" s="4">
        <f t="shared" si="230"/>
        <v>5.0000000000000001E-4</v>
      </c>
      <c r="AK118" s="21">
        <f>VLOOKUP($D118,Uncertainties!$B$35:$D$41,3,FALSE)</f>
        <v>4.363323129985941E-3</v>
      </c>
      <c r="AL118" s="21"/>
      <c r="AM118" s="369">
        <f>SQRT((VLOOKUP($A118,'5 A data'!$A$5:$U$1148,7,FALSE)*mutual_ind)^2+(aux_CT_phase*J118)^2)</f>
        <v>3.4023040599274286E-3</v>
      </c>
      <c r="AN118" s="29">
        <f t="shared" si="231"/>
        <v>1.536067201003424E-2</v>
      </c>
      <c r="AO118" s="14">
        <f t="shared" si="232"/>
        <v>9.8384376297747735</v>
      </c>
      <c r="AP118" s="27">
        <f t="shared" si="233"/>
        <v>2.2217055123191569</v>
      </c>
      <c r="AS118" s="27">
        <f>VLOOKUP($B118,TwoStageCT!$A$10:$H$72,5,FALSE)</f>
        <v>38.265350164989712</v>
      </c>
      <c r="AT118" s="27">
        <f>VLOOKUP($B118,TwoStageCT!$A$10:$H$72,8,FALSE)</f>
        <v>16.586629386739094</v>
      </c>
    </row>
    <row r="119" spans="1:46" ht="13.15" customHeight="1" x14ac:dyDescent="0.2">
      <c r="A119" s="68">
        <v>209</v>
      </c>
      <c r="B119" s="5" t="str">
        <f>B115&amp;D119</f>
        <v>120/20020</v>
      </c>
      <c r="C119" s="19">
        <f>VLOOKUP($A119,'5 A data'!$A$5:$U$650,3,FALSE)</f>
        <v>0.21600059637204713</v>
      </c>
      <c r="D119" s="163">
        <f>ROUND(VLOOKUP($A119,'5 A data'!$A$5:$U$650,9,FALSE)/10,0)*10</f>
        <v>20</v>
      </c>
      <c r="E119" s="23">
        <f t="shared" si="234"/>
        <v>0.99936709902044762</v>
      </c>
      <c r="F119" s="23">
        <f t="shared" si="235"/>
        <v>1.0011822386327505</v>
      </c>
      <c r="G119" s="486">
        <f>VLOOKUP(B119,TwoStageCT!A$10:H$72,3,FALSE)/10000</f>
        <v>3.1280516301103777E-5</v>
      </c>
      <c r="H119" s="486">
        <f>VLOOKUP(B119,TwoStageCT!A$10:H$72,6,FALSE)/10000</f>
        <v>4.5493238991726806E-6</v>
      </c>
      <c r="I119" s="19">
        <f>VLOOKUP($A119,'5 A data'!$A$5:$U$650,10,FALSE)</f>
        <v>-0.78600000000000003</v>
      </c>
      <c r="J119" s="32">
        <f>VLOOKUP($A119,'5 A data'!$A$5:$U$650,11,FALSE)</f>
        <v>0.27925268031909273</v>
      </c>
      <c r="K119" s="22">
        <f t="shared" si="220"/>
        <v>-0.63</v>
      </c>
      <c r="L119" s="22">
        <f t="shared" si="220"/>
        <v>4.3633231299858272E-2</v>
      </c>
      <c r="M119" s="501">
        <f t="shared" si="236"/>
        <v>-0.78547125931377082</v>
      </c>
      <c r="N119" s="501">
        <f t="shared" si="237"/>
        <v>0.27958737294996422</v>
      </c>
      <c r="O119" s="72"/>
      <c r="P119" s="634">
        <f>VLOOKUP(B119,TwoStageCT!A$10:H$72,4,FALSE)/10000</f>
        <v>4.17832023036102E-6</v>
      </c>
      <c r="Q119" s="58">
        <f>VLOOKUP($A119,'5 A data'!$A$5:$U$650,7,FALSE)*slidewire_res</f>
        <v>2E-3</v>
      </c>
      <c r="R119" s="347">
        <f t="shared" si="221"/>
        <v>-1.5200000000000014E-2</v>
      </c>
      <c r="S119" s="4">
        <v>0</v>
      </c>
      <c r="T119" s="21">
        <f t="shared" si="238"/>
        <v>-3.15E-2</v>
      </c>
      <c r="U119" s="29">
        <f t="shared" si="222"/>
        <v>-3.1418850372550832E-3</v>
      </c>
      <c r="V119" s="29">
        <f t="shared" si="223"/>
        <v>5.0000000000000001E-4</v>
      </c>
      <c r="W119" s="23">
        <f>VLOOKUP($D119,Uncertainties!$B$35:$D$41,2,FALSE)</f>
        <v>-1.0000000000000009E-3</v>
      </c>
      <c r="X119" s="23"/>
      <c r="Y119" s="24">
        <f t="shared" si="224"/>
        <v>-6.0950220338739026E-5</v>
      </c>
      <c r="Z119" s="23">
        <f t="shared" si="225"/>
        <v>3.5191123511122052E-2</v>
      </c>
      <c r="AA119" s="25">
        <f t="shared" si="226"/>
        <v>7.3872503396473155</v>
      </c>
      <c r="AB119" s="26">
        <f t="shared" si="227"/>
        <v>2.3220364207332023</v>
      </c>
      <c r="AC119" s="23"/>
      <c r="AD119" s="635">
        <f>VLOOKUP(B119,TwoStageCT!A$10:H$72,7,FALSE)/10000</f>
        <v>1.9770475075939077E-6</v>
      </c>
      <c r="AE119" s="366">
        <f>IF(ABS(VLOOKUP($A119,'5 A data'!$A$5:$U$1148,6,FALSE))&lt;4.5,IF(ABS(VLOOKUP($A119,'5 A data'!$A$5:$U$1148,6,FALSE))&lt;1.25,0.0008,0.002),0.004)*VLOOKUP($A119,'5 A data'!$A$5:$U$1148,7,FALSE)*25*RADIANS(1/60)*100</f>
        <v>5.8177641733144318E-3</v>
      </c>
      <c r="AF119" s="23">
        <f t="shared" si="239"/>
        <v>8.7266462599716547E-3</v>
      </c>
      <c r="AG119" s="29">
        <f t="shared" si="228"/>
        <v>2.7958737294996424E-4</v>
      </c>
      <c r="AH119" s="4">
        <f t="shared" si="240"/>
        <v>2.1816615649929137E-3</v>
      </c>
      <c r="AI119" s="4">
        <f t="shared" si="229"/>
        <v>1.118349491799857E-3</v>
      </c>
      <c r="AJ119" s="4">
        <f t="shared" si="230"/>
        <v>5.0000000000000001E-4</v>
      </c>
      <c r="AK119" s="21">
        <f>VLOOKUP($D119,Uncertainties!$B$35:$D$41,3,FALSE)</f>
        <v>-1.454441043328647E-3</v>
      </c>
      <c r="AL119" s="21"/>
      <c r="AM119" s="369">
        <f>SQRT((VLOOKUP($A119,'5 A data'!$A$5:$U$1148,7,FALSE)*mutual_ind)^2+(aux_CT_phase*J119)^2)</f>
        <v>3.4016779503921956E-3</v>
      </c>
      <c r="AN119" s="29">
        <f t="shared" si="231"/>
        <v>1.1402897540865998E-2</v>
      </c>
      <c r="AO119" s="14">
        <f t="shared" si="232"/>
        <v>11.897740548633568</v>
      </c>
      <c r="AP119" s="27">
        <f t="shared" si="233"/>
        <v>2.172576819254763</v>
      </c>
      <c r="AS119" s="27">
        <f>VLOOKUP($B119,TwoStageCT!$A$10:$H$72,5,FALSE)</f>
        <v>36.657700403051521</v>
      </c>
      <c r="AT119" s="27">
        <f>VLOOKUP($B119,TwoStageCT!$A$10:$H$72,8,FALSE)</f>
        <v>53.09445811850042</v>
      </c>
    </row>
    <row r="120" spans="1:46" ht="13.15" customHeight="1" x14ac:dyDescent="0.2">
      <c r="A120">
        <v>210</v>
      </c>
      <c r="B120" s="5" t="str">
        <f>B115&amp;D120</f>
        <v>120/20040</v>
      </c>
      <c r="C120" s="19">
        <f>VLOOKUP($A120,'5 A data'!$A$5:$U$650,3,FALSE)</f>
        <v>0.21600059637204713</v>
      </c>
      <c r="D120" s="163">
        <f>ROUND(VLOOKUP($A120,'5 A data'!$A$5:$U$650,9,FALSE)/10,0)*10</f>
        <v>40</v>
      </c>
      <c r="E120" s="23">
        <f t="shared" si="234"/>
        <v>0.99936709902044762</v>
      </c>
      <c r="F120" s="23">
        <f t="shared" si="235"/>
        <v>1.0011822386327505</v>
      </c>
      <c r="G120" s="486">
        <f>VLOOKUP(B120,TwoStageCT!A$10:H$72,3,FALSE)/10000</f>
        <v>2.5200167333853628E-5</v>
      </c>
      <c r="H120" s="486">
        <f>VLOOKUP(B120,TwoStageCT!A$10:H$72,6,FALSE)/10000</f>
        <v>5.7416420558101514E-6</v>
      </c>
      <c r="I120" s="19">
        <f>VLOOKUP($A120,'5 A data'!$A$5:$U$650,10,FALSE)</f>
        <v>-0.71</v>
      </c>
      <c r="J120" s="32">
        <f>VLOOKUP($A120,'5 A data'!$A$5:$U$650,11,FALSE)</f>
        <v>0.23561944901923446</v>
      </c>
      <c r="K120" s="22">
        <f>I120-I128</f>
        <v>-0.57199999999999995</v>
      </c>
      <c r="L120" s="22">
        <f>J120-J128</f>
        <v>3.0543261909900754E-2</v>
      </c>
      <c r="M120" s="501">
        <f t="shared" si="236"/>
        <v>-0.70952544013718388</v>
      </c>
      <c r="N120" s="501">
        <f t="shared" si="237"/>
        <v>0.23590374907654818</v>
      </c>
      <c r="O120" s="72"/>
      <c r="P120" s="634">
        <f>VLOOKUP(B120,TwoStageCT!A$10:H$72,4,FALSE)/10000</f>
        <v>3.3964590328801363E-6</v>
      </c>
      <c r="Q120" s="58">
        <f>VLOOKUP($A120,'5 A data'!$A$5:$U$650,7,FALSE)*slidewire_res</f>
        <v>2E-3</v>
      </c>
      <c r="R120" s="347">
        <f t="shared" si="221"/>
        <v>-7.1999999999999842E-3</v>
      </c>
      <c r="S120" s="4">
        <v>0</v>
      </c>
      <c r="T120" s="21">
        <f t="shared" si="238"/>
        <v>-2.86E-2</v>
      </c>
      <c r="U120" s="29">
        <f t="shared" si="222"/>
        <v>-2.8381017605487355E-3</v>
      </c>
      <c r="V120" s="29">
        <f t="shared" si="223"/>
        <v>5.0000000000000001E-4</v>
      </c>
      <c r="W120" s="23">
        <f>VLOOKUP($D120,Uncertainties!$B$35:$D$41,2,FALSE)</f>
        <v>-1.0000000000000009E-3</v>
      </c>
      <c r="X120" s="23"/>
      <c r="Y120" s="24">
        <f t="shared" si="224"/>
        <v>-5.5056814809802423E-5</v>
      </c>
      <c r="Z120" s="23">
        <f t="shared" si="225"/>
        <v>2.9717130823685194E-2</v>
      </c>
      <c r="AA120" s="25">
        <f t="shared" si="226"/>
        <v>5.8041665761542962</v>
      </c>
      <c r="AB120" s="26">
        <f t="shared" si="227"/>
        <v>2.4427718710034294</v>
      </c>
      <c r="AC120" s="23"/>
      <c r="AD120" s="635">
        <f>VLOOKUP(B120,TwoStageCT!A$10:H$72,7,FALSE)/10000</f>
        <v>1.6849048737447556E-6</v>
      </c>
      <c r="AE120" s="366">
        <f>IF(ABS(VLOOKUP($A120,'5 A data'!$A$5:$U$1148,6,FALSE))&lt;4.5,IF(ABS(VLOOKUP($A120,'5 A data'!$A$5:$U$1148,6,FALSE))&lt;1.25,0.0008,0.002),0.004)*VLOOKUP($A120,'5 A data'!$A$5:$U$1148,7,FALSE)*25*RADIANS(1/60)*100</f>
        <v>2.9088820866572159E-3</v>
      </c>
      <c r="AF120" s="23">
        <f t="shared" si="239"/>
        <v>5.2359877559829794E-3</v>
      </c>
      <c r="AG120" s="29">
        <f t="shared" si="228"/>
        <v>2.3590374907654819E-4</v>
      </c>
      <c r="AH120" s="4">
        <f t="shared" si="240"/>
        <v>1.5271630954950379E-3</v>
      </c>
      <c r="AI120" s="4">
        <f t="shared" si="229"/>
        <v>9.4361499630619277E-4</v>
      </c>
      <c r="AJ120" s="4">
        <f t="shared" si="230"/>
        <v>5.0000000000000001E-4</v>
      </c>
      <c r="AK120" s="21">
        <f>VLOOKUP($D120,Uncertainties!$B$35:$D$41,3,FALSE)</f>
        <v>-2.908882086657183E-3</v>
      </c>
      <c r="AL120" s="21"/>
      <c r="AM120" s="369">
        <f>SQRT((VLOOKUP($A120,'5 A data'!$A$5:$U$1148,7,FALSE)*mutual_ind)^2+(aux_CT_phase*J120)^2)</f>
        <v>3.4013248152827023E-3</v>
      </c>
      <c r="AN120" s="29">
        <f t="shared" si="231"/>
        <v>7.7094784562407722E-3</v>
      </c>
      <c r="AO120" s="14">
        <f t="shared" si="232"/>
        <v>17.805830187583702</v>
      </c>
      <c r="AP120" s="27">
        <f t="shared" si="233"/>
        <v>2.0984891832039012</v>
      </c>
      <c r="AS120" s="27">
        <f>VLOOKUP($B120,TwoStageCT!$A$10:$H$72,5,FALSE)</f>
        <v>38.659909732018328</v>
      </c>
      <c r="AT120" s="27">
        <f>VLOOKUP($B120,TwoStageCT!$A$10:$H$72,8,FALSE)</f>
        <v>52.499330597885681</v>
      </c>
    </row>
    <row r="121" spans="1:46" ht="13.15" customHeight="1" x14ac:dyDescent="0.2">
      <c r="A121" s="68">
        <v>211</v>
      </c>
      <c r="B121" s="5" t="str">
        <f>B115&amp;D121</f>
        <v>120/20060</v>
      </c>
      <c r="C121" s="19">
        <f>VLOOKUP($A121,'5 A data'!$A$5:$U$650,3,FALSE)</f>
        <v>0.21600059637204713</v>
      </c>
      <c r="D121" s="163">
        <f>ROUND(VLOOKUP($A121,'5 A data'!$A$5:$U$650,9,FALSE)/10,0)*10</f>
        <v>60</v>
      </c>
      <c r="E121" s="23">
        <f t="shared" si="234"/>
        <v>0.99936709902044762</v>
      </c>
      <c r="F121" s="23">
        <f t="shared" si="235"/>
        <v>1.0011822386327505</v>
      </c>
      <c r="G121" s="486">
        <f>VLOOKUP(B121,TwoStageCT!A$10:H$72,3,FALSE)/10000</f>
        <v>2.195627602528684E-5</v>
      </c>
      <c r="H121" s="486">
        <f>VLOOKUP(B121,TwoStageCT!A$10:H$72,6,FALSE)/10000</f>
        <v>5.5507836163637805E-6</v>
      </c>
      <c r="I121" s="19">
        <f>VLOOKUP($A121,'5 A data'!$A$5:$U$650,10,FALSE)</f>
        <v>-0.67400000000000004</v>
      </c>
      <c r="J121" s="32">
        <f>VLOOKUP($A121,'5 A data'!$A$5:$U$650,11,FALSE)</f>
        <v>0.20943951023931956</v>
      </c>
      <c r="K121" s="22">
        <f t="shared" ref="K121:L123" si="241">I121-I129</f>
        <v>-0.54400000000000004</v>
      </c>
      <c r="L121" s="22">
        <f t="shared" si="241"/>
        <v>1.8907733563271911E-2</v>
      </c>
      <c r="M121" s="501">
        <f t="shared" si="236"/>
        <v>-0.67355146846375646</v>
      </c>
      <c r="N121" s="501">
        <f t="shared" si="237"/>
        <v>0.20969266850316517</v>
      </c>
      <c r="O121" s="72"/>
      <c r="P121" s="634">
        <f>VLOOKUP(B121,TwoStageCT!A$10:H$72,4,FALSE)/10000</f>
        <v>2.9709098248278708E-6</v>
      </c>
      <c r="Q121" s="58">
        <f>VLOOKUP($A121,'5 A data'!$A$5:$U$650,7,FALSE)*slidewire_res</f>
        <v>2E-3</v>
      </c>
      <c r="R121" s="347">
        <f t="shared" si="221"/>
        <v>-1.2000000000000011E-2</v>
      </c>
      <c r="S121" s="4">
        <v>0</v>
      </c>
      <c r="T121" s="21">
        <f t="shared" si="238"/>
        <v>-2.7200000000000002E-2</v>
      </c>
      <c r="U121" s="29">
        <f t="shared" si="222"/>
        <v>-2.694205873855026E-3</v>
      </c>
      <c r="V121" s="29">
        <f t="shared" si="223"/>
        <v>5.0000000000000001E-4</v>
      </c>
      <c r="W121" s="23">
        <f>VLOOKUP($D121,Uncertainties!$B$35:$D$41,2,FALSE)</f>
        <v>-1.0000000000000009E-3</v>
      </c>
      <c r="X121" s="23"/>
      <c r="Y121" s="24">
        <f t="shared" si="224"/>
        <v>-5.2265201664516671E-5</v>
      </c>
      <c r="Z121" s="23">
        <f t="shared" si="225"/>
        <v>2.9939129676200101E-2</v>
      </c>
      <c r="AA121" s="25">
        <f t="shared" si="226"/>
        <v>7.0704919339891958</v>
      </c>
      <c r="AB121" s="26">
        <f t="shared" si="227"/>
        <v>2.3410329178664004</v>
      </c>
      <c r="AC121" s="23"/>
      <c r="AD121" s="635">
        <f>VLOOKUP(B121,TwoStageCT!A$10:H$72,7,FALSE)/10000</f>
        <v>1.6017059195029239E-6</v>
      </c>
      <c r="AE121" s="366">
        <f>IF(ABS(VLOOKUP($A121,'5 A data'!$A$5:$U$1148,6,FALSE))&lt;4.5,IF(ABS(VLOOKUP($A121,'5 A data'!$A$5:$U$1148,6,FALSE))&lt;1.25,0.0008,0.002),0.004)*VLOOKUP($A121,'5 A data'!$A$5:$U$1148,7,FALSE)*25*RADIANS(1/60)*100</f>
        <v>2.9088820866572159E-3</v>
      </c>
      <c r="AF121" s="23">
        <f t="shared" si="239"/>
        <v>1.2799081181291756E-2</v>
      </c>
      <c r="AG121" s="29">
        <f t="shared" si="228"/>
        <v>2.0969266850316519E-4</v>
      </c>
      <c r="AH121" s="4">
        <f t="shared" si="240"/>
        <v>9.4538667816359558E-4</v>
      </c>
      <c r="AI121" s="4">
        <f t="shared" si="229"/>
        <v>8.3877067401266076E-4</v>
      </c>
      <c r="AJ121" s="4">
        <f t="shared" si="230"/>
        <v>5.0000000000000001E-4</v>
      </c>
      <c r="AK121" s="21">
        <f>VLOOKUP($D121,Uncertainties!$B$35:$D$41,3,FALSE)</f>
        <v>-2.908882086657183E-3</v>
      </c>
      <c r="AL121" s="21"/>
      <c r="AM121" s="369">
        <f>SQRT((VLOOKUP($A121,'5 A data'!$A$5:$U$1148,7,FALSE)*mutual_ind)^2+(aux_CT_phase*J121)^2)</f>
        <v>3.401141649413522E-3</v>
      </c>
      <c r="AN121" s="29">
        <f t="shared" si="231"/>
        <v>1.3935519344048183E-2</v>
      </c>
      <c r="AO121" s="14">
        <f t="shared" si="232"/>
        <v>6.9655330519480891</v>
      </c>
      <c r="AP121" s="27">
        <f t="shared" si="233"/>
        <v>2.3477829082704837</v>
      </c>
      <c r="AS121" s="27">
        <f>VLOOKUP($B121,TwoStageCT!$A$10:$H$72,5,FALSE)</f>
        <v>42.291164682130272</v>
      </c>
      <c r="AT121" s="27">
        <f>VLOOKUP($B121,TwoStageCT!$A$10:$H$72,8,FALSE)</f>
        <v>48.978667479860043</v>
      </c>
    </row>
    <row r="122" spans="1:46" ht="13.15" customHeight="1" x14ac:dyDescent="0.2">
      <c r="A122">
        <v>212</v>
      </c>
      <c r="B122" s="5" t="str">
        <f>B115&amp;D122</f>
        <v>120/200100</v>
      </c>
      <c r="C122" s="19">
        <f>VLOOKUP($A122,'5 A data'!$A$5:$U$650,3,FALSE)</f>
        <v>0.21600059637204713</v>
      </c>
      <c r="D122" s="164">
        <f>ROUND(VLOOKUP($A122,'5 A data'!$A$5:$U$650,9,FALSE)/10,0)*10</f>
        <v>100</v>
      </c>
      <c r="E122" s="23">
        <f t="shared" si="234"/>
        <v>0.99936709902044762</v>
      </c>
      <c r="F122" s="23">
        <f t="shared" si="235"/>
        <v>1.0011822386327505</v>
      </c>
      <c r="G122" s="486">
        <f>VLOOKUP(B122,TwoStageCT!A$10:H$72,3,FALSE)/10000</f>
        <v>1.6881396356939836E-5</v>
      </c>
      <c r="H122" s="486">
        <f>VLOOKUP(B122,TwoStageCT!A$10:H$72,6,FALSE)/10000</f>
        <v>7.3590724152435355E-6</v>
      </c>
      <c r="I122" s="19">
        <f>VLOOKUP($A122,'5 A data'!$A$5:$U$650,10,FALSE)</f>
        <v>-0.61399999999999999</v>
      </c>
      <c r="J122" s="32">
        <f>VLOOKUP($A122,'5 A data'!$A$5:$U$650,11,FALSE)</f>
        <v>0.14544410433286079</v>
      </c>
      <c r="K122" s="22">
        <f t="shared" si="241"/>
        <v>-0.49299999999999999</v>
      </c>
      <c r="L122" s="22">
        <f t="shared" si="241"/>
        <v>-3.0543261909900754E-2</v>
      </c>
      <c r="M122" s="501">
        <f t="shared" si="236"/>
        <v>-0.61359451740219795</v>
      </c>
      <c r="N122" s="501">
        <f t="shared" si="237"/>
        <v>0.14562341304432413</v>
      </c>
      <c r="O122" s="72"/>
      <c r="P122" s="634">
        <f>VLOOKUP(B122,TwoStageCT!A$10:H$72,4,FALSE)/10000</f>
        <v>2.4131313466023584E-6</v>
      </c>
      <c r="Q122" s="58">
        <f>VLOOKUP($A122,'5 A data'!$A$5:$U$650,7,FALSE)*slidewire_res</f>
        <v>2E-3</v>
      </c>
      <c r="R122" s="347">
        <f t="shared" si="221"/>
        <v>-5.6000000000000051E-3</v>
      </c>
      <c r="S122" s="4">
        <v>0</v>
      </c>
      <c r="T122" s="21">
        <f t="shared" si="238"/>
        <v>-2.4650000000000002E-2</v>
      </c>
      <c r="U122" s="29">
        <f t="shared" si="222"/>
        <v>-2.4543780696087919E-3</v>
      </c>
      <c r="V122" s="29">
        <f t="shared" si="223"/>
        <v>5.0000000000000001E-4</v>
      </c>
      <c r="W122" s="23">
        <f>VLOOKUP($D122,Uncertainties!$B$35:$D$41,2,FALSE)</f>
        <v>1.999999999999974E-3</v>
      </c>
      <c r="X122" s="23"/>
      <c r="Y122" s="24">
        <f t="shared" si="224"/>
        <v>-4.7612513089040402E-5</v>
      </c>
      <c r="Z122" s="23">
        <f t="shared" si="225"/>
        <v>2.555892690398371E-2</v>
      </c>
      <c r="AA122" s="25">
        <f t="shared" si="226"/>
        <v>5.7629992705257793</v>
      </c>
      <c r="AB122" s="26">
        <f t="shared" si="227"/>
        <v>2.4470165620684692</v>
      </c>
      <c r="AC122" s="23"/>
      <c r="AD122" s="635">
        <f>VLOOKUP(B122,TwoStageCT!A$10:H$72,7,FALSE)/10000</f>
        <v>1.6933288916776063E-6</v>
      </c>
      <c r="AE122" s="366">
        <f>IF(ABS(VLOOKUP($A122,'5 A data'!$A$5:$U$1148,6,FALSE))&lt;4.5,IF(ABS(VLOOKUP($A122,'5 A data'!$A$5:$U$1148,6,FALSE))&lt;1.25,0.0008,0.002),0.004)*VLOOKUP($A122,'5 A data'!$A$5:$U$1148,7,FALSE)*25*RADIANS(1/60)*100</f>
        <v>2.9088820866572159E-3</v>
      </c>
      <c r="AF122" s="23">
        <f t="shared" si="239"/>
        <v>3.4906585039886587E-3</v>
      </c>
      <c r="AG122" s="29">
        <f t="shared" si="228"/>
        <v>1.4562341304432414E-4</v>
      </c>
      <c r="AH122" s="4">
        <f t="shared" si="240"/>
        <v>-1.5271630954950379E-3</v>
      </c>
      <c r="AI122" s="4">
        <f t="shared" si="229"/>
        <v>5.8249365217729655E-4</v>
      </c>
      <c r="AJ122" s="4">
        <f t="shared" si="230"/>
        <v>5.0000000000000001E-4</v>
      </c>
      <c r="AK122" s="21">
        <f>VLOOKUP($D122,Uncertainties!$B$35:$D$41,3,FALSE)</f>
        <v>-2.9088820866572385E-3</v>
      </c>
      <c r="AL122" s="21"/>
      <c r="AM122" s="369">
        <f>SQRT((VLOOKUP($A122,'5 A data'!$A$5:$U$1148,7,FALSE)*mutual_ind)^2+(aux_CT_phase*J122)^2)</f>
        <v>3.4007846005845231E-3</v>
      </c>
      <c r="AN122" s="29">
        <f t="shared" si="231"/>
        <v>6.6042378591363617E-3</v>
      </c>
      <c r="AO122" s="14">
        <f t="shared" si="232"/>
        <v>24.509838492055515</v>
      </c>
      <c r="AP122" s="27">
        <f t="shared" si="233"/>
        <v>2.059379662274671</v>
      </c>
      <c r="AS122" s="27">
        <f>VLOOKUP($B122,TwoStageCT!$A$10:$H$72,5,FALSE)</f>
        <v>59.567261398457461</v>
      </c>
      <c r="AT122" s="27">
        <f>VLOOKUP($B122,TwoStageCT!$A$10:$H$72,8,FALSE)</f>
        <v>45.732629829898706</v>
      </c>
    </row>
    <row r="123" spans="1:46" ht="13.15" customHeight="1" x14ac:dyDescent="0.2">
      <c r="A123" s="68">
        <v>213</v>
      </c>
      <c r="B123" s="5" t="str">
        <f>B115&amp;D123</f>
        <v>120/200120</v>
      </c>
      <c r="C123" s="19">
        <f>VLOOKUP($A123,'5 A data'!$A$5:$U$650,3,FALSE)</f>
        <v>0.21600059637204713</v>
      </c>
      <c r="D123" s="164">
        <f>ROUND(VLOOKUP($A123,'5 A data'!$A$5:$U$650,9,FALSE)/10,0)*10</f>
        <v>120</v>
      </c>
      <c r="E123" s="23">
        <f t="shared" si="234"/>
        <v>0.99936709902044762</v>
      </c>
      <c r="F123" s="23">
        <f t="shared" si="235"/>
        <v>1.0011822386327505</v>
      </c>
      <c r="G123" s="486">
        <f>VLOOKUP(B123,TwoStageCT!A$10:H$72,3,FALSE)/10000</f>
        <v>1.5213305302217845E-5</v>
      </c>
      <c r="H123" s="486">
        <f>VLOOKUP(B123,TwoStageCT!A$10:H$72,6,FALSE)/10000</f>
        <v>7.5885012454326174E-6</v>
      </c>
      <c r="I123" s="19">
        <f>VLOOKUP($A123,'5 A data'!$A$5:$U$650,10,FALSE)</f>
        <v>-0.58599999999999997</v>
      </c>
      <c r="J123" s="32">
        <f>VLOOKUP($A123,'5 A data'!$A$5:$U$650,11,FALSE)</f>
        <v>0.12799081181291749</v>
      </c>
      <c r="K123" s="22">
        <f t="shared" si="241"/>
        <v>-0.46699999999999997</v>
      </c>
      <c r="L123" s="22">
        <f t="shared" si="241"/>
        <v>-4.3633231299858272E-2</v>
      </c>
      <c r="M123" s="501">
        <f t="shared" si="236"/>
        <v>-0.58561390672068003</v>
      </c>
      <c r="N123" s="501">
        <f t="shared" si="237"/>
        <v>0.12814971599652525</v>
      </c>
      <c r="O123" s="72"/>
      <c r="P123" s="634">
        <f>VLOOKUP(B123,TwoStageCT!A$10:H$72,4,FALSE)/10000</f>
        <v>2.2681305202526645E-6</v>
      </c>
      <c r="Q123" s="58">
        <f>VLOOKUP($A123,'5 A data'!$A$5:$U$650,7,FALSE)*slidewire_res</f>
        <v>2E-3</v>
      </c>
      <c r="R123" s="347">
        <f t="shared" si="221"/>
        <v>0</v>
      </c>
      <c r="S123" s="4">
        <v>0</v>
      </c>
      <c r="T123" s="21">
        <f t="shared" si="238"/>
        <v>-2.3349999999999999E-2</v>
      </c>
      <c r="U123" s="29">
        <f t="shared" si="222"/>
        <v>-2.34245562688272E-3</v>
      </c>
      <c r="V123" s="29">
        <f t="shared" si="223"/>
        <v>5.0000000000000001E-4</v>
      </c>
      <c r="W123" s="23">
        <f>VLOOKUP($D123,Uncertainties!$B$35:$D$41,2,FALSE)</f>
        <v>-1.0000000000000009E-3</v>
      </c>
      <c r="X123" s="23"/>
      <c r="Y123" s="24">
        <f t="shared" si="224"/>
        <v>-4.5441258420484814E-5</v>
      </c>
      <c r="Z123" s="23">
        <f t="shared" si="225"/>
        <v>2.3578839420469733E-2</v>
      </c>
      <c r="AA123" s="25">
        <f t="shared" si="226"/>
        <v>5.1980940307936567</v>
      </c>
      <c r="AB123" s="26">
        <f t="shared" si="227"/>
        <v>2.5139834449777325</v>
      </c>
      <c r="AC123" s="23"/>
      <c r="AD123" s="635">
        <f>VLOOKUP(B123,TwoStageCT!A$10:H$72,7,FALSE)/10000</f>
        <v>1.7092397901526349E-6</v>
      </c>
      <c r="AE123" s="366">
        <f>IF(ABS(VLOOKUP($A123,'5 A data'!$A$5:$U$1148,6,FALSE))&lt;4.5,IF(ABS(VLOOKUP($A123,'5 A data'!$A$5:$U$1148,6,FALSE))&lt;1.25,0.0008,0.002),0.004)*VLOOKUP($A123,'5 A data'!$A$5:$U$1148,7,FALSE)*25*RADIANS(1/60)*100</f>
        <v>2.9088820866572159E-3</v>
      </c>
      <c r="AF123" s="23">
        <f t="shared" si="239"/>
        <v>0</v>
      </c>
      <c r="AG123" s="29">
        <f t="shared" si="228"/>
        <v>1.2814971599652526E-4</v>
      </c>
      <c r="AH123" s="4">
        <f t="shared" si="240"/>
        <v>-2.1816615649929137E-3</v>
      </c>
      <c r="AI123" s="4">
        <f t="shared" si="229"/>
        <v>5.1259886398610105E-4</v>
      </c>
      <c r="AJ123" s="4">
        <f t="shared" si="230"/>
        <v>5.0000000000000001E-4</v>
      </c>
      <c r="AK123" s="21">
        <f>VLOOKUP($D123,Uncertainties!$B$35:$D$41,3,FALSE)</f>
        <v>1.4544410433285915E-3</v>
      </c>
      <c r="AL123" s="21"/>
      <c r="AM123" s="369">
        <f>SQRT((VLOOKUP($A123,'5 A data'!$A$5:$U$1148,7,FALSE)*mutual_ind)^2+(aux_CT_phase*J123)^2)</f>
        <v>3.40070956767378E-3</v>
      </c>
      <c r="AN123" s="29">
        <f t="shared" si="231"/>
        <v>5.2374277424132362E-3</v>
      </c>
      <c r="AO123" s="14">
        <f t="shared" si="232"/>
        <v>16.363108623442649</v>
      </c>
      <c r="AP123" s="27">
        <f t="shared" si="233"/>
        <v>2.1113369335740177</v>
      </c>
      <c r="AS123" s="27">
        <f>VLOOKUP($B123,TwoStageCT!$A$10:$H$72,5,FALSE)</f>
        <v>68.00069900375496</v>
      </c>
      <c r="AT123" s="27">
        <f>VLOOKUP($B123,TwoStageCT!$A$10:$H$72,8,FALSE)</f>
        <v>47.345132453902309</v>
      </c>
    </row>
    <row r="124" spans="1:46" ht="13.15" customHeight="1" x14ac:dyDescent="0.2">
      <c r="A124">
        <v>214</v>
      </c>
      <c r="B124" s="5"/>
      <c r="C124" s="19"/>
      <c r="D124" s="19"/>
      <c r="E124" s="23"/>
      <c r="F124" s="23"/>
      <c r="G124" s="347"/>
      <c r="H124" s="347"/>
      <c r="I124" s="19"/>
      <c r="J124" s="32"/>
      <c r="K124" s="31"/>
      <c r="L124" s="31"/>
      <c r="M124" s="638" t="s">
        <v>93</v>
      </c>
      <c r="N124" s="638"/>
      <c r="O124" s="20"/>
      <c r="P124" s="634"/>
      <c r="Q124" s="58"/>
      <c r="R124" s="347"/>
      <c r="S124" s="4"/>
      <c r="T124" s="4"/>
      <c r="U124" s="29"/>
      <c r="V124" s="29"/>
      <c r="W124" s="29"/>
      <c r="X124" s="29"/>
      <c r="Y124" s="24"/>
      <c r="Z124" s="29"/>
      <c r="AA124" s="25"/>
      <c r="AB124" s="26"/>
      <c r="AC124" s="14"/>
      <c r="AD124" s="635"/>
      <c r="AE124" s="35"/>
      <c r="AF124" s="28"/>
      <c r="AG124" s="29"/>
      <c r="AH124" s="4"/>
      <c r="AI124" s="4"/>
      <c r="AJ124" s="4"/>
      <c r="AK124" s="4"/>
      <c r="AL124" s="4"/>
      <c r="AM124" s="24"/>
      <c r="AN124" s="29"/>
      <c r="AO124" s="14"/>
      <c r="AP124" s="27"/>
    </row>
    <row r="125" spans="1:46" ht="13.15" customHeight="1" x14ac:dyDescent="0.2">
      <c r="A125" s="68">
        <v>215</v>
      </c>
      <c r="B125" s="5" t="str">
        <f>B115&amp;D125</f>
        <v>120/2005</v>
      </c>
      <c r="C125" s="19">
        <f>VLOOKUP($A125,'5 A data'!$A$5:$U$650,3,FALSE)</f>
        <v>2.1000057980615688E-2</v>
      </c>
      <c r="D125" s="19">
        <f>ROUND(VLOOKUP($A125,'5 A data'!$A$5:$U$650,9,FALSE),0)</f>
        <v>5</v>
      </c>
      <c r="E125" s="23">
        <f t="shared" si="234"/>
        <v>0.99936709902044762</v>
      </c>
      <c r="F125" s="23">
        <f t="shared" si="235"/>
        <v>1.0011822386327505</v>
      </c>
      <c r="G125" s="486">
        <f>VLOOKUP(B125,TwoStageCT!A$10:H$72,3,FALSE)/10000</f>
        <v>3.6805932694608759E-5</v>
      </c>
      <c r="H125" s="486">
        <f>VLOOKUP(B125,TwoStageCT!A$10:H$72,6,FALSE)/10000</f>
        <v>4.6965346060309593E-6</v>
      </c>
      <c r="I125" s="19">
        <f>VLOOKUP($A125,'5 A data'!$A$5:$U$650,10,FALSE)</f>
        <v>-0.22</v>
      </c>
      <c r="J125" s="32">
        <f>VLOOKUP($A125,'5 A data'!$A$5:$U$650,11,FALSE)</f>
        <v>0.3810635533520953</v>
      </c>
      <c r="K125" s="31"/>
      <c r="L125" s="31"/>
      <c r="M125" s="31">
        <f>I125*E125+G125</f>
        <v>-0.21982395585180386</v>
      </c>
      <c r="N125" s="31">
        <f>J125*F125+H125</f>
        <v>0.38151875794100737</v>
      </c>
      <c r="O125" s="20"/>
      <c r="P125" s="634">
        <f>VLOOKUP(B125,TwoStageCT!A$10:H$72,4,FALSE)/10000</f>
        <v>6.4429594675743464E-6</v>
      </c>
      <c r="Q125" s="58">
        <f>VLOOKUP($A125,'5 A data'!$A$5:$U$650,7,FALSE)*slidewire_res</f>
        <v>1E-3</v>
      </c>
      <c r="R125" s="347">
        <f t="shared" ref="R125:R131" si="242">current_coef*(I125-I126)*IF(I126=0,0,1)</f>
        <v>-7.4000000000000012E-3</v>
      </c>
      <c r="S125" s="4">
        <v>0</v>
      </c>
      <c r="T125" s="4">
        <f>BurdenUnc*K117</f>
        <v>-3.8900000000000004E-2</v>
      </c>
      <c r="U125" s="29">
        <f t="shared" ref="U125:U131" si="243">0.004*M125</f>
        <v>-8.7929582340721545E-4</v>
      </c>
      <c r="V125" s="29">
        <f t="shared" si="223"/>
        <v>5.0000000000000001E-4</v>
      </c>
      <c r="W125" s="23">
        <f>VLOOKUP($D125,Uncertainties!$B$35:$D$41,2,FALSE)</f>
        <v>5.0000000000000044E-3</v>
      </c>
      <c r="X125" s="23"/>
      <c r="Y125" s="24">
        <f t="shared" ref="Y125:Y131" si="244">I125*aux_CT_ratio</f>
        <v>-1.7059858110079623E-5</v>
      </c>
      <c r="Z125" s="23">
        <f t="shared" ref="Z125:Z131" si="245">SQRT(SUMSQ(P125:Y125))</f>
        <v>3.9937369639168115E-2</v>
      </c>
      <c r="AA125" s="25">
        <f t="shared" ref="AA125:AA131" si="246">DoF_A(P125:Y125,$P$7:$Y$7)</f>
        <v>5.5471945558117728</v>
      </c>
      <c r="AB125" s="26">
        <f t="shared" ref="AB125:AB131" si="247">CoverFactor(AA125)</f>
        <v>2.4705683635742353</v>
      </c>
      <c r="AC125" s="14"/>
      <c r="AD125" s="635">
        <f>VLOOKUP(B125,TwoStageCT!A$10:H$72,7,FALSE)/10000</f>
        <v>4.6788986298833412E-6</v>
      </c>
      <c r="AE125" s="366">
        <f>IF(ABS(VLOOKUP($A125,'5 A data'!$A$5:$U$1148,6,FALSE))&lt;4.5,IF(ABS(VLOOKUP($A125,'5 A data'!$A$5:$U$1148,6,FALSE))&lt;1.25,0.0008,0.002),0.004)*VLOOKUP($A125,'5 A data'!$A$5:$U$1148,7,FALSE)*25*RADIANS(1/60)*100</f>
        <v>2.9088820866572159E-3</v>
      </c>
      <c r="AF125" s="23">
        <f t="shared" ref="AF125:AF131" si="248">current_coef*(J125-J126)*IF(J126=0,0,1)</f>
        <v>1.6871516102611863E-2</v>
      </c>
      <c r="AG125" s="29">
        <f t="shared" ref="AG125:AG131" si="249">0.001*N125</f>
        <v>3.8151875794100739E-4</v>
      </c>
      <c r="AH125" s="4">
        <f>BurdenUnc*L117</f>
        <v>1.0181087303300252E-3</v>
      </c>
      <c r="AI125" s="4">
        <f t="shared" ref="AI125:AI131" si="250">0.004*N125</f>
        <v>1.5260750317640296E-3</v>
      </c>
      <c r="AJ125" s="4">
        <f t="shared" si="230"/>
        <v>5.0000000000000001E-4</v>
      </c>
      <c r="AK125" s="21">
        <f>VLOOKUP($D125,Uncertainties!$B$35:$D$41,3,FALSE)</f>
        <v>-1.1635528346628732E-2</v>
      </c>
      <c r="AL125" s="21"/>
      <c r="AM125" s="369">
        <f>SQRT((VLOOKUP($A125,'5 A data'!$A$5:$U$1148,7,FALSE)*mutual_ind)^2+(aux_CT_phase*J125)^2)</f>
        <v>1.7047863764398413E-3</v>
      </c>
      <c r="AN125" s="29">
        <f t="shared" ref="AN125:AN131" si="251">SQRT(SUMSQ(AD125:AM125))</f>
        <v>2.0860548792717877E-2</v>
      </c>
      <c r="AO125" s="14">
        <f t="shared" ref="AO125:AO131" si="252">DoF_A(AD125:AM125,$AD$7:$AM$7)</f>
        <v>10.705581236496698</v>
      </c>
      <c r="AP125" s="27">
        <f t="shared" ref="AP125:AP131" si="253">CoverFactor(AO125)</f>
        <v>2.1984636216999887</v>
      </c>
      <c r="AS125" s="27">
        <f>VLOOKUP($B125,TwoStageCT!$A$10:$H$72,5,FALSE)</f>
        <v>26.31606241070681</v>
      </c>
      <c r="AT125" s="27">
        <f>VLOOKUP($B125,TwoStageCT!$A$10:$H$72,8,FALSE)</f>
        <v>9.9413455012810044</v>
      </c>
    </row>
    <row r="126" spans="1:46" ht="13.15" customHeight="1" x14ac:dyDescent="0.2">
      <c r="A126">
        <v>216</v>
      </c>
      <c r="B126" s="5" t="str">
        <f>B115&amp;D126</f>
        <v>120/20010</v>
      </c>
      <c r="C126" s="19">
        <f>VLOOKUP($A126,'5 A data'!$A$5:$U$650,3,FALSE)</f>
        <v>2.1000057980615688E-2</v>
      </c>
      <c r="D126" s="163">
        <f>ROUND(VLOOKUP($A126,'5 A data'!$A$5:$U$650,9,FALSE)/10,0)*10</f>
        <v>10</v>
      </c>
      <c r="E126" s="23">
        <f t="shared" si="234"/>
        <v>0.99936709902044762</v>
      </c>
      <c r="F126" s="23">
        <f t="shared" si="235"/>
        <v>1.0011822386327505</v>
      </c>
      <c r="G126" s="486">
        <f>VLOOKUP(B126,TwoStageCT!A$10:H$72,3,FALSE)/10000</f>
        <v>3.4690340839935311E-5</v>
      </c>
      <c r="H126" s="486">
        <f>VLOOKUP(B126,TwoStageCT!A$10:H$72,6,FALSE)/10000</f>
        <v>2.6036797087866982E-6</v>
      </c>
      <c r="I126" s="19">
        <f>VLOOKUP($A126,'5 A data'!$A$5:$U$650,10,FALSE)</f>
        <v>-0.183</v>
      </c>
      <c r="J126" s="32">
        <f>VLOOKUP($A126,'5 A data'!$A$5:$U$650,11,FALSE)</f>
        <v>0.29670597283903599</v>
      </c>
      <c r="K126" s="31"/>
      <c r="L126" s="31"/>
      <c r="M126" s="31">
        <f t="shared" ref="M126:M131" si="254">I126*E126+G126</f>
        <v>-0.18284948877990198</v>
      </c>
      <c r="N126" s="31">
        <f t="shared" ref="N126:N131" si="255">J126*F126+H126</f>
        <v>0.29705935378240289</v>
      </c>
      <c r="O126" s="20"/>
      <c r="P126" s="634">
        <f>VLOOKUP(B126,TwoStageCT!A$10:H$72,4,FALSE)/10000</f>
        <v>5.0170517941146892E-6</v>
      </c>
      <c r="Q126" s="58">
        <f>VLOOKUP($A126,'5 A data'!$A$5:$U$650,7,FALSE)*slidewire_res</f>
        <v>1E-3</v>
      </c>
      <c r="R126" s="347">
        <f t="shared" si="242"/>
        <v>-5.3999999999999994E-3</v>
      </c>
      <c r="S126" s="4">
        <v>0</v>
      </c>
      <c r="T126" s="4">
        <f t="shared" ref="T126:T131" si="256">BurdenUnc*K118</f>
        <v>-3.5050000000000005E-2</v>
      </c>
      <c r="U126" s="29">
        <f t="shared" si="243"/>
        <v>-7.3139795511960792E-4</v>
      </c>
      <c r="V126" s="29">
        <f t="shared" si="223"/>
        <v>5.0000000000000001E-4</v>
      </c>
      <c r="W126" s="23">
        <f>VLOOKUP($D126,Uncertainties!$B$35:$D$41,2,FALSE)</f>
        <v>2.5000000000000022E-3</v>
      </c>
      <c r="X126" s="23"/>
      <c r="Y126" s="24">
        <f t="shared" si="244"/>
        <v>-1.4190700155202595E-5</v>
      </c>
      <c r="Z126" s="23">
        <f t="shared" si="245"/>
        <v>3.5576645000836335E-2</v>
      </c>
      <c r="AA126" s="25">
        <f t="shared" si="246"/>
        <v>5.3043036582786733</v>
      </c>
      <c r="AB126" s="26">
        <f t="shared" si="247"/>
        <v>2.5000029667790469</v>
      </c>
      <c r="AC126" s="14"/>
      <c r="AD126" s="635">
        <f>VLOOKUP(B126,TwoStageCT!A$10:H$72,7,FALSE)/10000</f>
        <v>2.600738521505678E-6</v>
      </c>
      <c r="AE126" s="366">
        <f>IF(ABS(VLOOKUP($A126,'5 A data'!$A$5:$U$1148,6,FALSE))&lt;4.5,IF(ABS(VLOOKUP($A126,'5 A data'!$A$5:$U$1148,6,FALSE))&lt;1.25,0.0008,0.002),0.004)*VLOOKUP($A126,'5 A data'!$A$5:$U$1148,7,FALSE)*25*RADIANS(1/60)*100</f>
        <v>2.9088820866572159E-3</v>
      </c>
      <c r="AF126" s="23">
        <f t="shared" si="248"/>
        <v>1.2217304763960308E-2</v>
      </c>
      <c r="AG126" s="29">
        <f t="shared" si="249"/>
        <v>2.9705935378240291E-4</v>
      </c>
      <c r="AH126" s="4">
        <f t="shared" ref="AH126:AH131" si="257">BurdenUnc*L118</f>
        <v>2.327105669325777E-3</v>
      </c>
      <c r="AI126" s="4">
        <f t="shared" si="250"/>
        <v>1.1882374151296116E-3</v>
      </c>
      <c r="AJ126" s="4">
        <f t="shared" si="230"/>
        <v>5.0000000000000001E-4</v>
      </c>
      <c r="AK126" s="21">
        <f>VLOOKUP($D126,Uncertainties!$B$35:$D$41,3,FALSE)</f>
        <v>4.363323129985941E-3</v>
      </c>
      <c r="AL126" s="21"/>
      <c r="AM126" s="369">
        <f>SQRT((VLOOKUP($A126,'5 A data'!$A$5:$U$1148,7,FALSE)*mutual_ind)^2+(aux_CT_phase*J126)^2)</f>
        <v>1.7029922230581589E-3</v>
      </c>
      <c r="AN126" s="29">
        <f t="shared" si="251"/>
        <v>1.3668521570106326E-2</v>
      </c>
      <c r="AO126" s="14">
        <f t="shared" si="252"/>
        <v>7.7443554416552427</v>
      </c>
      <c r="AP126" s="27">
        <f t="shared" si="253"/>
        <v>2.3028028856159892</v>
      </c>
      <c r="AS126" s="27">
        <f>VLOOKUP($B126,TwoStageCT!$A$10:$H$72,5,FALSE)</f>
        <v>38.265350164989712</v>
      </c>
      <c r="AT126" s="27">
        <f>VLOOKUP($B126,TwoStageCT!$A$10:$H$72,8,FALSE)</f>
        <v>16.586629386739094</v>
      </c>
    </row>
    <row r="127" spans="1:46" ht="13.15" customHeight="1" x14ac:dyDescent="0.2">
      <c r="A127" s="68">
        <v>217</v>
      </c>
      <c r="B127" s="5" t="str">
        <f>B115&amp;D127</f>
        <v>120/20020</v>
      </c>
      <c r="C127" s="19">
        <f>VLOOKUP($A127,'5 A data'!$A$5:$U$650,3,FALSE)</f>
        <v>2.1000057980615688E-2</v>
      </c>
      <c r="D127" s="163">
        <f>ROUND(VLOOKUP($A127,'5 A data'!$A$5:$U$650,9,FALSE)/10,0)*10</f>
        <v>20</v>
      </c>
      <c r="E127" s="23">
        <f t="shared" si="234"/>
        <v>0.99936709902044762</v>
      </c>
      <c r="F127" s="23">
        <f t="shared" si="235"/>
        <v>1.0011822386327505</v>
      </c>
      <c r="G127" s="486">
        <f>VLOOKUP(B127,TwoStageCT!A$10:H$72,3,FALSE)/10000</f>
        <v>3.1280516301103777E-5</v>
      </c>
      <c r="H127" s="486">
        <f>VLOOKUP(B127,TwoStageCT!A$10:H$72,6,FALSE)/10000</f>
        <v>4.5493238991726806E-6</v>
      </c>
      <c r="I127" s="19">
        <f>VLOOKUP($A127,'5 A data'!$A$5:$U$650,10,FALSE)</f>
        <v>-0.156</v>
      </c>
      <c r="J127" s="32">
        <f>VLOOKUP($A127,'5 A data'!$A$5:$U$650,11,FALSE)</f>
        <v>0.23561944901923446</v>
      </c>
      <c r="K127" s="31"/>
      <c r="L127" s="31"/>
      <c r="M127" s="31">
        <f t="shared" si="254"/>
        <v>-0.15586998693088872</v>
      </c>
      <c r="N127" s="31">
        <f t="shared" si="255"/>
        <v>0.23590255675839156</v>
      </c>
      <c r="O127" s="20"/>
      <c r="P127" s="634">
        <f>VLOOKUP(B127,TwoStageCT!A$10:H$72,4,FALSE)/10000</f>
        <v>4.17832023036102E-6</v>
      </c>
      <c r="Q127" s="58">
        <f>VLOOKUP($A127,'5 A data'!$A$5:$U$650,7,FALSE)*slidewire_res</f>
        <v>1E-3</v>
      </c>
      <c r="R127" s="347">
        <f t="shared" si="242"/>
        <v>-3.5999999999999977E-3</v>
      </c>
      <c r="S127" s="4">
        <v>0</v>
      </c>
      <c r="T127" s="4">
        <f t="shared" si="256"/>
        <v>-3.15E-2</v>
      </c>
      <c r="U127" s="29">
        <f t="shared" si="243"/>
        <v>-6.2347994772355482E-4</v>
      </c>
      <c r="V127" s="29">
        <f t="shared" si="223"/>
        <v>5.0000000000000001E-4</v>
      </c>
      <c r="W127" s="23">
        <f>VLOOKUP($D127,Uncertainties!$B$35:$D$41,2,FALSE)</f>
        <v>-1.0000000000000009E-3</v>
      </c>
      <c r="X127" s="23"/>
      <c r="Y127" s="24">
        <f t="shared" si="244"/>
        <v>-1.209699029623828E-5</v>
      </c>
      <c r="Z127" s="23">
        <f t="shared" si="245"/>
        <v>3.1746635901158844E-2</v>
      </c>
      <c r="AA127" s="25">
        <f t="shared" si="246"/>
        <v>5.1575546641175869</v>
      </c>
      <c r="AB127" s="26">
        <f t="shared" si="247"/>
        <v>2.519514931291416</v>
      </c>
      <c r="AC127" s="14"/>
      <c r="AD127" s="635">
        <f>VLOOKUP(B127,TwoStageCT!A$10:H$72,7,FALSE)/10000</f>
        <v>1.9770475075939077E-6</v>
      </c>
      <c r="AE127" s="366">
        <f>IF(ABS(VLOOKUP($A127,'5 A data'!$A$5:$U$1148,6,FALSE))&lt;4.5,IF(ABS(VLOOKUP($A127,'5 A data'!$A$5:$U$1148,6,FALSE))&lt;1.25,0.0008,0.002),0.004)*VLOOKUP($A127,'5 A data'!$A$5:$U$1148,7,FALSE)*25*RADIANS(1/60)*100</f>
        <v>2.9088820866572159E-3</v>
      </c>
      <c r="AF127" s="23">
        <f t="shared" si="248"/>
        <v>6.1086523819801515E-3</v>
      </c>
      <c r="AG127" s="29">
        <f t="shared" si="249"/>
        <v>2.3590255675839155E-4</v>
      </c>
      <c r="AH127" s="4">
        <f t="shared" si="257"/>
        <v>2.1816615649929137E-3</v>
      </c>
      <c r="AI127" s="4">
        <f t="shared" si="250"/>
        <v>9.4361022703356621E-4</v>
      </c>
      <c r="AJ127" s="4">
        <f t="shared" si="230"/>
        <v>5.0000000000000001E-4</v>
      </c>
      <c r="AK127" s="21">
        <f>VLOOKUP($D127,Uncertainties!$B$35:$D$41,3,FALSE)</f>
        <v>-1.454441043328647E-3</v>
      </c>
      <c r="AL127" s="21"/>
      <c r="AM127" s="369">
        <f>SQRT((VLOOKUP($A127,'5 A data'!$A$5:$U$1148,7,FALSE)*mutual_ind)^2+(aux_CT_phase*J127)^2)</f>
        <v>1.7019709662055432E-3</v>
      </c>
      <c r="AN127" s="29">
        <f t="shared" si="251"/>
        <v>7.5329299881257512E-3</v>
      </c>
      <c r="AO127" s="14">
        <f t="shared" si="252"/>
        <v>10.749463621448905</v>
      </c>
      <c r="AP127" s="27">
        <f t="shared" si="253"/>
        <v>2.1973980306336141</v>
      </c>
      <c r="AS127" s="27">
        <f>VLOOKUP($B127,TwoStageCT!$A$10:$H$72,5,FALSE)</f>
        <v>36.657700403051521</v>
      </c>
      <c r="AT127" s="27">
        <f>VLOOKUP($B127,TwoStageCT!$A$10:$H$72,8,FALSE)</f>
        <v>53.09445811850042</v>
      </c>
    </row>
    <row r="128" spans="1:46" ht="13.15" customHeight="1" x14ac:dyDescent="0.2">
      <c r="A128">
        <v>218</v>
      </c>
      <c r="B128" s="5" t="str">
        <f>B115&amp;D128</f>
        <v>120/20040</v>
      </c>
      <c r="C128" s="19">
        <f>VLOOKUP($A128,'5 A data'!$A$5:$U$650,3,FALSE)</f>
        <v>2.1000057980615688E-2</v>
      </c>
      <c r="D128" s="163">
        <f>ROUND(VLOOKUP($A128,'5 A data'!$A$5:$U$650,9,FALSE)/10,0)*10</f>
        <v>40</v>
      </c>
      <c r="E128" s="23">
        <f t="shared" si="234"/>
        <v>0.99936709902044762</v>
      </c>
      <c r="F128" s="23">
        <f t="shared" si="235"/>
        <v>1.0011822386327505</v>
      </c>
      <c r="G128" s="486">
        <f>VLOOKUP(B128,TwoStageCT!A$10:H$72,3,FALSE)/10000</f>
        <v>2.5200167333853628E-5</v>
      </c>
      <c r="H128" s="486">
        <f>VLOOKUP(B128,TwoStageCT!A$10:H$72,6,FALSE)/10000</f>
        <v>5.7416420558101514E-6</v>
      </c>
      <c r="I128" s="19">
        <f>VLOOKUP($A128,'5 A data'!$A$5:$U$650,10,FALSE)</f>
        <v>-0.13800000000000001</v>
      </c>
      <c r="J128" s="32">
        <f>VLOOKUP($A128,'5 A data'!$A$5:$U$650,11,FALSE)</f>
        <v>0.2050761871093337</v>
      </c>
      <c r="K128" s="31"/>
      <c r="L128" s="31"/>
      <c r="M128" s="31">
        <f t="shared" si="254"/>
        <v>-0.13788745949748793</v>
      </c>
      <c r="N128" s="31">
        <f t="shared" si="255"/>
        <v>0.20532437774244733</v>
      </c>
      <c r="O128" s="20"/>
      <c r="P128" s="634">
        <f>VLOOKUP(B128,TwoStageCT!A$10:H$72,4,FALSE)/10000</f>
        <v>3.3964590328801363E-6</v>
      </c>
      <c r="Q128" s="58">
        <f>VLOOKUP($A128,'5 A data'!$A$5:$U$650,7,FALSE)*slidewire_res</f>
        <v>1E-3</v>
      </c>
      <c r="R128" s="347">
        <f t="shared" si="242"/>
        <v>-1.6000000000000016E-3</v>
      </c>
      <c r="S128" s="4">
        <v>0</v>
      </c>
      <c r="T128" s="4">
        <f t="shared" si="256"/>
        <v>-2.86E-2</v>
      </c>
      <c r="U128" s="29">
        <f t="shared" si="243"/>
        <v>-5.5154983798995176E-4</v>
      </c>
      <c r="V128" s="29">
        <f t="shared" si="223"/>
        <v>5.0000000000000001E-4</v>
      </c>
      <c r="W128" s="23">
        <f>VLOOKUP($D128,Uncertainties!$B$35:$D$41,2,FALSE)</f>
        <v>-1.0000000000000009E-3</v>
      </c>
      <c r="X128" s="23"/>
      <c r="Y128" s="24">
        <f t="shared" si="244"/>
        <v>-1.0701183723595402E-5</v>
      </c>
      <c r="Z128" s="23">
        <f t="shared" si="245"/>
        <v>2.868927209385163E-2</v>
      </c>
      <c r="AA128" s="25">
        <f t="shared" si="246"/>
        <v>5.0626595840672586</v>
      </c>
      <c r="AB128" s="26">
        <f t="shared" si="247"/>
        <v>2.5329107987151054</v>
      </c>
      <c r="AC128" s="14"/>
      <c r="AD128" s="635">
        <f>VLOOKUP(B128,TwoStageCT!A$10:H$72,7,FALSE)/10000</f>
        <v>1.6849048737447556E-6</v>
      </c>
      <c r="AE128" s="366">
        <f>IF(ABS(VLOOKUP($A128,'5 A data'!$A$5:$U$1148,6,FALSE))&lt;4.5,IF(ABS(VLOOKUP($A128,'5 A data'!$A$5:$U$1148,6,FALSE))&lt;1.25,0.0008,0.002),0.004)*VLOOKUP($A128,'5 A data'!$A$5:$U$1148,7,FALSE)*25*RADIANS(1/60)*100</f>
        <v>2.9088820866572159E-3</v>
      </c>
      <c r="AF128" s="23">
        <f t="shared" si="248"/>
        <v>2.9088820866572107E-3</v>
      </c>
      <c r="AG128" s="29">
        <f t="shared" si="249"/>
        <v>2.0532437774244732E-4</v>
      </c>
      <c r="AH128" s="4">
        <f t="shared" si="257"/>
        <v>1.5271630954950379E-3</v>
      </c>
      <c r="AI128" s="4">
        <f t="shared" si="250"/>
        <v>8.2129751096978929E-4</v>
      </c>
      <c r="AJ128" s="4">
        <f t="shared" si="230"/>
        <v>5.0000000000000001E-4</v>
      </c>
      <c r="AK128" s="21">
        <f>VLOOKUP($D128,Uncertainties!$B$35:$D$41,3,FALSE)</f>
        <v>-2.908882086657183E-3</v>
      </c>
      <c r="AL128" s="21"/>
      <c r="AM128" s="369">
        <f>SQRT((VLOOKUP($A128,'5 A data'!$A$5:$U$1148,7,FALSE)*mutual_ind)^2+(aux_CT_phase*J128)^2)</f>
        <v>1.7015480534634398E-3</v>
      </c>
      <c r="AN128" s="29">
        <f t="shared" si="251"/>
        <v>5.6195167426779354E-3</v>
      </c>
      <c r="AO128" s="14">
        <f t="shared" si="252"/>
        <v>26.781700596243706</v>
      </c>
      <c r="AP128" s="27">
        <f t="shared" si="253"/>
        <v>2.0507131373132284</v>
      </c>
      <c r="AS128" s="27">
        <f>VLOOKUP($B128,TwoStageCT!$A$10:$H$72,5,FALSE)</f>
        <v>38.659909732018328</v>
      </c>
      <c r="AT128" s="27">
        <f>VLOOKUP($B128,TwoStageCT!$A$10:$H$72,8,FALSE)</f>
        <v>52.499330597885681</v>
      </c>
    </row>
    <row r="129" spans="1:46" ht="13.15" customHeight="1" x14ac:dyDescent="0.2">
      <c r="A129" s="68">
        <v>219</v>
      </c>
      <c r="B129" s="5" t="str">
        <f>B115&amp;D129</f>
        <v>120/20060</v>
      </c>
      <c r="C129" s="19">
        <f>VLOOKUP($A129,'5 A data'!$A$5:$U$650,3,FALSE)</f>
        <v>2.1000057980615688E-2</v>
      </c>
      <c r="D129" s="163">
        <f>ROUND(VLOOKUP($A129,'5 A data'!$A$5:$U$650,9,FALSE)/10,0)*10</f>
        <v>60</v>
      </c>
      <c r="E129" s="23">
        <f t="shared" si="234"/>
        <v>0.99936709902044762</v>
      </c>
      <c r="F129" s="23">
        <f t="shared" si="235"/>
        <v>1.0011822386327505</v>
      </c>
      <c r="G129" s="486">
        <f>VLOOKUP(B129,TwoStageCT!A$10:H$72,3,FALSE)/10000</f>
        <v>2.195627602528684E-5</v>
      </c>
      <c r="H129" s="486">
        <f>VLOOKUP(B129,TwoStageCT!A$10:H$72,6,FALSE)/10000</f>
        <v>5.5507836163637805E-6</v>
      </c>
      <c r="I129" s="19">
        <f>VLOOKUP($A129,'5 A data'!$A$5:$U$650,10,FALSE)</f>
        <v>-0.13</v>
      </c>
      <c r="J129" s="32">
        <f>VLOOKUP($A129,'5 A data'!$A$5:$U$650,11,FALSE)</f>
        <v>0.19053177667604765</v>
      </c>
      <c r="K129" s="31"/>
      <c r="L129" s="31"/>
      <c r="M129" s="31">
        <f t="shared" si="254"/>
        <v>-0.12989576659663293</v>
      </c>
      <c r="N129" s="31">
        <f t="shared" si="255"/>
        <v>0.19076258148681702</v>
      </c>
      <c r="O129" s="20"/>
      <c r="P129" s="634">
        <f>VLOOKUP(B129,TwoStageCT!A$10:H$72,4,FALSE)/10000</f>
        <v>2.9709098248278708E-6</v>
      </c>
      <c r="Q129" s="58">
        <f>VLOOKUP($A129,'5 A data'!$A$5:$U$650,7,FALSE)*slidewire_res</f>
        <v>1E-3</v>
      </c>
      <c r="R129" s="347">
        <f t="shared" si="242"/>
        <v>-1.8000000000000017E-3</v>
      </c>
      <c r="S129" s="4">
        <v>0</v>
      </c>
      <c r="T129" s="4">
        <f t="shared" si="256"/>
        <v>-2.7200000000000002E-2</v>
      </c>
      <c r="U129" s="29">
        <f t="shared" si="243"/>
        <v>-5.1958306638653169E-4</v>
      </c>
      <c r="V129" s="29">
        <f t="shared" si="223"/>
        <v>5.0000000000000001E-4</v>
      </c>
      <c r="W129" s="23">
        <f>VLOOKUP($D129,Uncertainties!$B$35:$D$41,2,FALSE)</f>
        <v>-1.0000000000000009E-3</v>
      </c>
      <c r="X129" s="23"/>
      <c r="Y129" s="24">
        <f t="shared" si="244"/>
        <v>-1.0080825246865232E-5</v>
      </c>
      <c r="Z129" s="23">
        <f t="shared" si="245"/>
        <v>2.730567847558853E-2</v>
      </c>
      <c r="AA129" s="25">
        <f t="shared" si="246"/>
        <v>5.0780471543489716</v>
      </c>
      <c r="AB129" s="26">
        <f t="shared" si="247"/>
        <v>2.5306947012142627</v>
      </c>
      <c r="AC129" s="14"/>
      <c r="AD129" s="635">
        <f>VLOOKUP(B129,TwoStageCT!A$10:H$72,7,FALSE)/10000</f>
        <v>1.6017059195029239E-6</v>
      </c>
      <c r="AE129" s="366">
        <f>IF(ABS(VLOOKUP($A129,'5 A data'!$A$5:$U$1148,6,FALSE))&lt;4.5,IF(ABS(VLOOKUP($A129,'5 A data'!$A$5:$U$1148,6,FALSE))&lt;1.25,0.0008,0.002),0.004)*VLOOKUP($A129,'5 A data'!$A$5:$U$1148,7,FALSE)*25*RADIANS(1/60)*100</f>
        <v>2.9088820866572159E-3</v>
      </c>
      <c r="AF129" s="23">
        <f t="shared" si="248"/>
        <v>2.908882086657222E-3</v>
      </c>
      <c r="AG129" s="29">
        <f t="shared" si="249"/>
        <v>1.9076258148681703E-4</v>
      </c>
      <c r="AH129" s="4">
        <f t="shared" si="257"/>
        <v>9.4538667816359558E-4</v>
      </c>
      <c r="AI129" s="4">
        <f t="shared" si="250"/>
        <v>7.6305032594726813E-4</v>
      </c>
      <c r="AJ129" s="4">
        <f t="shared" si="230"/>
        <v>5.0000000000000001E-4</v>
      </c>
      <c r="AK129" s="21">
        <f>VLOOKUP($D129,Uncertainties!$B$35:$D$41,3,FALSE)</f>
        <v>-2.908882086657183E-3</v>
      </c>
      <c r="AL129" s="21"/>
      <c r="AM129" s="369">
        <f>SQRT((VLOOKUP($A129,'5 A data'!$A$5:$U$1148,7,FALSE)*mutual_ind)^2+(aux_CT_phase*J129)^2)</f>
        <v>1.7013672383223266E-3</v>
      </c>
      <c r="AN129" s="29">
        <f t="shared" si="251"/>
        <v>5.4810427986831936E-3</v>
      </c>
      <c r="AO129" s="14">
        <f t="shared" si="252"/>
        <v>24.873917819280628</v>
      </c>
      <c r="AP129" s="27">
        <f t="shared" si="253"/>
        <v>2.0578806627841613</v>
      </c>
      <c r="AS129" s="27">
        <f>VLOOKUP($B129,TwoStageCT!$A$10:$H$72,5,FALSE)</f>
        <v>42.291164682130272</v>
      </c>
      <c r="AT129" s="27">
        <f>VLOOKUP($B129,TwoStageCT!$A$10:$H$72,8,FALSE)</f>
        <v>48.978667479860043</v>
      </c>
    </row>
    <row r="130" spans="1:46" ht="13.15" customHeight="1" x14ac:dyDescent="0.2">
      <c r="A130">
        <v>220</v>
      </c>
      <c r="B130" s="5" t="str">
        <f>B115&amp;D130</f>
        <v>120/200100</v>
      </c>
      <c r="C130" s="19">
        <f>VLOOKUP($A130,'5 A data'!$A$5:$U$650,3,FALSE)</f>
        <v>2.1000057980615688E-2</v>
      </c>
      <c r="D130" s="164">
        <f>ROUND(VLOOKUP($A130,'5 A data'!$A$5:$U$650,9,FALSE)/10,0)*10</f>
        <v>100</v>
      </c>
      <c r="E130" s="23">
        <f t="shared" si="234"/>
        <v>0.99936709902044762</v>
      </c>
      <c r="F130" s="23">
        <f t="shared" si="235"/>
        <v>1.0011822386327505</v>
      </c>
      <c r="G130" s="486">
        <f>VLOOKUP(B130,TwoStageCT!A$10:H$72,3,FALSE)/10000</f>
        <v>1.6881396356939836E-5</v>
      </c>
      <c r="H130" s="486">
        <f>VLOOKUP(B130,TwoStageCT!A$10:H$72,6,FALSE)/10000</f>
        <v>7.3590724152435355E-6</v>
      </c>
      <c r="I130" s="19">
        <f>VLOOKUP($A130,'5 A data'!$A$5:$U$650,10,FALSE)</f>
        <v>-0.121</v>
      </c>
      <c r="J130" s="32">
        <f>VLOOKUP($A130,'5 A data'!$A$5:$U$650,11,FALSE)</f>
        <v>0.17598736624276154</v>
      </c>
      <c r="K130" s="31"/>
      <c r="L130" s="31"/>
      <c r="M130" s="31">
        <f t="shared" si="254"/>
        <v>-0.12090653758511721</v>
      </c>
      <c r="N130" s="31">
        <f t="shared" si="255"/>
        <v>0.17620278437842499</v>
      </c>
      <c r="O130" s="20"/>
      <c r="P130" s="634">
        <f>VLOOKUP(B130,TwoStageCT!A$10:H$72,4,FALSE)/10000</f>
        <v>2.4131313466023584E-6</v>
      </c>
      <c r="Q130" s="58">
        <f>VLOOKUP($A130,'5 A data'!$A$5:$U$650,7,FALSE)*slidewire_res</f>
        <v>1E-3</v>
      </c>
      <c r="R130" s="347">
        <f t="shared" si="242"/>
        <v>-4.000000000000004E-4</v>
      </c>
      <c r="S130" s="4">
        <v>0</v>
      </c>
      <c r="T130" s="4">
        <f t="shared" si="256"/>
        <v>-2.4650000000000002E-2</v>
      </c>
      <c r="U130" s="29">
        <f t="shared" si="243"/>
        <v>-4.8362615034046888E-4</v>
      </c>
      <c r="V130" s="29">
        <f t="shared" si="223"/>
        <v>5.0000000000000001E-4</v>
      </c>
      <c r="W130" s="23">
        <f>VLOOKUP($D130,Uncertainties!$B$35:$D$41,2,FALSE)</f>
        <v>1.999999999999974E-3</v>
      </c>
      <c r="X130" s="23"/>
      <c r="Y130" s="24">
        <f t="shared" si="244"/>
        <v>-9.3829219605437922E-6</v>
      </c>
      <c r="Z130" s="23">
        <f t="shared" si="245"/>
        <v>2.4764217898325006E-2</v>
      </c>
      <c r="AA130" s="25">
        <f t="shared" si="246"/>
        <v>5.0932137647557889</v>
      </c>
      <c r="AB130" s="26">
        <f t="shared" si="247"/>
        <v>2.5285273276990181</v>
      </c>
      <c r="AC130" s="14"/>
      <c r="AD130" s="635">
        <f>VLOOKUP(B130,TwoStageCT!A$10:H$72,7,FALSE)/10000</f>
        <v>1.6933288916776063E-6</v>
      </c>
      <c r="AE130" s="366">
        <f>IF(ABS(VLOOKUP($A130,'5 A data'!$A$5:$U$1148,6,FALSE))&lt;4.5,IF(ABS(VLOOKUP($A130,'5 A data'!$A$5:$U$1148,6,FALSE))&lt;1.25,0.0008,0.002),0.004)*VLOOKUP($A130,'5 A data'!$A$5:$U$1148,7,FALSE)*25*RADIANS(1/60)*100</f>
        <v>2.9088820866572159E-3</v>
      </c>
      <c r="AF130" s="23">
        <f t="shared" si="248"/>
        <v>8.7266462599715493E-4</v>
      </c>
      <c r="AG130" s="29">
        <f t="shared" si="249"/>
        <v>1.7620278437842498E-4</v>
      </c>
      <c r="AH130" s="4">
        <f t="shared" si="257"/>
        <v>-1.5271630954950379E-3</v>
      </c>
      <c r="AI130" s="4">
        <f t="shared" si="250"/>
        <v>7.0481113751369993E-4</v>
      </c>
      <c r="AJ130" s="4">
        <f t="shared" si="230"/>
        <v>5.0000000000000001E-4</v>
      </c>
      <c r="AK130" s="21">
        <f>VLOOKUP($D130,Uncertainties!$B$35:$D$41,3,FALSE)</f>
        <v>-2.9088820866572385E-3</v>
      </c>
      <c r="AL130" s="21"/>
      <c r="AM130" s="369">
        <f>SQRT((VLOOKUP($A130,'5 A data'!$A$5:$U$1148,7,FALSE)*mutual_ind)^2+(aux_CT_phase*J130)^2)</f>
        <v>1.7011997012616174E-3</v>
      </c>
      <c r="AN130" s="29">
        <f t="shared" si="251"/>
        <v>4.8671192824483733E-3</v>
      </c>
      <c r="AO130" s="14">
        <f t="shared" si="252"/>
        <v>24.410389509350789</v>
      </c>
      <c r="AP130" s="27">
        <f t="shared" si="253"/>
        <v>2.0597971635063952</v>
      </c>
      <c r="AS130" s="27">
        <f>VLOOKUP($B130,TwoStageCT!$A$10:$H$72,5,FALSE)</f>
        <v>59.567261398457461</v>
      </c>
      <c r="AT130" s="27">
        <f>VLOOKUP($B130,TwoStageCT!$A$10:$H$72,8,FALSE)</f>
        <v>45.732629829898706</v>
      </c>
    </row>
    <row r="131" spans="1:46" ht="13.15" customHeight="1" x14ac:dyDescent="0.2">
      <c r="A131" s="68">
        <v>221</v>
      </c>
      <c r="B131" s="5" t="str">
        <f>B115&amp;D131</f>
        <v>120/200120</v>
      </c>
      <c r="C131" s="19">
        <f>VLOOKUP($A131,'5 A data'!$A$5:$U$650,3,FALSE)</f>
        <v>2.1000057980615688E-2</v>
      </c>
      <c r="D131" s="164">
        <f>ROUND(VLOOKUP($A131,'5 A data'!$A$5:$U$650,9,FALSE)/10,0)*10</f>
        <v>120</v>
      </c>
      <c r="E131" s="23">
        <f t="shared" si="234"/>
        <v>0.99936709902044762</v>
      </c>
      <c r="F131" s="23">
        <f t="shared" si="235"/>
        <v>1.0011822386327505</v>
      </c>
      <c r="G131" s="486">
        <f>VLOOKUP(B131,TwoStageCT!A$10:H$72,3,FALSE)/10000</f>
        <v>1.5213305302217845E-5</v>
      </c>
      <c r="H131" s="486">
        <f>VLOOKUP(B131,TwoStageCT!A$10:H$72,6,FALSE)/10000</f>
        <v>7.5885012454326174E-6</v>
      </c>
      <c r="I131" s="19">
        <f>VLOOKUP($A131,'5 A data'!$A$5:$U$650,10,FALSE)</f>
        <v>-0.11899999999999999</v>
      </c>
      <c r="J131" s="32">
        <f>VLOOKUP($A131,'5 A data'!$A$5:$U$650,11,FALSE)</f>
        <v>0.17162404311277576</v>
      </c>
      <c r="K131" s="31"/>
      <c r="L131" s="31"/>
      <c r="M131" s="31">
        <f t="shared" si="254"/>
        <v>-0.11890947147813105</v>
      </c>
      <c r="N131" s="31">
        <f t="shared" si="255"/>
        <v>0.17183453218809797</v>
      </c>
      <c r="O131" s="20"/>
      <c r="P131" s="634">
        <f>VLOOKUP(B131,TwoStageCT!A$10:H$72,4,FALSE)/10000</f>
        <v>2.2681305202526645E-6</v>
      </c>
      <c r="Q131" s="58">
        <f>VLOOKUP($A131,'5 A data'!$A$5:$U$650,7,FALSE)*slidewire_res</f>
        <v>1E-3</v>
      </c>
      <c r="R131" s="347">
        <f t="shared" si="242"/>
        <v>0</v>
      </c>
      <c r="S131" s="4">
        <v>0</v>
      </c>
      <c r="T131" s="4">
        <f t="shared" si="256"/>
        <v>-2.3349999999999999E-2</v>
      </c>
      <c r="U131" s="29">
        <f t="shared" si="243"/>
        <v>-4.7563788591252422E-4</v>
      </c>
      <c r="V131" s="29">
        <f t="shared" si="223"/>
        <v>5.0000000000000001E-4</v>
      </c>
      <c r="W131" s="23">
        <f>VLOOKUP($D131,Uncertainties!$B$35:$D$41,2,FALSE)</f>
        <v>-1.0000000000000009E-3</v>
      </c>
      <c r="X131" s="23"/>
      <c r="Y131" s="24">
        <f t="shared" si="244"/>
        <v>-9.2278323413612514E-6</v>
      </c>
      <c r="Z131" s="23">
        <f t="shared" si="245"/>
        <v>2.3402966087567218E-2</v>
      </c>
      <c r="AA131" s="25">
        <f t="shared" si="246"/>
        <v>5.0454960035802197</v>
      </c>
      <c r="AB131" s="26">
        <f t="shared" si="247"/>
        <v>2.5354032997058686</v>
      </c>
      <c r="AC131" s="14"/>
      <c r="AD131" s="635">
        <f>VLOOKUP(B131,TwoStageCT!A$10:H$72,7,FALSE)/10000</f>
        <v>1.7092397901526349E-6</v>
      </c>
      <c r="AE131" s="366">
        <f>IF(ABS(VLOOKUP($A131,'5 A data'!$A$5:$U$1148,6,FALSE))&lt;4.5,IF(ABS(VLOOKUP($A131,'5 A data'!$A$5:$U$1148,6,FALSE))&lt;1.25,0.0008,0.002),0.004)*VLOOKUP($A131,'5 A data'!$A$5:$U$1148,7,FALSE)*25*RADIANS(1/60)*100</f>
        <v>2.9088820866572159E-3</v>
      </c>
      <c r="AF131" s="23">
        <f t="shared" si="248"/>
        <v>0</v>
      </c>
      <c r="AG131" s="29">
        <f t="shared" si="249"/>
        <v>1.7183453218809797E-4</v>
      </c>
      <c r="AH131" s="4">
        <f t="shared" si="257"/>
        <v>-2.1816615649929137E-3</v>
      </c>
      <c r="AI131" s="4">
        <f t="shared" si="250"/>
        <v>6.873381287523919E-4</v>
      </c>
      <c r="AJ131" s="4">
        <f t="shared" si="230"/>
        <v>5.0000000000000001E-4</v>
      </c>
      <c r="AK131" s="21">
        <f>VLOOKUP($D131,Uncertainties!$B$35:$D$41,3,FALSE)</f>
        <v>1.4544410433285915E-3</v>
      </c>
      <c r="AL131" s="21"/>
      <c r="AM131" s="369">
        <f>SQRT((VLOOKUP($A131,'5 A data'!$A$5:$U$1148,7,FALSE)*mutual_ind)^2+(aux_CT_phase*J131)^2)</f>
        <v>1.7011520299637143E-3</v>
      </c>
      <c r="AN131" s="29">
        <f t="shared" si="251"/>
        <v>4.356893719957006E-3</v>
      </c>
      <c r="AO131" s="14">
        <f t="shared" si="252"/>
        <v>17.207353498657703</v>
      </c>
      <c r="AP131" s="27">
        <f t="shared" si="253"/>
        <v>2.1035425149702998</v>
      </c>
      <c r="AS131" s="27">
        <f>VLOOKUP($B131,TwoStageCT!$A$10:$H$72,5,FALSE)</f>
        <v>68.00069900375496</v>
      </c>
      <c r="AT131" s="27">
        <f>VLOOKUP($B131,TwoStageCT!$A$10:$H$72,8,FALSE)</f>
        <v>47.345132453902309</v>
      </c>
    </row>
    <row r="132" spans="1:46" ht="13.15" customHeight="1" x14ac:dyDescent="0.2">
      <c r="A132">
        <v>222</v>
      </c>
      <c r="P132" s="97"/>
      <c r="R132" s="42"/>
      <c r="AD132" s="250"/>
    </row>
    <row r="133" spans="1:46" ht="13.15" customHeight="1" x14ac:dyDescent="0.2">
      <c r="A133" s="68">
        <v>223</v>
      </c>
      <c r="B133" s="474" t="str">
        <f>MID(D133,FIND("AT,",D133,1)-4,3)&amp;"/"&amp;MID(D133,FIND("AT,",D133,1)+4,3)</f>
        <v>120/200</v>
      </c>
      <c r="C133" t="s">
        <v>113</v>
      </c>
      <c r="D133" s="59" t="str">
        <f>VLOOKUP($A133,'5 A data'!$A$5:$U$574,2,FALSE)</f>
        <v>200/5 Range, 1 turns @ 5VA burden, vs 120 AT, 200 range, 2 Stage CT</v>
      </c>
      <c r="P133" s="97"/>
      <c r="R133" s="42"/>
      <c r="Z133" s="29"/>
      <c r="AA133" s="25"/>
      <c r="AD133" s="250"/>
      <c r="AN133" s="29"/>
      <c r="AO133" s="14"/>
    </row>
    <row r="134" spans="1:46" ht="15.75" x14ac:dyDescent="0.25">
      <c r="A134">
        <v>224</v>
      </c>
      <c r="C134" s="19"/>
      <c r="M134" s="638" t="s">
        <v>160</v>
      </c>
      <c r="N134" s="638"/>
      <c r="O134" s="19"/>
      <c r="P134" s="97"/>
      <c r="R134" s="42"/>
      <c r="Z134" s="365"/>
      <c r="AA134" s="25"/>
      <c r="AD134" s="250"/>
      <c r="AN134" s="29"/>
      <c r="AO134" s="14"/>
    </row>
    <row r="135" spans="1:46" x14ac:dyDescent="0.2">
      <c r="A135" s="68">
        <v>225</v>
      </c>
      <c r="B135" s="5" t="str">
        <f>B133&amp;D135</f>
        <v>120/2005</v>
      </c>
      <c r="C135" s="19">
        <f>VLOOKUP($A135,'5 A data'!$A$5:$U$574,3,FALSE)</f>
        <v>0.21600059637204713</v>
      </c>
      <c r="D135" s="19">
        <f>ROUND(VLOOKUP($A135,'5 A data'!$A$5:$U$650,9,FALSE),0)</f>
        <v>5</v>
      </c>
      <c r="E135" s="23">
        <f>TestSetRatioCor</f>
        <v>0.99936709902044762</v>
      </c>
      <c r="F135" s="23">
        <f>TestSetPhaseCor</f>
        <v>1.0011822386327505</v>
      </c>
      <c r="G135" s="486">
        <f>VLOOKUP(B135,TwoStageCT!A$10:H$72,3,FALSE)/10000</f>
        <v>3.6805932694608759E-5</v>
      </c>
      <c r="H135" s="486">
        <f>VLOOKUP(B135,TwoStageCT!A$10:H$72,6,FALSE)/10000</f>
        <v>4.6965346060309593E-6</v>
      </c>
      <c r="I135" s="19">
        <f>VLOOKUP($A135,'5 A data'!$A$5:$U$650,10,FALSE)</f>
        <v>-0.68200000000000005</v>
      </c>
      <c r="J135" s="32">
        <f>VLOOKUP($A135,'5 A data'!$A$5:$U$650,11,FALSE)</f>
        <v>1.0471975511965976</v>
      </c>
      <c r="K135" s="22">
        <f>I135-I143</f>
        <v>-0.45900000000000007</v>
      </c>
      <c r="L135" s="22">
        <f>J135-J143</f>
        <v>0.66031623367118786</v>
      </c>
      <c r="M135" s="22">
        <f>I135*E135+G135</f>
        <v>-0.68153155559925072</v>
      </c>
      <c r="N135" s="22">
        <f>J135*F135+H135</f>
        <v>1.04844028513235</v>
      </c>
      <c r="O135" s="20"/>
      <c r="P135" s="634">
        <f>VLOOKUP(B135,TwoStageCT!A$10:H$72,4,FALSE)/10000</f>
        <v>6.4429594675743464E-6</v>
      </c>
      <c r="Q135" s="58">
        <f>VLOOKUP($A135,'5 A data'!$A$5:$U$650,7,FALSE)*slidewire_res</f>
        <v>2E-3</v>
      </c>
      <c r="R135" s="347">
        <f t="shared" ref="R135:R141" si="258">current_coef*(I135-I136)*IF(I136=0,0,1)</f>
        <v>-1.5600000000000015E-2</v>
      </c>
      <c r="S135" s="4">
        <v>0</v>
      </c>
      <c r="T135" s="21">
        <f>BurdenUnc*K135</f>
        <v>-2.2950000000000005E-2</v>
      </c>
      <c r="U135" s="29">
        <f>0.004*M135</f>
        <v>-2.7261262223970029E-3</v>
      </c>
      <c r="V135" s="29">
        <f t="shared" ref="V135:V149" si="259">earthing_Re</f>
        <v>5.0000000000000001E-4</v>
      </c>
      <c r="W135" s="23">
        <f>VLOOKUP($D135,Uncertainties!$B$35:$D$41,2,FALSE)</f>
        <v>5.0000000000000044E-3</v>
      </c>
      <c r="X135" s="23"/>
      <c r="Y135" s="24">
        <f t="shared" ref="Y135:Y141" si="260">I135*aux_CT_ratio</f>
        <v>-5.2885560141246841E-5</v>
      </c>
      <c r="Z135" s="23">
        <f t="shared" ref="Z135:Z141" si="261">SQRT(SUMSQ(P135:Y135))</f>
        <v>2.840329386839913E-2</v>
      </c>
      <c r="AA135" s="25">
        <f t="shared" ref="AA135:AA141" si="262">DoF_A(P135:Y135,$P$7:$Y$7)</f>
        <v>9.6575132976548321</v>
      </c>
      <c r="AB135" s="26">
        <f t="shared" ref="AB135:AB141" si="263">CoverFactor(AA135)</f>
        <v>2.2271465420458383</v>
      </c>
      <c r="AC135" s="14"/>
      <c r="AD135" s="635">
        <f>VLOOKUP(B135,TwoStageCT!A$10:H$72,7,FALSE)/10000</f>
        <v>4.6788986298833412E-6</v>
      </c>
      <c r="AE135" s="366">
        <f>IF(ABS(VLOOKUP($A135,'5 A data'!$A$5:$U$1148,6,FALSE))&lt;4.5,IF(ABS(VLOOKUP($A135,'5 A data'!$A$5:$U$1148,6,FALSE))&lt;1.25,0.0008,0.002),0.004)*VLOOKUP($A135,'5 A data'!$A$5:$U$1148,7,FALSE)*25*RADIANS(1/60)*100</f>
        <v>5.8177641733144318E-3</v>
      </c>
      <c r="AF135" s="23">
        <f>current_coef*(J135-J136)*IF(J136=0,0,1)</f>
        <v>3.1415926535897934E-2</v>
      </c>
      <c r="AG135" s="29">
        <f t="shared" ref="AG135:AG141" si="264">0.001*N135</f>
        <v>1.0484402851323501E-3</v>
      </c>
      <c r="AH135" s="4">
        <f>BurdenUnc*L135</f>
        <v>3.3015811683559396E-2</v>
      </c>
      <c r="AI135" s="4">
        <f t="shared" ref="AI135:AI141" si="265">0.004*N135</f>
        <v>4.1937611405294005E-3</v>
      </c>
      <c r="AJ135" s="4">
        <f t="shared" ref="AJ135:AJ149" si="266">earthing_Im</f>
        <v>5.0000000000000001E-4</v>
      </c>
      <c r="AK135" s="21">
        <f>VLOOKUP($D135,Uncertainties!$B$35:$D$41,3,FALSE)</f>
        <v>-1.1635528346628732E-2</v>
      </c>
      <c r="AL135" s="21"/>
      <c r="AM135" s="369">
        <f>SQRT((VLOOKUP($A135,'5 A data'!$A$5:$U$1148,7,FALSE)*mutual_ind)^2+(aux_CT_phase*J135)^2)</f>
        <v>3.4176515984433472E-3</v>
      </c>
      <c r="AN135" s="29">
        <f t="shared" ref="AN135:AN141" si="267">SQRT(SUMSQ(AD135:AM135))</f>
        <v>4.7716384869250443E-2</v>
      </c>
      <c r="AO135" s="14">
        <f t="shared" ref="AO135:AO141" si="268">DoF_A(AD135:AM135,$AD$7:$AM$7)</f>
        <v>11.938180937429227</v>
      </c>
      <c r="AP135" s="27">
        <f t="shared" ref="AP135:AP141" si="269">CoverFactor(AO135)</f>
        <v>2.1717979413103645</v>
      </c>
      <c r="AS135" s="27">
        <f>VLOOKUP($B135,TwoStageCT!$A$10:$H$72,5,FALSE)</f>
        <v>26.31606241070681</v>
      </c>
      <c r="AT135" s="27">
        <f>VLOOKUP($B135,TwoStageCT!$A$10:$H$72,8,FALSE)</f>
        <v>9.9413455012810044</v>
      </c>
    </row>
    <row r="136" spans="1:46" x14ac:dyDescent="0.2">
      <c r="A136">
        <v>226</v>
      </c>
      <c r="B136" s="5" t="str">
        <f>B133&amp;D136</f>
        <v>120/20010</v>
      </c>
      <c r="C136" s="19">
        <f>VLOOKUP($A136,'5 A data'!$A$5:$U$650,3,FALSE)</f>
        <v>0.21600059637204713</v>
      </c>
      <c r="D136" s="163">
        <f>ROUND(VLOOKUP($A136,'5 A data'!$A$5:$U$650,9,FALSE)/10,0)*10</f>
        <v>10</v>
      </c>
      <c r="E136" s="23">
        <f t="shared" ref="E136:E149" si="270">TestSetRatioCor</f>
        <v>0.99936709902044762</v>
      </c>
      <c r="F136" s="23">
        <f t="shared" ref="F136:F149" si="271">TestSetPhaseCor</f>
        <v>1.0011822386327505</v>
      </c>
      <c r="G136" s="486">
        <f>VLOOKUP(B136,TwoStageCT!A$10:H$72,3,FALSE)/10000</f>
        <v>3.4690340839935311E-5</v>
      </c>
      <c r="H136" s="486">
        <f>VLOOKUP(B136,TwoStageCT!A$10:H$72,6,FALSE)/10000</f>
        <v>2.6036797087866982E-6</v>
      </c>
      <c r="I136" s="19">
        <f>VLOOKUP($A136,'5 A data'!$A$5:$U$650,10,FALSE)</f>
        <v>-0.60399999999999998</v>
      </c>
      <c r="J136" s="32">
        <f>VLOOKUP($A136,'5 A data'!$A$5:$U$650,11,FALSE)</f>
        <v>0.89011791851710798</v>
      </c>
      <c r="K136" s="22">
        <f t="shared" ref="K136:K141" si="272">I136-I144</f>
        <v>-0.42299999999999999</v>
      </c>
      <c r="L136" s="22">
        <f t="shared" ref="L136:L141" si="273">J136-J144</f>
        <v>0.59632082776472917</v>
      </c>
      <c r="M136" s="22">
        <f t="shared" ref="M136:M141" si="274">I136*E136+G136</f>
        <v>-0.60358303746751041</v>
      </c>
      <c r="N136" s="22">
        <f t="shared" ref="N136:N141" si="275">J136*F136+H136</f>
        <v>0.89117285398779111</v>
      </c>
      <c r="O136" s="20"/>
      <c r="P136" s="634">
        <f>VLOOKUP(B136,TwoStageCT!A$10:H$72,4,FALSE)/10000</f>
        <v>5.0170517941146892E-6</v>
      </c>
      <c r="Q136" s="58">
        <f>VLOOKUP($A136,'5 A data'!$A$5:$U$650,7,FALSE)*slidewire_res</f>
        <v>2E-3</v>
      </c>
      <c r="R136" s="347">
        <f t="shared" si="258"/>
        <v>-1.1599999999999989E-2</v>
      </c>
      <c r="S136" s="4">
        <v>0</v>
      </c>
      <c r="T136" s="21">
        <f t="shared" ref="T136:T141" si="276">BurdenUnc*K136</f>
        <v>-2.1150000000000002E-2</v>
      </c>
      <c r="U136" s="29">
        <f t="shared" ref="U136:U141" si="277">0.004*M136</f>
        <v>-2.4143321498700417E-3</v>
      </c>
      <c r="V136" s="29">
        <f t="shared" si="259"/>
        <v>5.0000000000000001E-4</v>
      </c>
      <c r="W136" s="23">
        <f>VLOOKUP($D136,Uncertainties!$B$35:$D$41,2,FALSE)</f>
        <v>2.5000000000000022E-3</v>
      </c>
      <c r="X136" s="23"/>
      <c r="Y136" s="24">
        <f t="shared" si="260"/>
        <v>-4.6837064993127693E-5</v>
      </c>
      <c r="Z136" s="23">
        <f t="shared" si="261"/>
        <v>2.4458407932883976E-2</v>
      </c>
      <c r="AA136" s="25">
        <f t="shared" si="262"/>
        <v>8.1976568020726681</v>
      </c>
      <c r="AB136" s="26">
        <f t="shared" si="263"/>
        <v>2.2811856103482393</v>
      </c>
      <c r="AC136" s="14"/>
      <c r="AD136" s="635">
        <f>VLOOKUP(B136,TwoStageCT!A$10:H$72,7,FALSE)/10000</f>
        <v>2.600738521505678E-6</v>
      </c>
      <c r="AE136" s="366">
        <f>IF(ABS(VLOOKUP($A136,'5 A data'!$A$5:$U$1148,6,FALSE))&lt;4.5,IF(ABS(VLOOKUP($A136,'5 A data'!$A$5:$U$1148,6,FALSE))&lt;1.25,0.0008,0.002),0.004)*VLOOKUP($A136,'5 A data'!$A$5:$U$1148,7,FALSE)*25*RADIANS(1/60)*100</f>
        <v>5.8177641733144318E-3</v>
      </c>
      <c r="AF136" s="23">
        <f t="shared" ref="AF136:AF141" si="278">current_coef*(J136-J137)*IF(J137=0,0,1)</f>
        <v>2.2107503858594835E-2</v>
      </c>
      <c r="AG136" s="29">
        <f t="shared" si="264"/>
        <v>8.9117285398779115E-4</v>
      </c>
      <c r="AH136" s="4">
        <f t="shared" ref="AH136:AH141" si="279">BurdenUnc*L136</f>
        <v>2.9816041388236458E-2</v>
      </c>
      <c r="AI136" s="4">
        <f t="shared" si="265"/>
        <v>3.5646914159511646E-3</v>
      </c>
      <c r="AJ136" s="4">
        <f t="shared" si="266"/>
        <v>5.0000000000000001E-4</v>
      </c>
      <c r="AK136" s="21">
        <f>VLOOKUP($D136,Uncertainties!$B$35:$D$41,3,FALSE)</f>
        <v>4.363323129985941E-3</v>
      </c>
      <c r="AL136" s="21"/>
      <c r="AM136" s="369">
        <f>SQRT((VLOOKUP($A136,'5 A data'!$A$5:$U$1148,7,FALSE)*mutual_ind)^2+(aux_CT_phase*J136)^2)</f>
        <v>3.412887397900835E-3</v>
      </c>
      <c r="AN136" s="29">
        <f t="shared" si="267"/>
        <v>3.8157856867714911E-2</v>
      </c>
      <c r="AO136" s="14">
        <f t="shared" si="268"/>
        <v>10.283561961521173</v>
      </c>
      <c r="AP136" s="27">
        <f t="shared" si="269"/>
        <v>2.2092288540694742</v>
      </c>
      <c r="AS136" s="27">
        <f>VLOOKUP($B136,TwoStageCT!$A$10:$H$72,5,FALSE)</f>
        <v>38.265350164989712</v>
      </c>
      <c r="AT136" s="27">
        <f>VLOOKUP($B136,TwoStageCT!$A$10:$H$72,8,FALSE)</f>
        <v>16.586629386739094</v>
      </c>
    </row>
    <row r="137" spans="1:46" x14ac:dyDescent="0.2">
      <c r="A137" s="68">
        <v>227</v>
      </c>
      <c r="B137" s="5" t="str">
        <f>B133&amp;D137</f>
        <v>120/20020</v>
      </c>
      <c r="C137" s="19">
        <f>VLOOKUP($A137,'5 A data'!$A$5:$U$650,3,FALSE)</f>
        <v>0.21600059637204713</v>
      </c>
      <c r="D137" s="163">
        <f>ROUND(VLOOKUP($A137,'5 A data'!$A$5:$U$650,9,FALSE)/10,0)*10</f>
        <v>20</v>
      </c>
      <c r="E137" s="23">
        <f t="shared" si="270"/>
        <v>0.99936709902044762</v>
      </c>
      <c r="F137" s="23">
        <f t="shared" si="271"/>
        <v>1.0011822386327505</v>
      </c>
      <c r="G137" s="486">
        <f>VLOOKUP(B137,TwoStageCT!A$10:H$72,3,FALSE)/10000</f>
        <v>3.1280516301103777E-5</v>
      </c>
      <c r="H137" s="486">
        <f>VLOOKUP(B137,TwoStageCT!A$10:H$72,6,FALSE)/10000</f>
        <v>4.5493238991726806E-6</v>
      </c>
      <c r="I137" s="19">
        <f>VLOOKUP($A137,'5 A data'!$A$5:$U$650,10,FALSE)</f>
        <v>-0.54600000000000004</v>
      </c>
      <c r="J137" s="32">
        <f>VLOOKUP($A137,'5 A data'!$A$5:$U$650,11,FALSE)</f>
        <v>0.7795803992241338</v>
      </c>
      <c r="K137" s="22">
        <f t="shared" si="272"/>
        <v>-0.39200000000000002</v>
      </c>
      <c r="L137" s="22">
        <f t="shared" si="273"/>
        <v>0.54396095020489932</v>
      </c>
      <c r="M137" s="22">
        <f t="shared" si="274"/>
        <v>-0.54562315554886331</v>
      </c>
      <c r="N137" s="22">
        <f t="shared" si="275"/>
        <v>0.78050659861333072</v>
      </c>
      <c r="O137" s="20"/>
      <c r="P137" s="634">
        <f>VLOOKUP(B137,TwoStageCT!A$10:H$72,4,FALSE)/10000</f>
        <v>4.17832023036102E-6</v>
      </c>
      <c r="Q137" s="364">
        <f>VLOOKUP($A137,'5 A data'!$A$5:$U$650,7,FALSE)*slidewire_res</f>
        <v>2E-3</v>
      </c>
      <c r="R137" s="347">
        <f t="shared" si="258"/>
        <v>-8.8000000000000075E-3</v>
      </c>
      <c r="S137" s="4">
        <v>0</v>
      </c>
      <c r="T137" s="21">
        <f t="shared" si="276"/>
        <v>-1.9600000000000003E-2</v>
      </c>
      <c r="U137" s="29">
        <f t="shared" si="277"/>
        <v>-2.1824926221954534E-3</v>
      </c>
      <c r="V137" s="29">
        <f t="shared" si="259"/>
        <v>5.0000000000000001E-4</v>
      </c>
      <c r="W137" s="23">
        <f>VLOOKUP($D137,Uncertainties!$B$35:$D$41,2,FALSE)</f>
        <v>-1.0000000000000009E-3</v>
      </c>
      <c r="X137" s="23"/>
      <c r="Y137" s="24">
        <f t="shared" si="260"/>
        <v>-4.2339466036833977E-5</v>
      </c>
      <c r="Z137" s="23">
        <f t="shared" si="261"/>
        <v>2.1716700581227391E-2</v>
      </c>
      <c r="AA137" s="25">
        <f t="shared" si="262"/>
        <v>7.2395525308444499</v>
      </c>
      <c r="AB137" s="26">
        <f t="shared" si="263"/>
        <v>2.3306487667528177</v>
      </c>
      <c r="AC137" s="14"/>
      <c r="AD137" s="635">
        <f>VLOOKUP(B137,TwoStageCT!A$10:H$72,7,FALSE)/10000</f>
        <v>1.9770475075939077E-6</v>
      </c>
      <c r="AE137" s="366">
        <f>IF(ABS(VLOOKUP($A137,'5 A data'!$A$5:$U$1148,6,FALSE))&lt;4.5,IF(ABS(VLOOKUP($A137,'5 A data'!$A$5:$U$1148,6,FALSE))&lt;1.25,0.0008,0.002),0.004)*VLOOKUP($A137,'5 A data'!$A$5:$U$1148,7,FALSE)*25*RADIANS(1/60)*100</f>
        <v>5.8177641733144318E-3</v>
      </c>
      <c r="AF137" s="23">
        <f t="shared" si="278"/>
        <v>1.5707963267948967E-2</v>
      </c>
      <c r="AG137" s="29">
        <f t="shared" si="264"/>
        <v>7.8050659861333071E-4</v>
      </c>
      <c r="AH137" s="4">
        <f t="shared" si="279"/>
        <v>2.7198047510244967E-2</v>
      </c>
      <c r="AI137" s="4">
        <f t="shared" si="265"/>
        <v>3.1220263944533228E-3</v>
      </c>
      <c r="AJ137" s="4">
        <f t="shared" si="266"/>
        <v>5.0000000000000001E-4</v>
      </c>
      <c r="AK137" s="21">
        <f>VLOOKUP($D137,Uncertainties!$B$35:$D$41,3,FALSE)</f>
        <v>-1.454441043328647E-3</v>
      </c>
      <c r="AL137" s="21"/>
      <c r="AM137" s="369">
        <f>SQRT((VLOOKUP($A137,'5 A data'!$A$5:$U$1148,7,FALSE)*mutual_ind)^2+(aux_CT_phase*J137)^2)</f>
        <v>3.4099946895891223E-3</v>
      </c>
      <c r="AN137" s="29">
        <f t="shared" si="267"/>
        <v>3.232135492474722E-2</v>
      </c>
      <c r="AO137" s="14">
        <f t="shared" si="268"/>
        <v>8.9532276212376853</v>
      </c>
      <c r="AP137" s="27">
        <f t="shared" si="269"/>
        <v>2.2507093162717013</v>
      </c>
      <c r="AS137" s="27">
        <f>VLOOKUP($B137,TwoStageCT!$A$10:$H$72,5,FALSE)</f>
        <v>36.657700403051521</v>
      </c>
      <c r="AT137" s="27">
        <f>VLOOKUP($B137,TwoStageCT!$A$10:$H$72,8,FALSE)</f>
        <v>53.09445811850042</v>
      </c>
    </row>
    <row r="138" spans="1:46" x14ac:dyDescent="0.2">
      <c r="A138">
        <v>228</v>
      </c>
      <c r="B138" s="5" t="str">
        <f>B133&amp;D138</f>
        <v>120/20040</v>
      </c>
      <c r="C138" s="19">
        <f>VLOOKUP($A138,'5 A data'!$A$5:$U$650,3,FALSE)</f>
        <v>0.21600059637204713</v>
      </c>
      <c r="D138" s="163">
        <f>ROUND(VLOOKUP($A138,'5 A data'!$A$5:$U$650,9,FALSE)/10,0)*10</f>
        <v>40</v>
      </c>
      <c r="E138" s="23">
        <f t="shared" si="270"/>
        <v>0.99936709902044762</v>
      </c>
      <c r="F138" s="23">
        <f t="shared" si="271"/>
        <v>1.0011822386327505</v>
      </c>
      <c r="G138" s="486">
        <f>VLOOKUP(B138,TwoStageCT!A$10:H$72,3,FALSE)/10000</f>
        <v>2.5200167333853628E-5</v>
      </c>
      <c r="H138" s="486">
        <f>VLOOKUP(B138,TwoStageCT!A$10:H$72,6,FALSE)/10000</f>
        <v>5.7416420558101514E-6</v>
      </c>
      <c r="I138" s="19">
        <f>VLOOKUP($A138,'5 A data'!$A$5:$U$650,10,FALSE)</f>
        <v>-0.502</v>
      </c>
      <c r="J138" s="32">
        <f>VLOOKUP($A138,'5 A data'!$A$5:$U$650,11,FALSE)</f>
        <v>0.70104058288438897</v>
      </c>
      <c r="K138" s="22">
        <f t="shared" si="272"/>
        <v>-0.36599999999999999</v>
      </c>
      <c r="L138" s="22">
        <f t="shared" si="273"/>
        <v>0.49741883681838384</v>
      </c>
      <c r="M138" s="22">
        <f t="shared" si="274"/>
        <v>-0.50165708354093086</v>
      </c>
      <c r="N138" s="22">
        <f t="shared" si="275"/>
        <v>0.70187512178665656</v>
      </c>
      <c r="O138" s="20"/>
      <c r="P138" s="634">
        <f>VLOOKUP(B138,TwoStageCT!A$10:H$72,4,FALSE)/10000</f>
        <v>3.3964590328801363E-6</v>
      </c>
      <c r="Q138" s="58">
        <f>VLOOKUP($A138,'5 A data'!$A$5:$U$650,7,FALSE)*slidewire_res</f>
        <v>2E-3</v>
      </c>
      <c r="R138" s="347">
        <f t="shared" si="258"/>
        <v>-2.0000000000000018E-3</v>
      </c>
      <c r="S138" s="4">
        <v>0</v>
      </c>
      <c r="T138" s="21">
        <f t="shared" si="276"/>
        <v>-1.83E-2</v>
      </c>
      <c r="U138" s="29">
        <f t="shared" si="277"/>
        <v>-2.0066283341637235E-3</v>
      </c>
      <c r="V138" s="29">
        <f t="shared" si="259"/>
        <v>5.0000000000000001E-4</v>
      </c>
      <c r="W138" s="23">
        <f>VLOOKUP($D138,Uncertainties!$B$35:$D$41,2,FALSE)</f>
        <v>-1.0000000000000009E-3</v>
      </c>
      <c r="X138" s="23"/>
      <c r="Y138" s="24">
        <f t="shared" si="260"/>
        <v>-3.8927494414818048E-5</v>
      </c>
      <c r="Z138" s="23">
        <f t="shared" si="261"/>
        <v>1.8659262690610905E-2</v>
      </c>
      <c r="AA138" s="25">
        <f t="shared" si="262"/>
        <v>5.402006597308576</v>
      </c>
      <c r="AB138" s="26">
        <f t="shared" si="263"/>
        <v>2.487758686971576</v>
      </c>
      <c r="AC138" s="14"/>
      <c r="AD138" s="635">
        <f>VLOOKUP(B138,TwoStageCT!A$10:H$72,7,FALSE)/10000</f>
        <v>1.6849048737447556E-6</v>
      </c>
      <c r="AE138" s="366">
        <f>IF(ABS(VLOOKUP($A138,'5 A data'!$A$5:$U$1148,6,FALSE))&lt;4.5,IF(ABS(VLOOKUP($A138,'5 A data'!$A$5:$U$1148,6,FALSE))&lt;1.25,0.0008,0.002),0.004)*VLOOKUP($A138,'5 A data'!$A$5:$U$1148,7,FALSE)*25*RADIANS(1/60)*100</f>
        <v>5.8177641733144318E-3</v>
      </c>
      <c r="AF138" s="23">
        <f t="shared" si="278"/>
        <v>1.2799081181291739E-2</v>
      </c>
      <c r="AG138" s="29">
        <f t="shared" si="264"/>
        <v>7.0187512178665663E-4</v>
      </c>
      <c r="AH138" s="4">
        <f t="shared" si="279"/>
        <v>2.4870941840919192E-2</v>
      </c>
      <c r="AI138" s="4">
        <f t="shared" si="265"/>
        <v>2.8075004871466265E-3</v>
      </c>
      <c r="AJ138" s="4">
        <f t="shared" si="266"/>
        <v>5.0000000000000001E-4</v>
      </c>
      <c r="AK138" s="21">
        <f>VLOOKUP($D138,Uncertainties!$B$35:$D$41,3,FALSE)</f>
        <v>-2.908882086657183E-3</v>
      </c>
      <c r="AL138" s="21"/>
      <c r="AM138" s="369">
        <f>SQRT((VLOOKUP($A138,'5 A data'!$A$5:$U$1148,7,FALSE)*mutual_ind)^2+(aux_CT_phase*J138)^2)</f>
        <v>3.4081708315714461E-3</v>
      </c>
      <c r="AN138" s="29">
        <f t="shared" si="267"/>
        <v>2.906765420597348E-2</v>
      </c>
      <c r="AO138" s="14">
        <f t="shared" si="268"/>
        <v>8.688591093844904</v>
      </c>
      <c r="AP138" s="27">
        <f t="shared" si="269"/>
        <v>2.2606925234954747</v>
      </c>
      <c r="AS138" s="27">
        <f>VLOOKUP($B138,TwoStageCT!$A$10:$H$72,5,FALSE)</f>
        <v>38.659909732018328</v>
      </c>
      <c r="AT138" s="27">
        <f>VLOOKUP($B138,TwoStageCT!$A$10:$H$72,8,FALSE)</f>
        <v>52.499330597885681</v>
      </c>
    </row>
    <row r="139" spans="1:46" x14ac:dyDescent="0.2">
      <c r="A139" s="68">
        <v>229</v>
      </c>
      <c r="B139" s="5" t="str">
        <f>B133&amp;D139</f>
        <v>120/20060</v>
      </c>
      <c r="C139" s="19">
        <f>VLOOKUP($A139,'5 A data'!$A$5:$U$650,3,FALSE)</f>
        <v>0.21600059637204713</v>
      </c>
      <c r="D139" s="163">
        <f>ROUND(VLOOKUP($A139,'5 A data'!$A$5:$U$650,9,FALSE)/10,0)*10</f>
        <v>60</v>
      </c>
      <c r="E139" s="23">
        <f t="shared" si="270"/>
        <v>0.99936709902044762</v>
      </c>
      <c r="F139" s="23">
        <f t="shared" si="271"/>
        <v>1.0011822386327505</v>
      </c>
      <c r="G139" s="486">
        <f>VLOOKUP(B139,TwoStageCT!A$10:H$72,3,FALSE)/10000</f>
        <v>2.195627602528684E-5</v>
      </c>
      <c r="H139" s="486">
        <f>VLOOKUP(B139,TwoStageCT!A$10:H$72,6,FALSE)/10000</f>
        <v>5.5507836163637805E-6</v>
      </c>
      <c r="I139" s="19">
        <f>VLOOKUP($A139,'5 A data'!$A$5:$U$650,10,FALSE)</f>
        <v>-0.49199999999999999</v>
      </c>
      <c r="J139" s="32">
        <f>VLOOKUP($A139,'5 A data'!$A$5:$U$650,11,FALSE)</f>
        <v>0.63704517697793028</v>
      </c>
      <c r="K139" s="22">
        <f t="shared" si="272"/>
        <v>-0.36399999999999999</v>
      </c>
      <c r="L139" s="22">
        <f t="shared" si="273"/>
        <v>0.44796784134521128</v>
      </c>
      <c r="M139" s="22">
        <f t="shared" si="274"/>
        <v>-0.49166665644203494</v>
      </c>
      <c r="N139" s="22">
        <f t="shared" si="275"/>
        <v>0.63780386718057736</v>
      </c>
      <c r="O139" s="20"/>
      <c r="P139" s="634">
        <f>VLOOKUP(B139,TwoStageCT!A$10:H$72,4,FALSE)/10000</f>
        <v>2.9709098248278708E-6</v>
      </c>
      <c r="Q139" s="58">
        <f>VLOOKUP($A139,'5 A data'!$A$5:$U$650,7,FALSE)*slidewire_res</f>
        <v>2E-3</v>
      </c>
      <c r="R139" s="347">
        <f t="shared" si="258"/>
        <v>-4.4000000000000037E-3</v>
      </c>
      <c r="S139" s="4">
        <v>0</v>
      </c>
      <c r="T139" s="21">
        <f t="shared" si="276"/>
        <v>-1.8200000000000001E-2</v>
      </c>
      <c r="U139" s="29">
        <f t="shared" si="277"/>
        <v>-1.9666666257681397E-3</v>
      </c>
      <c r="V139" s="29">
        <f t="shared" si="259"/>
        <v>5.0000000000000001E-4</v>
      </c>
      <c r="W139" s="23">
        <f>VLOOKUP($D139,Uncertainties!$B$35:$D$41,2,FALSE)</f>
        <v>-1.0000000000000009E-3</v>
      </c>
      <c r="X139" s="23"/>
      <c r="Y139" s="24">
        <f t="shared" si="260"/>
        <v>-3.8152046318905339E-5</v>
      </c>
      <c r="Z139" s="23">
        <f t="shared" si="261"/>
        <v>1.8966265895580335E-2</v>
      </c>
      <c r="AA139" s="25">
        <f t="shared" si="262"/>
        <v>5.8749856541340497</v>
      </c>
      <c r="AB139" s="26">
        <f t="shared" si="263"/>
        <v>2.4356429277164469</v>
      </c>
      <c r="AC139" s="14"/>
      <c r="AD139" s="635">
        <f>VLOOKUP(B139,TwoStageCT!A$10:H$72,7,FALSE)/10000</f>
        <v>1.6017059195029239E-6</v>
      </c>
      <c r="AE139" s="366">
        <f>IF(ABS(VLOOKUP($A139,'5 A data'!$A$5:$U$1148,6,FALSE))&lt;4.5,IF(ABS(VLOOKUP($A139,'5 A data'!$A$5:$U$1148,6,FALSE))&lt;1.25,0.0008,0.002),0.004)*VLOOKUP($A139,'5 A data'!$A$5:$U$1148,7,FALSE)*25*RADIANS(1/60)*100</f>
        <v>5.8177641733144318E-3</v>
      </c>
      <c r="AF139" s="23">
        <f t="shared" si="278"/>
        <v>2.1525727441263399E-2</v>
      </c>
      <c r="AG139" s="29">
        <f t="shared" si="264"/>
        <v>6.3780386718057739E-4</v>
      </c>
      <c r="AH139" s="4">
        <f t="shared" si="279"/>
        <v>2.2398392067260565E-2</v>
      </c>
      <c r="AI139" s="4">
        <f t="shared" si="265"/>
        <v>2.5512154687223096E-3</v>
      </c>
      <c r="AJ139" s="4">
        <f t="shared" si="266"/>
        <v>5.0000000000000001E-4</v>
      </c>
      <c r="AK139" s="21">
        <f>VLOOKUP($D139,Uncertainties!$B$35:$D$41,3,FALSE)</f>
        <v>-2.908882086657183E-3</v>
      </c>
      <c r="AL139" s="21"/>
      <c r="AM139" s="369">
        <f>SQRT((VLOOKUP($A139,'5 A data'!$A$5:$U$1148,7,FALSE)*mutual_ind)^2+(aux_CT_phase*J139)^2)</f>
        <v>3.4068271641097096E-3</v>
      </c>
      <c r="AN139" s="29">
        <f t="shared" si="267"/>
        <v>3.2033183608206561E-2</v>
      </c>
      <c r="AO139" s="14">
        <f t="shared" si="268"/>
        <v>11.255480949411538</v>
      </c>
      <c r="AP139" s="27">
        <f t="shared" si="269"/>
        <v>2.1857723863272209</v>
      </c>
      <c r="AS139" s="27">
        <f>VLOOKUP($B139,TwoStageCT!$A$10:$H$72,5,FALSE)</f>
        <v>42.291164682130272</v>
      </c>
      <c r="AT139" s="27">
        <f>VLOOKUP($B139,TwoStageCT!$A$10:$H$72,8,FALSE)</f>
        <v>48.978667479860043</v>
      </c>
    </row>
    <row r="140" spans="1:46" x14ac:dyDescent="0.2">
      <c r="A140">
        <v>230</v>
      </c>
      <c r="B140" s="5" t="str">
        <f>B133&amp;D140</f>
        <v>120/200100</v>
      </c>
      <c r="C140" s="19">
        <f>VLOOKUP($A140,'5 A data'!$A$5:$U$650,3,FALSE)</f>
        <v>0.21600059637204713</v>
      </c>
      <c r="D140" s="164">
        <f>ROUND(VLOOKUP($A140,'5 A data'!$A$5:$U$650,9,FALSE)/10,0)*10</f>
        <v>100</v>
      </c>
      <c r="E140" s="23">
        <f t="shared" si="270"/>
        <v>0.99936709902044762</v>
      </c>
      <c r="F140" s="23">
        <f t="shared" si="271"/>
        <v>1.0011822386327505</v>
      </c>
      <c r="G140" s="486">
        <f>VLOOKUP(B140,TwoStageCT!A$10:H$72,3,FALSE)/10000</f>
        <v>1.6881396356939836E-5</v>
      </c>
      <c r="H140" s="486">
        <f>VLOOKUP(B140,TwoStageCT!A$10:H$72,6,FALSE)/10000</f>
        <v>7.3590724152435355E-6</v>
      </c>
      <c r="I140" s="19">
        <f>VLOOKUP($A140,'5 A data'!$A$5:$U$650,10,FALSE)</f>
        <v>-0.47</v>
      </c>
      <c r="J140" s="32">
        <f>VLOOKUP($A140,'5 A data'!$A$5:$U$650,11,FALSE)</f>
        <v>0.52941653977161329</v>
      </c>
      <c r="K140" s="22">
        <f t="shared" si="272"/>
        <v>-0.35</v>
      </c>
      <c r="L140" s="22">
        <f t="shared" si="273"/>
        <v>0.35488361457218032</v>
      </c>
      <c r="M140" s="22">
        <f t="shared" si="274"/>
        <v>-0.46968565514325344</v>
      </c>
      <c r="N140" s="22">
        <f t="shared" si="275"/>
        <v>0.53004979553016363</v>
      </c>
      <c r="O140" s="20"/>
      <c r="P140" s="634">
        <f>VLOOKUP(B140,TwoStageCT!A$10:H$72,4,FALSE)/10000</f>
        <v>2.4131313466023584E-6</v>
      </c>
      <c r="Q140" s="58">
        <f>VLOOKUP($A140,'5 A data'!$A$5:$U$650,7,FALSE)*slidewire_res</f>
        <v>2E-3</v>
      </c>
      <c r="R140" s="347">
        <f t="shared" si="258"/>
        <v>-2.199999999999991E-3</v>
      </c>
      <c r="S140" s="4">
        <v>0</v>
      </c>
      <c r="T140" s="21">
        <f t="shared" si="276"/>
        <v>-1.7499999999999998E-2</v>
      </c>
      <c r="U140" s="29">
        <f t="shared" si="277"/>
        <v>-1.8787426205730139E-3</v>
      </c>
      <c r="V140" s="29">
        <f t="shared" si="259"/>
        <v>5.0000000000000001E-4</v>
      </c>
      <c r="W140" s="23">
        <f>VLOOKUP($D140,Uncertainties!$B$35:$D$41,2,FALSE)</f>
        <v>1.999999999999974E-3</v>
      </c>
      <c r="X140" s="23"/>
      <c r="Y140" s="24">
        <f t="shared" si="260"/>
        <v>-3.6446060507897375E-5</v>
      </c>
      <c r="Z140" s="23">
        <f t="shared" si="261"/>
        <v>1.7968611743061476E-2</v>
      </c>
      <c r="AA140" s="25">
        <f t="shared" si="262"/>
        <v>5.553999235515481</v>
      </c>
      <c r="AB140" s="26">
        <f t="shared" si="263"/>
        <v>2.4697904905710919</v>
      </c>
      <c r="AC140" s="14"/>
      <c r="AD140" s="635">
        <f>VLOOKUP(B140,TwoStageCT!A$10:H$72,7,FALSE)/10000</f>
        <v>1.6933288916776063E-6</v>
      </c>
      <c r="AE140" s="366">
        <f>IF(ABS(VLOOKUP($A140,'5 A data'!$A$5:$U$1148,6,FALSE))&lt;4.5,IF(ABS(VLOOKUP($A140,'5 A data'!$A$5:$U$1148,6,FALSE))&lt;1.25,0.0008,0.002),0.004)*VLOOKUP($A140,'5 A data'!$A$5:$U$1148,7,FALSE)*25*RADIANS(1/60)*100</f>
        <v>5.8177641733144318E-3</v>
      </c>
      <c r="AF140" s="23">
        <f t="shared" si="278"/>
        <v>9.3084226773030854E-3</v>
      </c>
      <c r="AG140" s="29">
        <f t="shared" si="264"/>
        <v>5.3004979553016366E-4</v>
      </c>
      <c r="AH140" s="4">
        <f t="shared" si="279"/>
        <v>1.7744180728609015E-2</v>
      </c>
      <c r="AI140" s="4">
        <f t="shared" si="265"/>
        <v>2.1201991821206546E-3</v>
      </c>
      <c r="AJ140" s="4">
        <f t="shared" si="266"/>
        <v>5.0000000000000001E-4</v>
      </c>
      <c r="AK140" s="21">
        <f>VLOOKUP($D140,Uncertainties!$B$35:$D$41,3,FALSE)</f>
        <v>-2.9088820866572385E-3</v>
      </c>
      <c r="AL140" s="21"/>
      <c r="AM140" s="369">
        <f>SQRT((VLOOKUP($A140,'5 A data'!$A$5:$U$1148,7,FALSE)*mutual_ind)^2+(aux_CT_phase*J140)^2)</f>
        <v>3.4048562456269627E-3</v>
      </c>
      <c r="AN140" s="29">
        <f t="shared" si="267"/>
        <v>2.1457630431098409E-2</v>
      </c>
      <c r="AO140" s="14">
        <f t="shared" si="268"/>
        <v>9.8172617164548548</v>
      </c>
      <c r="AP140" s="27">
        <f t="shared" si="269"/>
        <v>2.2223307082587431</v>
      </c>
      <c r="AS140" s="27">
        <f>VLOOKUP($B140,TwoStageCT!$A$10:$H$72,5,FALSE)</f>
        <v>59.567261398457461</v>
      </c>
      <c r="AT140" s="27">
        <f>VLOOKUP($B140,TwoStageCT!$A$10:$H$72,8,FALSE)</f>
        <v>45.732629829898706</v>
      </c>
    </row>
    <row r="141" spans="1:46" x14ac:dyDescent="0.2">
      <c r="A141" s="68">
        <v>231</v>
      </c>
      <c r="B141" s="5" t="str">
        <f>B133&amp;D141</f>
        <v>120/200120</v>
      </c>
      <c r="C141" s="19">
        <f>VLOOKUP($A141,'5 A data'!$A$5:$U$650,3,FALSE)</f>
        <v>0.21600059637204713</v>
      </c>
      <c r="D141" s="164">
        <f>ROUND(VLOOKUP($A141,'5 A data'!$A$5:$U$650,9,FALSE)/10,0)*10</f>
        <v>120</v>
      </c>
      <c r="E141" s="23">
        <f t="shared" si="270"/>
        <v>0.99936709902044762</v>
      </c>
      <c r="F141" s="23">
        <f t="shared" si="271"/>
        <v>1.0011822386327505</v>
      </c>
      <c r="G141" s="486">
        <f>VLOOKUP(B141,TwoStageCT!A$10:H$72,3,FALSE)/10000</f>
        <v>1.5213305302217845E-5</v>
      </c>
      <c r="H141" s="486">
        <f>VLOOKUP(B141,TwoStageCT!A$10:H$72,6,FALSE)/10000</f>
        <v>7.5885012454326174E-6</v>
      </c>
      <c r="I141" s="19">
        <f>VLOOKUP($A141,'5 A data'!$A$5:$U$650,10,FALSE)</f>
        <v>-0.45900000000000002</v>
      </c>
      <c r="J141" s="32">
        <f>VLOOKUP($A141,'5 A data'!$A$5:$U$650,11,FALSE)</f>
        <v>0.48287442638509787</v>
      </c>
      <c r="K141" s="22">
        <f t="shared" si="272"/>
        <v>-0.34200000000000003</v>
      </c>
      <c r="L141" s="22">
        <f t="shared" si="273"/>
        <v>0.31415926535897931</v>
      </c>
      <c r="M141" s="22">
        <f t="shared" si="274"/>
        <v>-0.45869428514508326</v>
      </c>
      <c r="N141" s="22">
        <f t="shared" si="275"/>
        <v>0.483452887687983</v>
      </c>
      <c r="O141" s="20"/>
      <c r="P141" s="634">
        <f>VLOOKUP(B141,TwoStageCT!A$10:H$72,4,FALSE)/10000</f>
        <v>2.2681305202526645E-6</v>
      </c>
      <c r="Q141" s="58">
        <f>VLOOKUP($A141,'5 A data'!$A$5:$U$650,7,FALSE)*slidewire_res</f>
        <v>2E-3</v>
      </c>
      <c r="R141" s="347">
        <f t="shared" si="258"/>
        <v>0</v>
      </c>
      <c r="S141" s="4">
        <v>0</v>
      </c>
      <c r="T141" s="21">
        <f t="shared" si="276"/>
        <v>-1.7100000000000001E-2</v>
      </c>
      <c r="U141" s="29">
        <f t="shared" si="277"/>
        <v>-1.8347771405803331E-3</v>
      </c>
      <c r="V141" s="29">
        <f t="shared" si="259"/>
        <v>5.0000000000000001E-4</v>
      </c>
      <c r="W141" s="23">
        <f>VLOOKUP($D141,Uncertainties!$B$35:$D$41,2,FALSE)</f>
        <v>-1.0000000000000009E-3</v>
      </c>
      <c r="X141" s="23"/>
      <c r="Y141" s="24">
        <f t="shared" si="260"/>
        <v>-3.5593067602393399E-5</v>
      </c>
      <c r="Z141" s="23">
        <f t="shared" si="261"/>
        <v>1.7350149254875984E-2</v>
      </c>
      <c r="AA141" s="25">
        <f t="shared" si="262"/>
        <v>5.2973329168846908</v>
      </c>
      <c r="AB141" s="26">
        <f t="shared" si="263"/>
        <v>2.5008985897881777</v>
      </c>
      <c r="AC141" s="14"/>
      <c r="AD141" s="635">
        <f>VLOOKUP(B141,TwoStageCT!A$10:H$72,7,FALSE)/10000</f>
        <v>1.7092397901526349E-6</v>
      </c>
      <c r="AE141" s="366">
        <f>IF(ABS(VLOOKUP($A141,'5 A data'!$A$5:$U$1148,6,FALSE))&lt;4.5,IF(ABS(VLOOKUP($A141,'5 A data'!$A$5:$U$1148,6,FALSE))&lt;1.25,0.0008,0.002),0.004)*VLOOKUP($A141,'5 A data'!$A$5:$U$1148,7,FALSE)*25*RADIANS(1/60)*100</f>
        <v>5.8177641733144318E-3</v>
      </c>
      <c r="AF141" s="23">
        <f t="shared" si="278"/>
        <v>0</v>
      </c>
      <c r="AG141" s="29">
        <f t="shared" si="264"/>
        <v>4.8345288768798301E-4</v>
      </c>
      <c r="AH141" s="4">
        <f t="shared" si="279"/>
        <v>1.5707963267948967E-2</v>
      </c>
      <c r="AI141" s="4">
        <f t="shared" si="265"/>
        <v>1.933811550751932E-3</v>
      </c>
      <c r="AJ141" s="4">
        <f t="shared" si="266"/>
        <v>5.0000000000000001E-4</v>
      </c>
      <c r="AK141" s="21">
        <f>VLOOKUP($D141,Uncertainties!$B$35:$D$41,3,FALSE)</f>
        <v>1.4544410433285915E-3</v>
      </c>
      <c r="AL141" s="21"/>
      <c r="AM141" s="369">
        <f>SQRT((VLOOKUP($A141,'5 A data'!$A$5:$U$1148,7,FALSE)*mutual_ind)^2+(aux_CT_phase*J141)^2)</f>
        <v>3.4041163087651571E-3</v>
      </c>
      <c r="AN141" s="29">
        <f t="shared" si="267"/>
        <v>1.7277536089546758E-2</v>
      </c>
      <c r="AO141" s="14">
        <f t="shared" si="268"/>
        <v>7.1659114134809929</v>
      </c>
      <c r="AP141" s="27">
        <f t="shared" si="269"/>
        <v>2.3351004138296227</v>
      </c>
      <c r="AS141" s="27">
        <f>VLOOKUP($B141,TwoStageCT!$A$10:$H$72,5,FALSE)</f>
        <v>68.00069900375496</v>
      </c>
      <c r="AT141" s="27">
        <f>VLOOKUP($B141,TwoStageCT!$A$10:$H$72,8,FALSE)</f>
        <v>47.345132453902309</v>
      </c>
    </row>
    <row r="142" spans="1:46" x14ac:dyDescent="0.2">
      <c r="A142">
        <v>232</v>
      </c>
      <c r="B142" s="5"/>
      <c r="C142" s="19"/>
      <c r="D142" s="19"/>
      <c r="E142" s="23"/>
      <c r="F142" s="23"/>
      <c r="G142" s="347"/>
      <c r="H142" s="347"/>
      <c r="I142" s="19"/>
      <c r="J142" s="32"/>
      <c r="K142" s="31"/>
      <c r="L142" s="31"/>
      <c r="M142" s="638" t="s">
        <v>93</v>
      </c>
      <c r="N142" s="638"/>
      <c r="O142" s="20"/>
      <c r="P142" s="634"/>
      <c r="Q142" s="58"/>
      <c r="R142" s="347"/>
      <c r="S142" s="4"/>
      <c r="T142" s="4"/>
      <c r="U142" s="29"/>
      <c r="V142" s="29"/>
      <c r="W142" s="29"/>
      <c r="X142" s="29"/>
      <c r="Y142" s="24"/>
      <c r="Z142" s="29"/>
      <c r="AA142" s="25"/>
      <c r="AB142" s="26"/>
      <c r="AC142" s="14"/>
      <c r="AD142" s="635"/>
      <c r="AE142" s="35"/>
      <c r="AF142" s="28"/>
      <c r="AG142" s="29"/>
      <c r="AH142" s="4"/>
      <c r="AI142" s="4"/>
      <c r="AJ142" s="4"/>
      <c r="AK142" s="4"/>
      <c r="AL142" s="4"/>
      <c r="AM142" s="24"/>
      <c r="AN142" s="29"/>
      <c r="AO142" s="14"/>
      <c r="AP142" s="27"/>
    </row>
    <row r="143" spans="1:46" x14ac:dyDescent="0.2">
      <c r="A143" s="68">
        <v>233</v>
      </c>
      <c r="B143" s="5" t="str">
        <f>B133&amp;D143</f>
        <v>120/2005</v>
      </c>
      <c r="C143" s="19">
        <f>VLOOKUP($A143,'5 A data'!$A$5:$U$650,3,FALSE)</f>
        <v>2.1000057980615688E-2</v>
      </c>
      <c r="D143" s="19">
        <f>ROUND(VLOOKUP($A143,'5 A data'!$A$5:$U$650,9,FALSE),0)</f>
        <v>5</v>
      </c>
      <c r="E143" s="23">
        <f t="shared" si="270"/>
        <v>0.99936709902044762</v>
      </c>
      <c r="F143" s="23">
        <f t="shared" si="271"/>
        <v>1.0011822386327505</v>
      </c>
      <c r="G143" s="486">
        <f>VLOOKUP(B143,TwoStageCT!A$10:H$72,3,FALSE)/10000</f>
        <v>3.6805932694608759E-5</v>
      </c>
      <c r="H143" s="486">
        <f>VLOOKUP(B143,TwoStageCT!A$10:H$72,6,FALSE)/10000</f>
        <v>4.6965346060309593E-6</v>
      </c>
      <c r="I143" s="19">
        <f>VLOOKUP($A143,'5 A data'!$A$5:$U$650,10,FALSE)</f>
        <v>-0.223</v>
      </c>
      <c r="J143" s="32">
        <f>VLOOKUP($A143,'5 A data'!$A$5:$U$650,11,FALSE)</f>
        <v>0.38688131752540972</v>
      </c>
      <c r="K143" s="31"/>
      <c r="L143" s="31"/>
      <c r="M143" s="31">
        <f>I143*E143+G143</f>
        <v>-0.22282205714886522</v>
      </c>
      <c r="N143" s="31">
        <f>J143*F143+H143</f>
        <v>0.38734340009988372</v>
      </c>
      <c r="O143" s="20"/>
      <c r="P143" s="634">
        <f>VLOOKUP(B143,TwoStageCT!A$10:H$72,4,FALSE)/10000</f>
        <v>6.4429594675743464E-6</v>
      </c>
      <c r="Q143" s="58">
        <f>VLOOKUP($A143,'5 A data'!$A$5:$U$650,7,FALSE)*slidewire_res</f>
        <v>1E-3</v>
      </c>
      <c r="R143" s="347">
        <f t="shared" ref="R143:R149" si="280">current_coef*(I143-I144)*IF(I144=0,0,1)</f>
        <v>-8.400000000000003E-3</v>
      </c>
      <c r="S143" s="4">
        <v>0</v>
      </c>
      <c r="T143" s="4">
        <f>BurdenUnc*K135</f>
        <v>-2.2950000000000005E-2</v>
      </c>
      <c r="U143" s="29">
        <f t="shared" ref="U143:U149" si="281">0.004*M143</f>
        <v>-8.9128822859546087E-4</v>
      </c>
      <c r="V143" s="29">
        <f t="shared" si="259"/>
        <v>5.0000000000000001E-4</v>
      </c>
      <c r="W143" s="23">
        <f>VLOOKUP($D143,Uncertainties!$B$35:$D$41,2,FALSE)</f>
        <v>5.0000000000000044E-3</v>
      </c>
      <c r="X143" s="23"/>
      <c r="Y143" s="24">
        <f t="shared" ref="Y143:Y149" si="282">I143*aux_CT_ratio</f>
        <v>-1.7292492538853439E-5</v>
      </c>
      <c r="Z143" s="23">
        <f t="shared" ref="Z143:Z149" si="283">SQRT(SUMSQ(P143:Y143))</f>
        <v>2.4986140863455849E-2</v>
      </c>
      <c r="AA143" s="25">
        <f t="shared" ref="AA143:AA149" si="284">DoF_A(P143:Y143,$P$7:$Y$7)</f>
        <v>6.8948369973104695</v>
      </c>
      <c r="AB143" s="26">
        <f t="shared" ref="AB143:AB149" si="285">CoverFactor(AA143)</f>
        <v>2.3524681985033373</v>
      </c>
      <c r="AC143" s="14"/>
      <c r="AD143" s="635">
        <f>VLOOKUP(B143,TwoStageCT!A$10:H$72,7,FALSE)/10000</f>
        <v>4.6788986298833412E-6</v>
      </c>
      <c r="AE143" s="366">
        <f>IF(ABS(VLOOKUP($A143,'5 A data'!$A$5:$U$1148,6,FALSE))&lt;4.5,IF(ABS(VLOOKUP($A143,'5 A data'!$A$5:$U$1148,6,FALSE))&lt;1.25,0.0008,0.002),0.004)*VLOOKUP($A143,'5 A data'!$A$5:$U$1148,7,FALSE)*25*RADIANS(1/60)*100</f>
        <v>2.9088820866572159E-3</v>
      </c>
      <c r="AF143" s="23">
        <f t="shared" ref="AF143:AF149" si="286">current_coef*(J143-J144)*IF(J144=0,0,1)</f>
        <v>1.8616845354606181E-2</v>
      </c>
      <c r="AG143" s="29">
        <f t="shared" ref="AG143:AG149" si="287">0.001*N143</f>
        <v>3.8734340009988373E-4</v>
      </c>
      <c r="AH143" s="4">
        <f>BurdenUnc*L135</f>
        <v>3.3015811683559396E-2</v>
      </c>
      <c r="AI143" s="4">
        <f t="shared" ref="AI143:AI149" si="288">0.004*N143</f>
        <v>1.5493736003995349E-3</v>
      </c>
      <c r="AJ143" s="4">
        <f t="shared" si="266"/>
        <v>5.0000000000000001E-4</v>
      </c>
      <c r="AK143" s="21">
        <f>VLOOKUP($D143,Uncertainties!$B$35:$D$41,3,FALSE)</f>
        <v>-1.1635528346628732E-2</v>
      </c>
      <c r="AL143" s="21"/>
      <c r="AM143" s="369">
        <f>SQRT((VLOOKUP($A143,'5 A data'!$A$5:$U$1148,7,FALSE)*mutual_ind)^2+(aux_CT_phase*J143)^2)</f>
        <v>1.704926494183109E-3</v>
      </c>
      <c r="AN143" s="29">
        <f t="shared" ref="AN143:AN149" si="289">SQRT(SUMSQ(AD143:AM143))</f>
        <v>3.9826941342346774E-2</v>
      </c>
      <c r="AO143" s="14">
        <f t="shared" ref="AO143:AO149" si="290">DoF_A(AD143:AM143,$AD$7:$AM$7)</f>
        <v>9.5611292376195767</v>
      </c>
      <c r="AP143" s="27">
        <f t="shared" ref="AP143:AP149" si="291">CoverFactor(AO143)</f>
        <v>2.230139903410453</v>
      </c>
      <c r="AS143" s="27">
        <f>VLOOKUP($B143,TwoStageCT!$A$10:$H$72,5,FALSE)</f>
        <v>26.31606241070681</v>
      </c>
      <c r="AT143" s="27">
        <f>VLOOKUP($B143,TwoStageCT!$A$10:$H$72,8,FALSE)</f>
        <v>9.9413455012810044</v>
      </c>
    </row>
    <row r="144" spans="1:46" x14ac:dyDescent="0.2">
      <c r="A144">
        <v>234</v>
      </c>
      <c r="B144" s="5" t="str">
        <f>B133&amp;D144</f>
        <v>120/20010</v>
      </c>
      <c r="C144" s="19">
        <f>VLOOKUP($A144,'5 A data'!$A$5:$U$650,3,FALSE)</f>
        <v>2.1000057980615688E-2</v>
      </c>
      <c r="D144" s="163">
        <f>ROUND(VLOOKUP($A144,'5 A data'!$A$5:$U$650,9,FALSE)/10,0)*10</f>
        <v>10</v>
      </c>
      <c r="E144" s="23">
        <f t="shared" si="270"/>
        <v>0.99936709902044762</v>
      </c>
      <c r="F144" s="23">
        <f t="shared" si="271"/>
        <v>1.0011822386327505</v>
      </c>
      <c r="G144" s="486">
        <f>VLOOKUP(B144,TwoStageCT!A$10:H$72,3,FALSE)/10000</f>
        <v>3.4690340839935311E-5</v>
      </c>
      <c r="H144" s="486">
        <f>VLOOKUP(B144,TwoStageCT!A$10:H$72,6,FALSE)/10000</f>
        <v>2.6036797087866982E-6</v>
      </c>
      <c r="I144" s="19">
        <f>VLOOKUP($A144,'5 A data'!$A$5:$U$650,10,FALSE)</f>
        <v>-0.18099999999999999</v>
      </c>
      <c r="J144" s="32">
        <f>VLOOKUP($A144,'5 A data'!$A$5:$U$650,11,FALSE)</f>
        <v>0.29379709075237881</v>
      </c>
      <c r="K144" s="31"/>
      <c r="L144" s="31"/>
      <c r="M144" s="31">
        <f t="shared" ref="M144:M149" si="292">I144*E144+G144</f>
        <v>-0.18085075458186106</v>
      </c>
      <c r="N144" s="31">
        <f t="shared" ref="N144:N149" si="293">J144*F144+H144</f>
        <v>0.29414703270296477</v>
      </c>
      <c r="O144" s="20"/>
      <c r="P144" s="634">
        <f>VLOOKUP(B144,TwoStageCT!A$10:H$72,4,FALSE)/10000</f>
        <v>5.0170517941146892E-6</v>
      </c>
      <c r="Q144" s="58">
        <f>VLOOKUP($A144,'5 A data'!$A$5:$U$650,7,FALSE)*slidewire_res</f>
        <v>1E-3</v>
      </c>
      <c r="R144" s="347">
        <f t="shared" si="280"/>
        <v>-5.3999999999999994E-3</v>
      </c>
      <c r="S144" s="4">
        <v>0</v>
      </c>
      <c r="T144" s="4">
        <f t="shared" ref="T144:T149" si="294">BurdenUnc*K136</f>
        <v>-2.1150000000000002E-2</v>
      </c>
      <c r="U144" s="29">
        <f t="shared" si="281"/>
        <v>-7.2340301832744423E-4</v>
      </c>
      <c r="V144" s="29">
        <f t="shared" si="259"/>
        <v>5.0000000000000001E-4</v>
      </c>
      <c r="W144" s="23">
        <f>VLOOKUP($D144,Uncertainties!$B$35:$D$41,2,FALSE)</f>
        <v>2.5000000000000022E-3</v>
      </c>
      <c r="X144" s="23"/>
      <c r="Y144" s="24">
        <f t="shared" si="282"/>
        <v>-1.4035610536020054E-5</v>
      </c>
      <c r="Z144" s="23">
        <f t="shared" si="283"/>
        <v>2.2011497770394843E-2</v>
      </c>
      <c r="AA144" s="25">
        <f t="shared" si="284"/>
        <v>5.8404812754095277</v>
      </c>
      <c r="AB144" s="26">
        <f t="shared" si="285"/>
        <v>2.4390893865472276</v>
      </c>
      <c r="AC144" s="14"/>
      <c r="AD144" s="635">
        <f>VLOOKUP(B144,TwoStageCT!A$10:H$72,7,FALSE)/10000</f>
        <v>2.600738521505678E-6</v>
      </c>
      <c r="AE144" s="366">
        <f>IF(ABS(VLOOKUP($A144,'5 A data'!$A$5:$U$1148,6,FALSE))&lt;4.5,IF(ABS(VLOOKUP($A144,'5 A data'!$A$5:$U$1148,6,FALSE))&lt;1.25,0.0008,0.002),0.004)*VLOOKUP($A144,'5 A data'!$A$5:$U$1148,7,FALSE)*25*RADIANS(1/60)*100</f>
        <v>2.9088820866572159E-3</v>
      </c>
      <c r="AF144" s="23">
        <f t="shared" si="286"/>
        <v>1.1635528346628871E-2</v>
      </c>
      <c r="AG144" s="29">
        <f t="shared" si="287"/>
        <v>2.9414703270296477E-4</v>
      </c>
      <c r="AH144" s="4">
        <f t="shared" ref="AH144:AH149" si="295">BurdenUnc*L136</f>
        <v>2.9816041388236458E-2</v>
      </c>
      <c r="AI144" s="4">
        <f t="shared" si="288"/>
        <v>1.1765881308118591E-3</v>
      </c>
      <c r="AJ144" s="4">
        <f t="shared" si="266"/>
        <v>5.0000000000000001E-4</v>
      </c>
      <c r="AK144" s="21">
        <f>VLOOKUP($D144,Uncertainties!$B$35:$D$41,3,FALSE)</f>
        <v>4.363323129985941E-3</v>
      </c>
      <c r="AL144" s="21"/>
      <c r="AM144" s="369">
        <f>SQRT((VLOOKUP($A144,'5 A data'!$A$5:$U$1148,7,FALSE)*mutual_ind)^2+(aux_CT_phase*J144)^2)</f>
        <v>1.7029382922069904E-3</v>
      </c>
      <c r="AN144" s="29">
        <f t="shared" si="289"/>
        <v>3.2503890773233596E-2</v>
      </c>
      <c r="AO144" s="14">
        <f t="shared" si="290"/>
        <v>6.8997333593538839</v>
      </c>
      <c r="AP144" s="27">
        <f t="shared" si="291"/>
        <v>2.3521399907876583</v>
      </c>
      <c r="AS144" s="27">
        <f>VLOOKUP($B144,TwoStageCT!$A$10:$H$72,5,FALSE)</f>
        <v>38.265350164989712</v>
      </c>
      <c r="AT144" s="27">
        <f>VLOOKUP($B144,TwoStageCT!$A$10:$H$72,8,FALSE)</f>
        <v>16.586629386739094</v>
      </c>
    </row>
    <row r="145" spans="1:46" x14ac:dyDescent="0.2">
      <c r="A145" s="68">
        <v>235</v>
      </c>
      <c r="B145" s="5" t="str">
        <f>B133&amp;D145</f>
        <v>120/20020</v>
      </c>
      <c r="C145" s="19">
        <f>VLOOKUP($A145,'5 A data'!$A$5:$U$650,3,FALSE)</f>
        <v>2.1000057980615688E-2</v>
      </c>
      <c r="D145" s="163">
        <f>ROUND(VLOOKUP($A145,'5 A data'!$A$5:$U$650,9,FALSE)/10,0)*10</f>
        <v>20</v>
      </c>
      <c r="E145" s="23">
        <f t="shared" si="270"/>
        <v>0.99936709902044762</v>
      </c>
      <c r="F145" s="23">
        <f t="shared" si="271"/>
        <v>1.0011822386327505</v>
      </c>
      <c r="G145" s="486">
        <f>VLOOKUP(B145,TwoStageCT!A$10:H$72,3,FALSE)/10000</f>
        <v>3.1280516301103777E-5</v>
      </c>
      <c r="H145" s="486">
        <f>VLOOKUP(B145,TwoStageCT!A$10:H$72,6,FALSE)/10000</f>
        <v>4.5493238991726806E-6</v>
      </c>
      <c r="I145" s="19">
        <f>VLOOKUP($A145,'5 A data'!$A$5:$U$650,10,FALSE)</f>
        <v>-0.154</v>
      </c>
      <c r="J145" s="32">
        <f>VLOOKUP($A145,'5 A data'!$A$5:$U$650,11,FALSE)</f>
        <v>0.23561944901923446</v>
      </c>
      <c r="K145" s="31"/>
      <c r="L145" s="31"/>
      <c r="M145" s="31">
        <f t="shared" si="292"/>
        <v>-0.15387125273284782</v>
      </c>
      <c r="N145" s="31">
        <f t="shared" si="293"/>
        <v>0.23590255675839156</v>
      </c>
      <c r="O145" s="20"/>
      <c r="P145" s="634">
        <f>VLOOKUP(B145,TwoStageCT!A$10:H$72,4,FALSE)/10000</f>
        <v>4.17832023036102E-6</v>
      </c>
      <c r="Q145" s="58">
        <f>VLOOKUP($A145,'5 A data'!$A$5:$U$650,7,FALSE)*slidewire_res</f>
        <v>1E-3</v>
      </c>
      <c r="R145" s="347">
        <f t="shared" si="280"/>
        <v>-3.5999999999999977E-3</v>
      </c>
      <c r="S145" s="4">
        <v>0</v>
      </c>
      <c r="T145" s="4">
        <f t="shared" si="294"/>
        <v>-1.9600000000000003E-2</v>
      </c>
      <c r="U145" s="29">
        <f t="shared" si="281"/>
        <v>-6.1548501093139135E-4</v>
      </c>
      <c r="V145" s="29">
        <f t="shared" si="259"/>
        <v>5.0000000000000001E-4</v>
      </c>
      <c r="W145" s="23">
        <f>VLOOKUP($D145,Uncertainties!$B$35:$D$41,2,FALSE)</f>
        <v>-1.0000000000000009E-3</v>
      </c>
      <c r="X145" s="23"/>
      <c r="Y145" s="24">
        <f t="shared" si="282"/>
        <v>-1.1941900677055737E-5</v>
      </c>
      <c r="Z145" s="23">
        <f t="shared" si="283"/>
        <v>1.9993723561808917E-2</v>
      </c>
      <c r="AA145" s="25">
        <f t="shared" si="284"/>
        <v>5.4078138689174287</v>
      </c>
      <c r="AB145" s="26">
        <f t="shared" si="285"/>
        <v>2.4870485981795785</v>
      </c>
      <c r="AC145" s="14"/>
      <c r="AD145" s="635">
        <f>VLOOKUP(B145,TwoStageCT!A$10:H$72,7,FALSE)/10000</f>
        <v>1.9770475075939077E-6</v>
      </c>
      <c r="AE145" s="366">
        <f>IF(ABS(VLOOKUP($A145,'5 A data'!$A$5:$U$1148,6,FALSE))&lt;4.5,IF(ABS(VLOOKUP($A145,'5 A data'!$A$5:$U$1148,6,FALSE))&lt;1.25,0.0008,0.002),0.004)*VLOOKUP($A145,'5 A data'!$A$5:$U$1148,7,FALSE)*25*RADIANS(1/60)*100</f>
        <v>2.9088820866572159E-3</v>
      </c>
      <c r="AF145" s="23">
        <f t="shared" si="286"/>
        <v>6.3995405906458695E-3</v>
      </c>
      <c r="AG145" s="29">
        <f t="shared" si="287"/>
        <v>2.3590255675839155E-4</v>
      </c>
      <c r="AH145" s="4">
        <f t="shared" si="295"/>
        <v>2.7198047510244967E-2</v>
      </c>
      <c r="AI145" s="4">
        <f t="shared" si="288"/>
        <v>9.4361022703356621E-4</v>
      </c>
      <c r="AJ145" s="4">
        <f t="shared" si="266"/>
        <v>5.0000000000000001E-4</v>
      </c>
      <c r="AK145" s="21">
        <f>VLOOKUP($D145,Uncertainties!$B$35:$D$41,3,FALSE)</f>
        <v>-1.454441043328647E-3</v>
      </c>
      <c r="AL145" s="21"/>
      <c r="AM145" s="369">
        <f>SQRT((VLOOKUP($A145,'5 A data'!$A$5:$U$1148,7,FALSE)*mutual_ind)^2+(aux_CT_phase*J145)^2)</f>
        <v>1.7019709662055432E-3</v>
      </c>
      <c r="AN145" s="29">
        <f t="shared" si="289"/>
        <v>2.8202086115016949E-2</v>
      </c>
      <c r="AO145" s="14">
        <f t="shared" si="290"/>
        <v>5.7616852467332453</v>
      </c>
      <c r="AP145" s="27">
        <f t="shared" si="291"/>
        <v>2.4471532970919752</v>
      </c>
      <c r="AS145" s="27">
        <f>VLOOKUP($B145,TwoStageCT!$A$10:$H$72,5,FALSE)</f>
        <v>36.657700403051521</v>
      </c>
      <c r="AT145" s="27">
        <f>VLOOKUP($B145,TwoStageCT!$A$10:$H$72,8,FALSE)</f>
        <v>53.09445811850042</v>
      </c>
    </row>
    <row r="146" spans="1:46" x14ac:dyDescent="0.2">
      <c r="A146">
        <v>236</v>
      </c>
      <c r="B146" s="5" t="str">
        <f>B133&amp;D146</f>
        <v>120/20040</v>
      </c>
      <c r="C146" s="19">
        <f>VLOOKUP($A146,'5 A data'!$A$5:$U$650,3,FALSE)</f>
        <v>2.1000057980615688E-2</v>
      </c>
      <c r="D146" s="163">
        <f>ROUND(VLOOKUP($A146,'5 A data'!$A$5:$U$650,9,FALSE)/10,0)*10</f>
        <v>40</v>
      </c>
      <c r="E146" s="23">
        <f t="shared" si="270"/>
        <v>0.99936709902044762</v>
      </c>
      <c r="F146" s="23">
        <f t="shared" si="271"/>
        <v>1.0011822386327505</v>
      </c>
      <c r="G146" s="486">
        <f>VLOOKUP(B146,TwoStageCT!A$10:H$72,3,FALSE)/10000</f>
        <v>2.5200167333853628E-5</v>
      </c>
      <c r="H146" s="486">
        <f>VLOOKUP(B146,TwoStageCT!A$10:H$72,6,FALSE)/10000</f>
        <v>5.7416420558101514E-6</v>
      </c>
      <c r="I146" s="19">
        <f>VLOOKUP($A146,'5 A data'!$A$5:$U$650,10,FALSE)</f>
        <v>-0.13600000000000001</v>
      </c>
      <c r="J146" s="32">
        <f>VLOOKUP($A146,'5 A data'!$A$5:$U$650,11,FALSE)</f>
        <v>0.20362174606600511</v>
      </c>
      <c r="K146" s="31"/>
      <c r="L146" s="31"/>
      <c r="M146" s="31">
        <f t="shared" si="292"/>
        <v>-0.13588872529944704</v>
      </c>
      <c r="N146" s="31">
        <f t="shared" si="293"/>
        <v>0.20386821720272824</v>
      </c>
      <c r="O146" s="20"/>
      <c r="P146" s="634">
        <f>VLOOKUP(B146,TwoStageCT!A$10:H$72,4,FALSE)/10000</f>
        <v>3.3964590328801363E-6</v>
      </c>
      <c r="Q146" s="58">
        <f>VLOOKUP($A146,'5 A data'!$A$5:$U$650,7,FALSE)*slidewire_res</f>
        <v>1E-3</v>
      </c>
      <c r="R146" s="347">
        <f t="shared" si="280"/>
        <v>-1.6000000000000016E-3</v>
      </c>
      <c r="S146" s="4">
        <v>0</v>
      </c>
      <c r="T146" s="4">
        <f t="shared" si="294"/>
        <v>-1.83E-2</v>
      </c>
      <c r="U146" s="29">
        <f t="shared" si="281"/>
        <v>-5.4355490119778818E-4</v>
      </c>
      <c r="V146" s="29">
        <f t="shared" si="259"/>
        <v>5.0000000000000001E-4</v>
      </c>
      <c r="W146" s="23">
        <f>VLOOKUP($D146,Uncertainties!$B$35:$D$41,2,FALSE)</f>
        <v>-1.0000000000000009E-3</v>
      </c>
      <c r="X146" s="23"/>
      <c r="Y146" s="24">
        <f t="shared" si="282"/>
        <v>-1.0546094104412859E-5</v>
      </c>
      <c r="Z146" s="23">
        <f t="shared" si="283"/>
        <v>1.843896891603896E-2</v>
      </c>
      <c r="AA146" s="25">
        <f t="shared" si="284"/>
        <v>5.1532450619315133</v>
      </c>
      <c r="AB146" s="26">
        <f t="shared" si="285"/>
        <v>2.5201095462408629</v>
      </c>
      <c r="AC146" s="14"/>
      <c r="AD146" s="635">
        <f>VLOOKUP(B146,TwoStageCT!A$10:H$72,7,FALSE)/10000</f>
        <v>1.6849048737447556E-6</v>
      </c>
      <c r="AE146" s="366">
        <f>IF(ABS(VLOOKUP($A146,'5 A data'!$A$5:$U$1148,6,FALSE))&lt;4.5,IF(ABS(VLOOKUP($A146,'5 A data'!$A$5:$U$1148,6,FALSE))&lt;1.25,0.0008,0.002),0.004)*VLOOKUP($A146,'5 A data'!$A$5:$U$1148,7,FALSE)*25*RADIANS(1/60)*100</f>
        <v>2.9088820866572159E-3</v>
      </c>
      <c r="AF146" s="23">
        <f t="shared" si="286"/>
        <v>2.9088820866572163E-3</v>
      </c>
      <c r="AG146" s="29">
        <f t="shared" si="287"/>
        <v>2.0386821720272825E-4</v>
      </c>
      <c r="AH146" s="4">
        <f t="shared" si="295"/>
        <v>2.4870941840919192E-2</v>
      </c>
      <c r="AI146" s="4">
        <f t="shared" si="288"/>
        <v>8.15472868810913E-4</v>
      </c>
      <c r="AJ146" s="4">
        <f t="shared" si="266"/>
        <v>5.0000000000000001E-4</v>
      </c>
      <c r="AK146" s="21">
        <f>VLOOKUP($D146,Uncertainties!$B$35:$D$41,3,FALSE)</f>
        <v>-2.908882086657183E-3</v>
      </c>
      <c r="AL146" s="21"/>
      <c r="AM146" s="369">
        <f>SQRT((VLOOKUP($A146,'5 A data'!$A$5:$U$1148,7,FALSE)*mutual_ind)^2+(aux_CT_phase*J146)^2)</f>
        <v>1.7015293745539157E-3</v>
      </c>
      <c r="AN146" s="29">
        <f t="shared" si="289"/>
        <v>2.5451921270067939E-2</v>
      </c>
      <c r="AO146" s="14">
        <f t="shared" si="290"/>
        <v>5.481233171276811</v>
      </c>
      <c r="AP146" s="27">
        <f t="shared" si="291"/>
        <v>2.4782353790853668</v>
      </c>
      <c r="AS146" s="27">
        <f>VLOOKUP($B146,TwoStageCT!$A$10:$H$72,5,FALSE)</f>
        <v>38.659909732018328</v>
      </c>
      <c r="AT146" s="27">
        <f>VLOOKUP($B146,TwoStageCT!$A$10:$H$72,8,FALSE)</f>
        <v>52.499330597885681</v>
      </c>
    </row>
    <row r="147" spans="1:46" x14ac:dyDescent="0.2">
      <c r="A147" s="68">
        <v>237</v>
      </c>
      <c r="B147" s="5" t="str">
        <f>B133&amp;D147</f>
        <v>120/20060</v>
      </c>
      <c r="C147" s="19">
        <f>VLOOKUP($A147,'5 A data'!$A$5:$U$650,3,FALSE)</f>
        <v>2.1000057980615688E-2</v>
      </c>
      <c r="D147" s="163">
        <f>ROUND(VLOOKUP($A147,'5 A data'!$A$5:$U$650,9,FALSE)/10,0)*10</f>
        <v>60</v>
      </c>
      <c r="E147" s="23">
        <f t="shared" si="270"/>
        <v>0.99936709902044762</v>
      </c>
      <c r="F147" s="23">
        <f t="shared" si="271"/>
        <v>1.0011822386327505</v>
      </c>
      <c r="G147" s="486">
        <f>VLOOKUP(B147,TwoStageCT!A$10:H$72,3,FALSE)/10000</f>
        <v>2.195627602528684E-5</v>
      </c>
      <c r="H147" s="486">
        <f>VLOOKUP(B147,TwoStageCT!A$10:H$72,6,FALSE)/10000</f>
        <v>5.5507836163637805E-6</v>
      </c>
      <c r="I147" s="19">
        <f>VLOOKUP($A147,'5 A data'!$A$5:$U$650,10,FALSE)</f>
        <v>-0.128</v>
      </c>
      <c r="J147" s="32">
        <f>VLOOKUP($A147,'5 A data'!$A$5:$U$650,11,FALSE)</f>
        <v>0.18907733563271903</v>
      </c>
      <c r="K147" s="31"/>
      <c r="L147" s="31"/>
      <c r="M147" s="31">
        <f t="shared" si="292"/>
        <v>-0.12789703239859201</v>
      </c>
      <c r="N147" s="31">
        <f t="shared" si="293"/>
        <v>0.1893064209470979</v>
      </c>
      <c r="O147" s="20"/>
      <c r="P147" s="634">
        <f>VLOOKUP(B147,TwoStageCT!A$10:H$72,4,FALSE)/10000</f>
        <v>2.9709098248278708E-6</v>
      </c>
      <c r="Q147" s="58">
        <f>VLOOKUP($A147,'5 A data'!$A$5:$U$650,7,FALSE)*slidewire_res</f>
        <v>1E-3</v>
      </c>
      <c r="R147" s="347">
        <f t="shared" si="280"/>
        <v>-1.6000000000000016E-3</v>
      </c>
      <c r="S147" s="4">
        <v>0</v>
      </c>
      <c r="T147" s="4">
        <f t="shared" si="294"/>
        <v>-1.8200000000000001E-2</v>
      </c>
      <c r="U147" s="29">
        <f t="shared" si="281"/>
        <v>-5.1158812959436811E-4</v>
      </c>
      <c r="V147" s="29">
        <f t="shared" si="259"/>
        <v>5.0000000000000001E-4</v>
      </c>
      <c r="W147" s="23">
        <f>VLOOKUP($D147,Uncertainties!$B$35:$D$41,2,FALSE)</f>
        <v>-1.0000000000000009E-3</v>
      </c>
      <c r="X147" s="23"/>
      <c r="Y147" s="24">
        <f t="shared" si="282"/>
        <v>-9.925735627682691E-6</v>
      </c>
      <c r="Z147" s="23">
        <f t="shared" si="283"/>
        <v>1.8338806661309093E-2</v>
      </c>
      <c r="AA147" s="25">
        <f t="shared" si="284"/>
        <v>5.1539089364228898</v>
      </c>
      <c r="AB147" s="26">
        <f t="shared" si="285"/>
        <v>2.5200178652114444</v>
      </c>
      <c r="AC147" s="14"/>
      <c r="AD147" s="635">
        <f>VLOOKUP(B147,TwoStageCT!A$10:H$72,7,FALSE)/10000</f>
        <v>1.6017059195029239E-6</v>
      </c>
      <c r="AE147" s="366">
        <f>IF(ABS(VLOOKUP($A147,'5 A data'!$A$5:$U$1148,6,FALSE))&lt;4.5,IF(ABS(VLOOKUP($A147,'5 A data'!$A$5:$U$1148,6,FALSE))&lt;1.25,0.0008,0.002),0.004)*VLOOKUP($A147,'5 A data'!$A$5:$U$1148,7,FALSE)*25*RADIANS(1/60)*100</f>
        <v>2.9088820866572159E-3</v>
      </c>
      <c r="AF147" s="23">
        <f t="shared" si="286"/>
        <v>2.9088820866572163E-3</v>
      </c>
      <c r="AG147" s="29">
        <f t="shared" si="287"/>
        <v>1.893064209470979E-4</v>
      </c>
      <c r="AH147" s="4">
        <f t="shared" si="295"/>
        <v>2.2398392067260565E-2</v>
      </c>
      <c r="AI147" s="4">
        <f t="shared" si="288"/>
        <v>7.5722568378839162E-4</v>
      </c>
      <c r="AJ147" s="4">
        <f t="shared" si="266"/>
        <v>5.0000000000000001E-4</v>
      </c>
      <c r="AK147" s="21">
        <f>VLOOKUP($D147,Uncertainties!$B$35:$D$41,3,FALSE)</f>
        <v>-2.908882086657183E-3</v>
      </c>
      <c r="AL147" s="21"/>
      <c r="AM147" s="369">
        <f>SQRT((VLOOKUP($A147,'5 A data'!$A$5:$U$1148,7,FALSE)*mutual_ind)^2+(aux_CT_phase*J147)^2)</f>
        <v>1.7013498870354781E-3</v>
      </c>
      <c r="AN147" s="29">
        <f t="shared" si="289"/>
        <v>2.3039673909188138E-2</v>
      </c>
      <c r="AO147" s="14">
        <f t="shared" si="290"/>
        <v>5.593664551565964</v>
      </c>
      <c r="AP147" s="27">
        <f t="shared" si="291"/>
        <v>2.465303592641177</v>
      </c>
      <c r="AS147" s="27">
        <f>VLOOKUP($B147,TwoStageCT!$A$10:$H$72,5,FALSE)</f>
        <v>42.291164682130272</v>
      </c>
      <c r="AT147" s="27">
        <f>VLOOKUP($B147,TwoStageCT!$A$10:$H$72,8,FALSE)</f>
        <v>48.978667479860043</v>
      </c>
    </row>
    <row r="148" spans="1:46" x14ac:dyDescent="0.2">
      <c r="A148">
        <v>238</v>
      </c>
      <c r="B148" s="5" t="str">
        <f>B133&amp;D148</f>
        <v>120/200100</v>
      </c>
      <c r="C148" s="19">
        <f>VLOOKUP($A148,'5 A data'!$A$5:$U$650,3,FALSE)</f>
        <v>2.1000057980615688E-2</v>
      </c>
      <c r="D148" s="164">
        <f>ROUND(VLOOKUP($A148,'5 A data'!$A$5:$U$650,9,FALSE)/10,0)*10</f>
        <v>100</v>
      </c>
      <c r="E148" s="23">
        <f t="shared" si="270"/>
        <v>0.99936709902044762</v>
      </c>
      <c r="F148" s="23">
        <f t="shared" si="271"/>
        <v>1.0011822386327505</v>
      </c>
      <c r="G148" s="486">
        <f>VLOOKUP(B148,TwoStageCT!A$10:H$72,3,FALSE)/10000</f>
        <v>1.6881396356939836E-5</v>
      </c>
      <c r="H148" s="486">
        <f>VLOOKUP(B148,TwoStageCT!A$10:H$72,6,FALSE)/10000</f>
        <v>7.3590724152435355E-6</v>
      </c>
      <c r="I148" s="19">
        <f>VLOOKUP($A148,'5 A data'!$A$5:$U$650,10,FALSE)</f>
        <v>-0.12</v>
      </c>
      <c r="J148" s="32">
        <f>VLOOKUP($A148,'5 A data'!$A$5:$U$650,11,FALSE)</f>
        <v>0.17453292519943295</v>
      </c>
      <c r="K148" s="31"/>
      <c r="L148" s="31"/>
      <c r="M148" s="31">
        <f t="shared" si="292"/>
        <v>-0.11990717048609677</v>
      </c>
      <c r="N148" s="31">
        <f t="shared" si="293"/>
        <v>0.17474662383870593</v>
      </c>
      <c r="O148" s="20"/>
      <c r="P148" s="634">
        <f>VLOOKUP(B148,TwoStageCT!A$10:H$72,4,FALSE)/10000</f>
        <v>2.4131313466023584E-6</v>
      </c>
      <c r="Q148" s="58">
        <f>VLOOKUP($A148,'5 A data'!$A$5:$U$650,7,FALSE)*slidewire_res</f>
        <v>1E-3</v>
      </c>
      <c r="R148" s="347">
        <f t="shared" si="280"/>
        <v>-5.9999999999999778E-4</v>
      </c>
      <c r="S148" s="4">
        <v>0</v>
      </c>
      <c r="T148" s="4">
        <f t="shared" si="294"/>
        <v>-1.7499999999999998E-2</v>
      </c>
      <c r="U148" s="29">
        <f t="shared" si="281"/>
        <v>-4.7962868194438709E-4</v>
      </c>
      <c r="V148" s="29">
        <f t="shared" si="259"/>
        <v>5.0000000000000001E-4</v>
      </c>
      <c r="W148" s="23">
        <f>VLOOKUP($D148,Uncertainties!$B$35:$D$41,2,FALSE)</f>
        <v>1.999999999999974E-3</v>
      </c>
      <c r="X148" s="23"/>
      <c r="Y148" s="24">
        <f t="shared" si="282"/>
        <v>-9.3053771509525226E-6</v>
      </c>
      <c r="Z148" s="23">
        <f t="shared" si="283"/>
        <v>1.7666073023900653E-2</v>
      </c>
      <c r="AA148" s="25">
        <f t="shared" si="284"/>
        <v>5.1920933909741036</v>
      </c>
      <c r="AB148" s="26">
        <f t="shared" si="285"/>
        <v>2.5147952261146971</v>
      </c>
      <c r="AC148" s="14"/>
      <c r="AD148" s="635">
        <f>VLOOKUP(B148,TwoStageCT!A$10:H$72,7,FALSE)/10000</f>
        <v>1.6933288916776063E-6</v>
      </c>
      <c r="AE148" s="366">
        <f>IF(ABS(VLOOKUP($A148,'5 A data'!$A$5:$U$1148,6,FALSE))&lt;4.5,IF(ABS(VLOOKUP($A148,'5 A data'!$A$5:$U$1148,6,FALSE))&lt;1.25,0.0008,0.002),0.004)*VLOOKUP($A148,'5 A data'!$A$5:$U$1148,7,FALSE)*25*RADIANS(1/60)*100</f>
        <v>2.9088820866572159E-3</v>
      </c>
      <c r="AF148" s="23">
        <f t="shared" si="286"/>
        <v>1.1635528346628844E-3</v>
      </c>
      <c r="AG148" s="29">
        <f t="shared" si="287"/>
        <v>1.7474662383870594E-4</v>
      </c>
      <c r="AH148" s="4">
        <f t="shared" si="295"/>
        <v>1.7744180728609015E-2</v>
      </c>
      <c r="AI148" s="4">
        <f t="shared" si="288"/>
        <v>6.9898649535482375E-4</v>
      </c>
      <c r="AJ148" s="4">
        <f t="shared" si="266"/>
        <v>5.0000000000000001E-4</v>
      </c>
      <c r="AK148" s="21">
        <f>VLOOKUP($D148,Uncertainties!$B$35:$D$41,3,FALSE)</f>
        <v>-2.9088820866572385E-3</v>
      </c>
      <c r="AL148" s="21"/>
      <c r="AM148" s="369">
        <f>SQRT((VLOOKUP($A148,'5 A data'!$A$5:$U$1148,7,FALSE)*mutual_ind)^2+(aux_CT_phase*J148)^2)</f>
        <v>1.7011836780036968E-3</v>
      </c>
      <c r="AN148" s="29">
        <f t="shared" si="289"/>
        <v>1.8352006489581529E-2</v>
      </c>
      <c r="AO148" s="14">
        <f t="shared" si="290"/>
        <v>5.7147272570720977</v>
      </c>
      <c r="AP148" s="27">
        <f t="shared" si="291"/>
        <v>2.4520913449814294</v>
      </c>
      <c r="AS148" s="27">
        <f>VLOOKUP($B148,TwoStageCT!$A$10:$H$72,5,FALSE)</f>
        <v>59.567261398457461</v>
      </c>
      <c r="AT148" s="27">
        <f>VLOOKUP($B148,TwoStageCT!$A$10:$H$72,8,FALSE)</f>
        <v>45.732629829898706</v>
      </c>
    </row>
    <row r="149" spans="1:46" x14ac:dyDescent="0.2">
      <c r="A149" s="68">
        <v>239</v>
      </c>
      <c r="B149" s="5" t="str">
        <f>B133&amp;D149</f>
        <v>120/200120</v>
      </c>
      <c r="C149" s="19">
        <f>VLOOKUP($A149,'5 A data'!$A$5:$U$650,3,FALSE)</f>
        <v>2.1000057980615688E-2</v>
      </c>
      <c r="D149" s="164">
        <f>ROUND(VLOOKUP($A149,'5 A data'!$A$5:$U$650,9,FALSE)/10,0)*10</f>
        <v>120</v>
      </c>
      <c r="E149" s="23">
        <f t="shared" si="270"/>
        <v>0.99936709902044762</v>
      </c>
      <c r="F149" s="23">
        <f t="shared" si="271"/>
        <v>1.0011822386327505</v>
      </c>
      <c r="G149" s="486">
        <f>VLOOKUP(B149,TwoStageCT!A$10:H$72,3,FALSE)/10000</f>
        <v>1.5213305302217845E-5</v>
      </c>
      <c r="H149" s="486">
        <f>VLOOKUP(B149,TwoStageCT!A$10:H$72,6,FALSE)/10000</f>
        <v>7.5885012454326174E-6</v>
      </c>
      <c r="I149" s="19">
        <f>VLOOKUP($A149,'5 A data'!$A$5:$U$650,10,FALSE)</f>
        <v>-0.11700000000000001</v>
      </c>
      <c r="J149" s="32">
        <f>VLOOKUP($A149,'5 A data'!$A$5:$U$650,11,FALSE)</f>
        <v>0.16871516102611853</v>
      </c>
      <c r="K149" s="31"/>
      <c r="L149" s="31"/>
      <c r="M149" s="31">
        <f t="shared" si="292"/>
        <v>-0.11691073728009016</v>
      </c>
      <c r="N149" s="31">
        <f t="shared" si="293"/>
        <v>0.16892221110865976</v>
      </c>
      <c r="O149" s="20"/>
      <c r="P149" s="634">
        <f>VLOOKUP(B149,TwoStageCT!A$10:H$72,4,FALSE)/10000</f>
        <v>2.2681305202526645E-6</v>
      </c>
      <c r="Q149" s="58">
        <f>VLOOKUP($A149,'5 A data'!$A$5:$U$650,7,FALSE)*slidewire_res</f>
        <v>1E-3</v>
      </c>
      <c r="R149" s="347">
        <f t="shared" si="280"/>
        <v>0</v>
      </c>
      <c r="S149" s="4">
        <v>0</v>
      </c>
      <c r="T149" s="4">
        <f t="shared" si="294"/>
        <v>-1.7100000000000001E-2</v>
      </c>
      <c r="U149" s="29">
        <f t="shared" si="281"/>
        <v>-4.6764294912036064E-4</v>
      </c>
      <c r="V149" s="29">
        <f t="shared" si="259"/>
        <v>5.0000000000000001E-4</v>
      </c>
      <c r="W149" s="23">
        <f>VLOOKUP($D149,Uncertainties!$B$35:$D$41,2,FALSE)</f>
        <v>-1.0000000000000009E-3</v>
      </c>
      <c r="X149" s="23"/>
      <c r="Y149" s="24">
        <f t="shared" si="282"/>
        <v>-9.0727427221787089E-6</v>
      </c>
      <c r="Z149" s="23">
        <f t="shared" si="283"/>
        <v>1.7172034748012203E-2</v>
      </c>
      <c r="AA149" s="25">
        <f t="shared" si="284"/>
        <v>5.0846952179353941</v>
      </c>
      <c r="AB149" s="26">
        <f t="shared" si="285"/>
        <v>2.5297426104416698</v>
      </c>
      <c r="AC149" s="14"/>
      <c r="AD149" s="635">
        <f>VLOOKUP(B149,TwoStageCT!A$10:H$72,7,FALSE)/10000</f>
        <v>1.7092397901526349E-6</v>
      </c>
      <c r="AE149" s="366">
        <f>IF(ABS(VLOOKUP($A149,'5 A data'!$A$5:$U$1148,6,FALSE))&lt;4.5,IF(ABS(VLOOKUP($A149,'5 A data'!$A$5:$U$1148,6,FALSE))&lt;1.25,0.0008,0.002),0.004)*VLOOKUP($A149,'5 A data'!$A$5:$U$1148,7,FALSE)*25*RADIANS(1/60)*100</f>
        <v>2.9088820866572159E-3</v>
      </c>
      <c r="AF149" s="23">
        <f t="shared" si="286"/>
        <v>0</v>
      </c>
      <c r="AG149" s="29">
        <f t="shared" si="287"/>
        <v>1.6892221110865978E-4</v>
      </c>
      <c r="AH149" s="4">
        <f t="shared" si="295"/>
        <v>1.5707963267948967E-2</v>
      </c>
      <c r="AI149" s="4">
        <f t="shared" si="288"/>
        <v>6.756888444346391E-4</v>
      </c>
      <c r="AJ149" s="4">
        <f t="shared" si="266"/>
        <v>5.0000000000000001E-4</v>
      </c>
      <c r="AK149" s="21">
        <f>VLOOKUP($D149,Uncertainties!$B$35:$D$41,3,FALSE)</f>
        <v>1.4544410433285915E-3</v>
      </c>
      <c r="AL149" s="21"/>
      <c r="AM149" s="369">
        <f>SQRT((VLOOKUP($A149,'5 A data'!$A$5:$U$1148,7,FALSE)*mutual_ind)^2+(aux_CT_phase*J149)^2)</f>
        <v>1.7011209132495365E-3</v>
      </c>
      <c r="AN149" s="29">
        <f t="shared" si="289"/>
        <v>1.6153823361072225E-2</v>
      </c>
      <c r="AO149" s="14">
        <f t="shared" si="290"/>
        <v>5.5847921299622687</v>
      </c>
      <c r="AP149" s="27">
        <f t="shared" si="291"/>
        <v>2.4663002623576085</v>
      </c>
      <c r="AS149" s="27">
        <f>VLOOKUP($B149,TwoStageCT!$A$10:$H$72,5,FALSE)</f>
        <v>68.00069900375496</v>
      </c>
      <c r="AT149" s="27">
        <f>VLOOKUP($B149,TwoStageCT!$A$10:$H$72,8,FALSE)</f>
        <v>47.345132453902309</v>
      </c>
    </row>
    <row r="150" spans="1:46" x14ac:dyDescent="0.2">
      <c r="A150">
        <v>240</v>
      </c>
      <c r="P150" s="97"/>
      <c r="R150" s="42"/>
      <c r="AD150" s="250"/>
    </row>
    <row r="151" spans="1:46" x14ac:dyDescent="0.2">
      <c r="A151" s="409">
        <v>259</v>
      </c>
      <c r="B151" s="474" t="str">
        <f>MID(D151,FIND("AT,",D151,1)-4,3)&amp;"/"&amp;MID(D151,FIND("AT,",D151,1)+4,3)</f>
        <v>120/200</v>
      </c>
      <c r="C151" t="s">
        <v>113</v>
      </c>
      <c r="D151" s="59" t="str">
        <f>VLOOKUP($A151,'5 A data'!$A$5:$U$574,2,FALSE)</f>
        <v>200/5 Range, 1 turns @ 5VA burden, vs 120 AT, 200 range, 2 Stage CT</v>
      </c>
      <c r="K151" s="410" t="s">
        <v>501</v>
      </c>
      <c r="L151" s="409"/>
      <c r="M151" s="409"/>
      <c r="N151" s="409"/>
      <c r="P151" s="97"/>
      <c r="R151" s="42"/>
      <c r="Z151" s="29"/>
      <c r="AA151" s="25"/>
      <c r="AD151" s="250"/>
      <c r="AN151" s="29"/>
      <c r="AO151" s="14"/>
    </row>
    <row r="152" spans="1:46" x14ac:dyDescent="0.2">
      <c r="A152" s="409">
        <v>260</v>
      </c>
      <c r="C152" s="19"/>
      <c r="M152" s="638" t="s">
        <v>160</v>
      </c>
      <c r="N152" s="638"/>
      <c r="O152" s="19"/>
      <c r="P152" s="97"/>
      <c r="R152" s="42"/>
      <c r="Z152" s="29"/>
      <c r="AA152" s="25"/>
      <c r="AD152" s="250"/>
      <c r="AN152" s="29"/>
      <c r="AO152" s="14"/>
    </row>
    <row r="153" spans="1:46" x14ac:dyDescent="0.2">
      <c r="A153" s="409">
        <v>261</v>
      </c>
      <c r="B153" s="5" t="str">
        <f>B151&amp;D153</f>
        <v>120/2005</v>
      </c>
      <c r="C153" s="19">
        <f>VLOOKUP($A153,'5 A data'!$A$5:$U$574,3,FALSE)</f>
        <v>0.21600059637204713</v>
      </c>
      <c r="D153" s="19">
        <f>ROUND(VLOOKUP($A153,'5 A data'!$A$5:$U$650,9,FALSE),0)</f>
        <v>5</v>
      </c>
      <c r="E153" s="23">
        <f>TestSetRatioCor</f>
        <v>0.99936709902044762</v>
      </c>
      <c r="F153" s="23">
        <f>TestSetPhaseCor</f>
        <v>1.0011822386327505</v>
      </c>
      <c r="G153" s="486">
        <f>VLOOKUP(B153,TwoStageCT!A$10:H$72,3,FALSE)/10000</f>
        <v>3.6805932694608759E-5</v>
      </c>
      <c r="H153" s="486">
        <f>VLOOKUP(B153,TwoStageCT!A$10:H$72,6,FALSE)/10000</f>
        <v>4.6965346060309593E-6</v>
      </c>
      <c r="I153" s="19">
        <f>VLOOKUP($A153,'5 A data'!$A$5:$U$650,10,FALSE)</f>
        <v>-0.67400000000000004</v>
      </c>
      <c r="J153" s="32">
        <f>VLOOKUP($A153,'5 A data'!$A$5:$U$650,11,FALSE)</f>
        <v>1.0181087303300256</v>
      </c>
      <c r="K153" s="22">
        <f t="shared" ref="K153:L155" si="296">I153-I161</f>
        <v>-0.46200000000000008</v>
      </c>
      <c r="L153" s="22">
        <f t="shared" si="296"/>
        <v>0.63995405906458758</v>
      </c>
      <c r="M153" s="31">
        <f>I153*E153+G153</f>
        <v>-0.67353661880708715</v>
      </c>
      <c r="N153" s="31">
        <f>J153*F153+H153</f>
        <v>1.0193170743379685</v>
      </c>
      <c r="O153" s="20"/>
      <c r="P153" s="634">
        <f>VLOOKUP(B153,TwoStageCT!A$10:H$72,4,FALSE)/10000</f>
        <v>6.4429594675743464E-6</v>
      </c>
      <c r="Q153" s="58">
        <f>VLOOKUP($A153,'5 A data'!$A$5:$U$650,7,FALSE)*slidewire_res</f>
        <v>2E-3</v>
      </c>
      <c r="R153" s="347">
        <f t="shared" ref="R153:R159" si="297">current_coef*(I153-I154)*IF(I154=0,0,1)</f>
        <v>-1.3200000000000012E-2</v>
      </c>
      <c r="S153" s="21">
        <v>0</v>
      </c>
      <c r="T153" s="21">
        <f>BurdenUnc*K153</f>
        <v>-2.3100000000000006E-2</v>
      </c>
      <c r="U153" s="23">
        <f t="shared" ref="U153:U159" si="298">0.004*M153</f>
        <v>-2.6941464752283486E-3</v>
      </c>
      <c r="V153" s="23">
        <f t="shared" ref="V153:V167" si="299">earthing_Re</f>
        <v>5.0000000000000001E-4</v>
      </c>
      <c r="W153" s="23">
        <f>VLOOKUP($D153,Uncertainties!$B$35:$D$41,2,FALSE)</f>
        <v>5.0000000000000044E-3</v>
      </c>
      <c r="X153" s="23"/>
      <c r="Y153" s="24">
        <f t="shared" ref="Y153:Y159" si="300">I153*aux_CT_ratio</f>
        <v>-5.2265201664516671E-5</v>
      </c>
      <c r="Z153" s="23">
        <f t="shared" ref="Z153:Z159" si="301">SQRT(SUMSQ(P153:Y153))</f>
        <v>2.7282983678348263E-2</v>
      </c>
      <c r="AA153" s="25">
        <f t="shared" ref="AA153:AA159" si="302">DoF_A(P153:Y153,$P$7:$Y$7)</f>
        <v>8.7831650271415214</v>
      </c>
      <c r="AB153" s="26">
        <f t="shared" ref="AB153:AB159" si="303">CoverFactor(AA153)</f>
        <v>2.2570458237911399</v>
      </c>
      <c r="AC153" s="14"/>
      <c r="AD153" s="635">
        <f>VLOOKUP(B153,TwoStageCT!A$10:H$72,7,FALSE)/10000</f>
        <v>4.6788986298833412E-6</v>
      </c>
      <c r="AE153" s="366">
        <f>IF(ABS(VLOOKUP($A153,'5 A data'!$A$5:$U$1148,6,FALSE))&lt;4.5,IF(ABS(VLOOKUP($A153,'5 A data'!$A$5:$U$1148,6,FALSE))&lt;1.25,0.0008,0.002),0.004)*VLOOKUP($A153,'5 A data'!$A$5:$U$1148,7,FALSE)*25*RADIANS(1/60)*100</f>
        <v>5.8177641733144318E-3</v>
      </c>
      <c r="AF153" s="23">
        <f>current_coef*(J153-J154)*IF(J154=0,0,1)</f>
        <v>2.4434609527920648E-2</v>
      </c>
      <c r="AG153" s="29">
        <f t="shared" ref="AG153:AG159" si="304">0.001*N153</f>
        <v>1.0193170743379686E-3</v>
      </c>
      <c r="AH153" s="4">
        <f>BurdenUnc*L153</f>
        <v>3.199770295322938E-2</v>
      </c>
      <c r="AI153" s="4">
        <f t="shared" ref="AI153:AI159" si="305">0.004*N153</f>
        <v>4.0772682973518742E-3</v>
      </c>
      <c r="AJ153" s="4">
        <f t="shared" ref="AJ153:AJ167" si="306">earthing_Im</f>
        <v>5.0000000000000001E-4</v>
      </c>
      <c r="AK153" s="21">
        <f>VLOOKUP($D153,Uncertainties!$B$35:$D$41,3,FALSE)</f>
        <v>-1.1635528346628732E-2</v>
      </c>
      <c r="AL153" s="21"/>
      <c r="AM153" s="369">
        <f>SQRT((VLOOKUP($A153,'5 A data'!$A$5:$U$1148,7,FALSE)*mutual_ind)^2+(aux_CT_phase*J153)^2)</f>
        <v>3.4167115779630899E-3</v>
      </c>
      <c r="AN153" s="29">
        <f t="shared" ref="AN153:AN159" si="307">SQRT(SUMSQ(AD153:AM153))</f>
        <v>4.2658200863518181E-2</v>
      </c>
      <c r="AO153" s="14">
        <f t="shared" ref="AO153:AO159" si="308">DoF_A(AD153:AM153,$AD$7:$AM$7)</f>
        <v>11.712318940992272</v>
      </c>
      <c r="AP153" s="27">
        <f t="shared" ref="AP153:AP159" si="309">CoverFactor(AO153)</f>
        <v>2.176223488422671</v>
      </c>
      <c r="AS153" s="27">
        <f>VLOOKUP($B153,TwoStageCT!$A$10:$H$72,5,FALSE)</f>
        <v>26.31606241070681</v>
      </c>
      <c r="AT153" s="27">
        <f>VLOOKUP($B153,TwoStageCT!$A$10:$H$72,8,FALSE)</f>
        <v>9.9413455012810044</v>
      </c>
    </row>
    <row r="154" spans="1:46" x14ac:dyDescent="0.2">
      <c r="A154" s="409">
        <v>262</v>
      </c>
      <c r="B154" s="5" t="str">
        <f>B151&amp;D154</f>
        <v>120/20010</v>
      </c>
      <c r="C154" s="19">
        <f>VLOOKUP($A154,'5 A data'!$A$5:$U$650,3,FALSE)</f>
        <v>0.21600059637204713</v>
      </c>
      <c r="D154" s="163">
        <f>ROUND(VLOOKUP($A154,'5 A data'!$A$5:$U$650,9,FALSE)/10,0)*10</f>
        <v>10</v>
      </c>
      <c r="E154" s="23">
        <f t="shared" ref="E154:E167" si="310">TestSetRatioCor</f>
        <v>0.99936709902044762</v>
      </c>
      <c r="F154" s="23">
        <f t="shared" ref="F154:F167" si="311">TestSetPhaseCor</f>
        <v>1.0011822386327505</v>
      </c>
      <c r="G154" s="486">
        <f>VLOOKUP(B154,TwoStageCT!A$10:H$72,3,FALSE)/10000</f>
        <v>3.4690340839935311E-5</v>
      </c>
      <c r="H154" s="486">
        <f>VLOOKUP(B154,TwoStageCT!A$10:H$72,6,FALSE)/10000</f>
        <v>2.6036797087866982E-6</v>
      </c>
      <c r="I154" s="19">
        <f>VLOOKUP($A154,'5 A data'!$A$5:$U$650,10,FALSE)</f>
        <v>-0.60799999999999998</v>
      </c>
      <c r="J154" s="32">
        <f>VLOOKUP($A154,'5 A data'!$A$5:$U$650,11,FALSE)</f>
        <v>0.89593568269042234</v>
      </c>
      <c r="K154" s="22">
        <f t="shared" si="296"/>
        <v>-0.42699999999999999</v>
      </c>
      <c r="L154" s="22">
        <f t="shared" si="296"/>
        <v>0.59341194567807187</v>
      </c>
      <c r="M154" s="31">
        <f t="shared" ref="M154:M159" si="312">I154*E154+G154</f>
        <v>-0.60758050586359225</v>
      </c>
      <c r="N154" s="31">
        <f t="shared" ref="N154:N159" si="313">J154*F154+H154</f>
        <v>0.89699749614666746</v>
      </c>
      <c r="O154" s="20"/>
      <c r="P154" s="634">
        <f>VLOOKUP(B154,TwoStageCT!A$10:H$72,4,FALSE)/10000</f>
        <v>5.0170517941146892E-6</v>
      </c>
      <c r="Q154" s="58">
        <f>VLOOKUP($A154,'5 A data'!$A$5:$U$650,7,FALSE)*slidewire_res</f>
        <v>2E-3</v>
      </c>
      <c r="R154" s="347">
        <f t="shared" si="297"/>
        <v>-1.0799999999999988E-2</v>
      </c>
      <c r="S154" s="4">
        <v>0</v>
      </c>
      <c r="T154" s="21">
        <f t="shared" ref="T154:T159" si="314">BurdenUnc*K154</f>
        <v>-2.1350000000000001E-2</v>
      </c>
      <c r="U154" s="29">
        <f t="shared" si="298"/>
        <v>-2.430322023454369E-3</v>
      </c>
      <c r="V154" s="29">
        <f t="shared" si="299"/>
        <v>5.0000000000000001E-4</v>
      </c>
      <c r="W154" s="23">
        <f>VLOOKUP($D154,Uncertainties!$B$35:$D$41,2,FALSE)</f>
        <v>2.5000000000000022E-3</v>
      </c>
      <c r="X154" s="23"/>
      <c r="Y154" s="24">
        <f t="shared" si="300"/>
        <v>-4.7147244231492778E-5</v>
      </c>
      <c r="Z154" s="23">
        <f t="shared" si="301"/>
        <v>2.4266668769551674E-2</v>
      </c>
      <c r="AA154" s="25">
        <f t="shared" si="302"/>
        <v>7.8296719895102136</v>
      </c>
      <c r="AB154" s="26">
        <f t="shared" si="303"/>
        <v>2.2985110844558623</v>
      </c>
      <c r="AC154" s="14"/>
      <c r="AD154" s="635">
        <f>VLOOKUP(B154,TwoStageCT!A$10:H$72,7,FALSE)/10000</f>
        <v>2.600738521505678E-6</v>
      </c>
      <c r="AE154" s="366">
        <f>IF(ABS(VLOOKUP($A154,'5 A data'!$A$5:$U$1148,6,FALSE))&lt;4.5,IF(ABS(VLOOKUP($A154,'5 A data'!$A$5:$U$1148,6,FALSE))&lt;1.25,0.0008,0.002),0.004)*VLOOKUP($A154,'5 A data'!$A$5:$U$1148,7,FALSE)*25*RADIANS(1/60)*100</f>
        <v>5.8177641733144318E-3</v>
      </c>
      <c r="AF154" s="23">
        <f t="shared" ref="AF154:AF159" si="315">current_coef*(J154-J155)*IF(J155=0,0,1)</f>
        <v>2.2107503858594793E-2</v>
      </c>
      <c r="AG154" s="29">
        <f t="shared" si="304"/>
        <v>8.9699749614666744E-4</v>
      </c>
      <c r="AH154" s="4">
        <f t="shared" ref="AH154:AH159" si="316">BurdenUnc*L154</f>
        <v>2.9670597283903595E-2</v>
      </c>
      <c r="AI154" s="4">
        <f t="shared" si="305"/>
        <v>3.5879899845866698E-3</v>
      </c>
      <c r="AJ154" s="4">
        <f t="shared" si="306"/>
        <v>5.0000000000000001E-4</v>
      </c>
      <c r="AK154" s="21">
        <f>VLOOKUP($D154,Uncertainties!$B$35:$D$41,3,FALSE)</f>
        <v>4.363323129985941E-3</v>
      </c>
      <c r="AL154" s="21"/>
      <c r="AM154" s="369">
        <f>SQRT((VLOOKUP($A154,'5 A data'!$A$5:$U$1148,7,FALSE)*mutual_ind)^2+(aux_CT_phase*J154)^2)</f>
        <v>3.4130501824100883E-3</v>
      </c>
      <c r="AN154" s="29">
        <f t="shared" si="307"/>
        <v>3.8046658640456463E-2</v>
      </c>
      <c r="AO154" s="14">
        <f t="shared" si="308"/>
        <v>10.317396748763505</v>
      </c>
      <c r="AP154" s="27">
        <f t="shared" si="309"/>
        <v>2.2083295794659934</v>
      </c>
      <c r="AS154" s="27">
        <f>VLOOKUP($B154,TwoStageCT!$A$10:$H$72,5,FALSE)</f>
        <v>38.265350164989712</v>
      </c>
      <c r="AT154" s="27">
        <f>VLOOKUP($B154,TwoStageCT!$A$10:$H$72,8,FALSE)</f>
        <v>16.586629386739094</v>
      </c>
    </row>
    <row r="155" spans="1:46" x14ac:dyDescent="0.2">
      <c r="A155" s="409">
        <v>263</v>
      </c>
      <c r="B155" s="5" t="str">
        <f>B151&amp;D155</f>
        <v>120/20020</v>
      </c>
      <c r="C155" s="19">
        <f>VLOOKUP($A155,'5 A data'!$A$5:$U$650,3,FALSE)</f>
        <v>0.21600059637204713</v>
      </c>
      <c r="D155" s="163">
        <f>ROUND(VLOOKUP($A155,'5 A data'!$A$5:$U$650,9,FALSE)/10,0)*10</f>
        <v>20</v>
      </c>
      <c r="E155" s="23">
        <f t="shared" si="310"/>
        <v>0.99936709902044762</v>
      </c>
      <c r="F155" s="23">
        <f t="shared" si="311"/>
        <v>1.0011822386327505</v>
      </c>
      <c r="G155" s="486">
        <f>VLOOKUP(B155,TwoStageCT!A$10:H$72,3,FALSE)/10000</f>
        <v>3.1280516301103777E-5</v>
      </c>
      <c r="H155" s="486">
        <f>VLOOKUP(B155,TwoStageCT!A$10:H$72,6,FALSE)/10000</f>
        <v>4.5493238991726806E-6</v>
      </c>
      <c r="I155" s="19">
        <f>VLOOKUP($A155,'5 A data'!$A$5:$U$650,10,FALSE)</f>
        <v>-0.55400000000000005</v>
      </c>
      <c r="J155" s="32">
        <f>VLOOKUP($A155,'5 A data'!$A$5:$U$650,11,FALSE)</f>
        <v>0.78539816339744839</v>
      </c>
      <c r="K155" s="22">
        <f t="shared" si="296"/>
        <v>-0.40100000000000002</v>
      </c>
      <c r="L155" s="22">
        <f t="shared" si="296"/>
        <v>0.54105206811824225</v>
      </c>
      <c r="M155" s="31">
        <f t="shared" si="312"/>
        <v>-0.55361809234102699</v>
      </c>
      <c r="N155" s="31">
        <f t="shared" si="313"/>
        <v>0.78633124077220728</v>
      </c>
      <c r="O155" s="20"/>
      <c r="P155" s="634">
        <f>VLOOKUP(B155,TwoStageCT!A$10:H$72,4,FALSE)/10000</f>
        <v>4.17832023036102E-6</v>
      </c>
      <c r="Q155" s="58">
        <f>VLOOKUP($A155,'5 A data'!$A$5:$U$650,7,FALSE)*slidewire_res</f>
        <v>2E-3</v>
      </c>
      <c r="R155" s="347">
        <f t="shared" si="297"/>
        <v>-9.6000000000000096E-3</v>
      </c>
      <c r="S155" s="4">
        <v>0</v>
      </c>
      <c r="T155" s="21">
        <f t="shared" si="314"/>
        <v>-2.0050000000000002E-2</v>
      </c>
      <c r="U155" s="29">
        <f t="shared" si="298"/>
        <v>-2.2144723693641082E-3</v>
      </c>
      <c r="V155" s="29">
        <f t="shared" si="299"/>
        <v>5.0000000000000001E-4</v>
      </c>
      <c r="W155" s="23">
        <f>VLOOKUP($D155,Uncertainties!$B$35:$D$41,2,FALSE)</f>
        <v>-1.0000000000000009E-3</v>
      </c>
      <c r="X155" s="23"/>
      <c r="Y155" s="24">
        <f t="shared" si="300"/>
        <v>-4.2959824513564147E-5</v>
      </c>
      <c r="Z155" s="23">
        <f t="shared" si="301"/>
        <v>2.2457031212508024E-2</v>
      </c>
      <c r="AA155" s="25">
        <f t="shared" si="302"/>
        <v>7.4743422699136257</v>
      </c>
      <c r="AB155" s="26">
        <f t="shared" si="303"/>
        <v>2.3171460633119882</v>
      </c>
      <c r="AC155" s="14"/>
      <c r="AD155" s="635">
        <f>VLOOKUP(B155,TwoStageCT!A$10:H$72,7,FALSE)/10000</f>
        <v>1.9770475075939077E-6</v>
      </c>
      <c r="AE155" s="366">
        <f>IF(ABS(VLOOKUP($A155,'5 A data'!$A$5:$U$1148,6,FALSE))&lt;4.5,IF(ABS(VLOOKUP($A155,'5 A data'!$A$5:$U$1148,6,FALSE))&lt;1.25,0.0008,0.002),0.004)*VLOOKUP($A155,'5 A data'!$A$5:$U$1148,7,FALSE)*25*RADIANS(1/60)*100</f>
        <v>5.8177641733144318E-3</v>
      </c>
      <c r="AF155" s="23">
        <f t="shared" si="315"/>
        <v>1.6289739685280448E-2</v>
      </c>
      <c r="AG155" s="29">
        <f t="shared" si="304"/>
        <v>7.8633124077220732E-4</v>
      </c>
      <c r="AH155" s="4">
        <f t="shared" si="316"/>
        <v>2.7052603405912114E-2</v>
      </c>
      <c r="AI155" s="4">
        <f t="shared" si="305"/>
        <v>3.1453249630888293E-3</v>
      </c>
      <c r="AJ155" s="4">
        <f t="shared" si="306"/>
        <v>5.0000000000000001E-4</v>
      </c>
      <c r="AK155" s="21">
        <f>VLOOKUP($D155,Uncertainties!$B$35:$D$41,3,FALSE)</f>
        <v>-1.454441043328647E-3</v>
      </c>
      <c r="AL155" s="21"/>
      <c r="AM155" s="369">
        <f>SQRT((VLOOKUP($A155,'5 A data'!$A$5:$U$1148,7,FALSE)*mutual_ind)^2+(aux_CT_phase*J155)^2)</f>
        <v>3.4101374462899821E-3</v>
      </c>
      <c r="AN155" s="29">
        <f t="shared" si="307"/>
        <v>3.2489247083174133E-2</v>
      </c>
      <c r="AO155" s="14">
        <f t="shared" si="308"/>
        <v>9.1719465751024334</v>
      </c>
      <c r="AP155" s="27">
        <f t="shared" si="309"/>
        <v>2.2429522092833172</v>
      </c>
      <c r="AS155" s="27">
        <f>VLOOKUP($B155,TwoStageCT!$A$10:$H$72,5,FALSE)</f>
        <v>36.657700403051521</v>
      </c>
      <c r="AT155" s="27">
        <f>VLOOKUP($B155,TwoStageCT!$A$10:$H$72,8,FALSE)</f>
        <v>53.09445811850042</v>
      </c>
    </row>
    <row r="156" spans="1:46" x14ac:dyDescent="0.2">
      <c r="A156" s="409">
        <v>264</v>
      </c>
      <c r="B156" s="5" t="str">
        <f>B151&amp;D156</f>
        <v>120/20040</v>
      </c>
      <c r="C156" s="19">
        <f>VLOOKUP($A156,'5 A data'!$A$5:$U$650,3,FALSE)</f>
        <v>0.21600059637204713</v>
      </c>
      <c r="D156" s="163">
        <f>ROUND(VLOOKUP($A156,'5 A data'!$A$5:$U$650,9,FALSE)/10,0)*10</f>
        <v>40</v>
      </c>
      <c r="E156" s="23">
        <f t="shared" si="310"/>
        <v>0.99936709902044762</v>
      </c>
      <c r="F156" s="23">
        <f t="shared" si="311"/>
        <v>1.0011822386327505</v>
      </c>
      <c r="G156" s="486">
        <f>VLOOKUP(B156,TwoStageCT!A$10:H$72,3,FALSE)/10000</f>
        <v>2.5200167333853628E-5</v>
      </c>
      <c r="H156" s="486">
        <f>VLOOKUP(B156,TwoStageCT!A$10:H$72,6,FALSE)/10000</f>
        <v>5.7416420558101514E-6</v>
      </c>
      <c r="I156" s="19">
        <f>VLOOKUP($A156,'5 A data'!$A$5:$U$650,10,FALSE)</f>
        <v>-0.50600000000000001</v>
      </c>
      <c r="J156" s="32">
        <f>VLOOKUP($A156,'5 A data'!$A$5:$U$650,11,FALSE)</f>
        <v>0.70394946497104616</v>
      </c>
      <c r="K156" s="22">
        <f>I156-I164</f>
        <v>-0.371</v>
      </c>
      <c r="L156" s="22">
        <f>J156-J164</f>
        <v>0.49741883681838384</v>
      </c>
      <c r="M156" s="31">
        <f t="shared" si="312"/>
        <v>-0.50565455193701259</v>
      </c>
      <c r="N156" s="31">
        <f t="shared" si="313"/>
        <v>0.70478744286609474</v>
      </c>
      <c r="O156" s="20"/>
      <c r="P156" s="634">
        <f>VLOOKUP(B156,TwoStageCT!A$10:H$72,4,FALSE)/10000</f>
        <v>3.3964590328801363E-6</v>
      </c>
      <c r="Q156" s="58">
        <f>VLOOKUP($A156,'5 A data'!$A$5:$U$650,7,FALSE)*slidewire_res</f>
        <v>2E-3</v>
      </c>
      <c r="R156" s="347">
        <f t="shared" si="297"/>
        <v>-2.0000000000000018E-3</v>
      </c>
      <c r="S156" s="4">
        <v>0</v>
      </c>
      <c r="T156" s="21">
        <f t="shared" si="314"/>
        <v>-1.8550000000000001E-2</v>
      </c>
      <c r="U156" s="29">
        <f t="shared" si="298"/>
        <v>-2.0226182077480504E-3</v>
      </c>
      <c r="V156" s="29">
        <f t="shared" si="299"/>
        <v>5.0000000000000001E-4</v>
      </c>
      <c r="W156" s="23">
        <f>VLOOKUP($D156,Uncertainties!$B$35:$D$41,2,FALSE)</f>
        <v>-1.0000000000000009E-3</v>
      </c>
      <c r="X156" s="23"/>
      <c r="Y156" s="24">
        <f t="shared" si="300"/>
        <v>-3.9237673653183133E-5</v>
      </c>
      <c r="Z156" s="23">
        <f t="shared" si="301"/>
        <v>1.8906216849102351E-2</v>
      </c>
      <c r="AA156" s="25">
        <f t="shared" si="302"/>
        <v>5.3930254931412955</v>
      </c>
      <c r="AB156" s="26">
        <f t="shared" si="303"/>
        <v>2.4888606852650161</v>
      </c>
      <c r="AC156" s="14"/>
      <c r="AD156" s="635">
        <f>VLOOKUP(B156,TwoStageCT!A$10:H$72,7,FALSE)/10000</f>
        <v>1.6849048737447556E-6</v>
      </c>
      <c r="AE156" s="366">
        <f>IF(ABS(VLOOKUP($A156,'5 A data'!$A$5:$U$1148,6,FALSE))&lt;4.5,IF(ABS(VLOOKUP($A156,'5 A data'!$A$5:$U$1148,6,FALSE))&lt;1.25,0.0008,0.002),0.004)*VLOOKUP($A156,'5 A data'!$A$5:$U$1148,7,FALSE)*25*RADIANS(1/60)*100</f>
        <v>5.8177641733144318E-3</v>
      </c>
      <c r="AF156" s="23">
        <f t="shared" si="315"/>
        <v>1.2799081181291739E-2</v>
      </c>
      <c r="AG156" s="29">
        <f t="shared" si="304"/>
        <v>7.0478744286609472E-4</v>
      </c>
      <c r="AH156" s="4">
        <f t="shared" si="316"/>
        <v>2.4870941840919192E-2</v>
      </c>
      <c r="AI156" s="4">
        <f t="shared" si="305"/>
        <v>2.8191497714643789E-3</v>
      </c>
      <c r="AJ156" s="4">
        <f t="shared" si="306"/>
        <v>5.0000000000000001E-4</v>
      </c>
      <c r="AK156" s="21">
        <f>VLOOKUP($D156,Uncertainties!$B$35:$D$41,3,FALSE)</f>
        <v>-2.908882086657183E-3</v>
      </c>
      <c r="AL156" s="21"/>
      <c r="AM156" s="369">
        <f>SQRT((VLOOKUP($A156,'5 A data'!$A$5:$U$1148,7,FALSE)*mutual_ind)^2+(aux_CT_phase*J156)^2)</f>
        <v>3.4082349479102442E-3</v>
      </c>
      <c r="AN156" s="29">
        <f t="shared" si="307"/>
        <v>2.9068859647098093E-2</v>
      </c>
      <c r="AO156" s="14">
        <f t="shared" si="308"/>
        <v>8.6900102058036683</v>
      </c>
      <c r="AP156" s="27">
        <f t="shared" si="309"/>
        <v>2.2606371318035667</v>
      </c>
      <c r="AS156" s="27">
        <f>VLOOKUP($B156,TwoStageCT!$A$10:$H$72,5,FALSE)</f>
        <v>38.659909732018328</v>
      </c>
      <c r="AT156" s="27">
        <f>VLOOKUP($B156,TwoStageCT!$A$10:$H$72,8,FALSE)</f>
        <v>52.499330597885681</v>
      </c>
    </row>
    <row r="157" spans="1:46" x14ac:dyDescent="0.2">
      <c r="A157" s="409">
        <v>265</v>
      </c>
      <c r="B157" s="5" t="str">
        <f>B151&amp;D157</f>
        <v>120/20060</v>
      </c>
      <c r="C157" s="19">
        <f>VLOOKUP($A157,'5 A data'!$A$5:$U$650,3,FALSE)</f>
        <v>0.21600059637204713</v>
      </c>
      <c r="D157" s="163">
        <f>ROUND(VLOOKUP($A157,'5 A data'!$A$5:$U$650,9,FALSE)/10,0)*10</f>
        <v>60</v>
      </c>
      <c r="E157" s="23">
        <f t="shared" si="310"/>
        <v>0.99936709902044762</v>
      </c>
      <c r="F157" s="23">
        <f t="shared" si="311"/>
        <v>1.0011822386327505</v>
      </c>
      <c r="G157" s="486">
        <f>VLOOKUP(B157,TwoStageCT!A$10:H$72,3,FALSE)/10000</f>
        <v>2.195627602528684E-5</v>
      </c>
      <c r="H157" s="486">
        <f>VLOOKUP(B157,TwoStageCT!A$10:H$72,6,FALSE)/10000</f>
        <v>5.5507836163637805E-6</v>
      </c>
      <c r="I157" s="19">
        <f>VLOOKUP($A157,'5 A data'!$A$5:$U$650,10,FALSE)</f>
        <v>-0.496</v>
      </c>
      <c r="J157" s="32">
        <f>VLOOKUP($A157,'5 A data'!$A$5:$U$650,11,FALSE)</f>
        <v>0.63995405906458747</v>
      </c>
      <c r="K157" s="22">
        <f t="shared" ref="K157:L159" si="317">I157-I165</f>
        <v>-0.36799999999999999</v>
      </c>
      <c r="L157" s="22">
        <f t="shared" si="317"/>
        <v>0.44796784134521123</v>
      </c>
      <c r="M157" s="31">
        <f t="shared" si="312"/>
        <v>-0.49566412483811673</v>
      </c>
      <c r="N157" s="31">
        <f t="shared" si="313"/>
        <v>0.64071618826001553</v>
      </c>
      <c r="O157" s="20"/>
      <c r="P157" s="634">
        <f>VLOOKUP(B157,TwoStageCT!A$10:H$72,4,FALSE)/10000</f>
        <v>2.9709098248278708E-6</v>
      </c>
      <c r="Q157" s="58">
        <f>VLOOKUP($A157,'5 A data'!$A$5:$U$650,7,FALSE)*slidewire_res</f>
        <v>2E-3</v>
      </c>
      <c r="R157" s="347">
        <f t="shared" si="297"/>
        <v>-4.4000000000000037E-3</v>
      </c>
      <c r="S157" s="4">
        <v>0</v>
      </c>
      <c r="T157" s="21">
        <f t="shared" si="314"/>
        <v>-1.84E-2</v>
      </c>
      <c r="U157" s="29">
        <f t="shared" si="298"/>
        <v>-1.9826564993524671E-3</v>
      </c>
      <c r="V157" s="29">
        <f t="shared" si="299"/>
        <v>5.0000000000000001E-4</v>
      </c>
      <c r="W157" s="23">
        <f>VLOOKUP($D157,Uncertainties!$B$35:$D$41,2,FALSE)</f>
        <v>-1.0000000000000009E-3</v>
      </c>
      <c r="X157" s="23"/>
      <c r="Y157" s="24">
        <f t="shared" si="300"/>
        <v>-3.8462225557270424E-5</v>
      </c>
      <c r="Z157" s="23">
        <f t="shared" si="301"/>
        <v>1.9159916883001466E-2</v>
      </c>
      <c r="AA157" s="25">
        <f t="shared" si="302"/>
        <v>5.857804667094241</v>
      </c>
      <c r="AB157" s="26">
        <f t="shared" si="303"/>
        <v>2.4373527293292905</v>
      </c>
      <c r="AC157" s="14"/>
      <c r="AD157" s="635">
        <f>VLOOKUP(B157,TwoStageCT!A$10:H$72,7,FALSE)/10000</f>
        <v>1.6017059195029239E-6</v>
      </c>
      <c r="AE157" s="366">
        <f>IF(ABS(VLOOKUP($A157,'5 A data'!$A$5:$U$1148,6,FALSE))&lt;4.5,IF(ABS(VLOOKUP($A157,'5 A data'!$A$5:$U$1148,6,FALSE))&lt;1.25,0.0008,0.002),0.004)*VLOOKUP($A157,'5 A data'!$A$5:$U$1148,7,FALSE)*25*RADIANS(1/60)*100</f>
        <v>5.8177641733144318E-3</v>
      </c>
      <c r="AF157" s="23">
        <f t="shared" si="315"/>
        <v>2.3271056693257731E-2</v>
      </c>
      <c r="AG157" s="29">
        <f t="shared" si="304"/>
        <v>6.4071618826001559E-4</v>
      </c>
      <c r="AH157" s="4">
        <f t="shared" si="316"/>
        <v>2.2398392067260561E-2</v>
      </c>
      <c r="AI157" s="4">
        <f t="shared" si="305"/>
        <v>2.5628647530400624E-3</v>
      </c>
      <c r="AJ157" s="4">
        <f t="shared" si="306"/>
        <v>5.0000000000000001E-4</v>
      </c>
      <c r="AK157" s="21">
        <f>VLOOKUP($D157,Uncertainties!$B$35:$D$41,3,FALSE)</f>
        <v>-2.908882086657183E-3</v>
      </c>
      <c r="AL157" s="21"/>
      <c r="AM157" s="369">
        <f>SQRT((VLOOKUP($A157,'5 A data'!$A$5:$U$1148,7,FALSE)*mutual_ind)^2+(aux_CT_phase*J157)^2)</f>
        <v>3.4068854626562901E-3</v>
      </c>
      <c r="AN157" s="29">
        <f t="shared" si="307"/>
        <v>3.3232118287694311E-2</v>
      </c>
      <c r="AO157" s="14">
        <f t="shared" si="308"/>
        <v>11.162518691405561</v>
      </c>
      <c r="AP157" s="27">
        <f t="shared" si="309"/>
        <v>2.1878209922704079</v>
      </c>
      <c r="AS157" s="27">
        <f>VLOOKUP($B157,TwoStageCT!$A$10:$H$72,5,FALSE)</f>
        <v>42.291164682130272</v>
      </c>
      <c r="AT157" s="27">
        <f>VLOOKUP($B157,TwoStageCT!$A$10:$H$72,8,FALSE)</f>
        <v>48.978667479860043</v>
      </c>
    </row>
    <row r="158" spans="1:46" x14ac:dyDescent="0.2">
      <c r="A158" s="409">
        <v>266</v>
      </c>
      <c r="B158" s="5" t="str">
        <f>B151&amp;D158</f>
        <v>120/200100</v>
      </c>
      <c r="C158" s="19">
        <f>VLOOKUP($A158,'5 A data'!$A$5:$U$650,3,FALSE)</f>
        <v>0.21600059637204713</v>
      </c>
      <c r="D158" s="164">
        <f>ROUND(VLOOKUP($A158,'5 A data'!$A$5:$U$650,9,FALSE)/10,0)*10</f>
        <v>100</v>
      </c>
      <c r="E158" s="23">
        <f t="shared" si="310"/>
        <v>0.99936709902044762</v>
      </c>
      <c r="F158" s="23">
        <f t="shared" si="311"/>
        <v>1.0011822386327505</v>
      </c>
      <c r="G158" s="486">
        <f>VLOOKUP(B158,TwoStageCT!A$10:H$72,3,FALSE)/10000</f>
        <v>1.6881396356939836E-5</v>
      </c>
      <c r="H158" s="486">
        <f>VLOOKUP(B158,TwoStageCT!A$10:H$72,6,FALSE)/10000</f>
        <v>7.3590724152435355E-6</v>
      </c>
      <c r="I158" s="19">
        <f>VLOOKUP($A158,'5 A data'!$A$5:$U$650,10,FALSE)</f>
        <v>-0.47399999999999998</v>
      </c>
      <c r="J158" s="32">
        <f>VLOOKUP($A158,'5 A data'!$A$5:$U$650,11,FALSE)</f>
        <v>0.52359877559829882</v>
      </c>
      <c r="K158" s="22">
        <f t="shared" si="317"/>
        <v>-0.35399999999999998</v>
      </c>
      <c r="L158" s="22">
        <f t="shared" si="317"/>
        <v>0.34761140935553725</v>
      </c>
      <c r="M158" s="31">
        <f t="shared" si="312"/>
        <v>-0.47368312353933523</v>
      </c>
      <c r="N158" s="31">
        <f t="shared" si="313"/>
        <v>0.52422515337128717</v>
      </c>
      <c r="O158" s="20"/>
      <c r="P158" s="634">
        <f>VLOOKUP(B158,TwoStageCT!A$10:H$72,4,FALSE)/10000</f>
        <v>2.4131313466023584E-6</v>
      </c>
      <c r="Q158" s="58">
        <f>VLOOKUP($A158,'5 A data'!$A$5:$U$650,7,FALSE)*slidewire_res</f>
        <v>2E-3</v>
      </c>
      <c r="R158" s="347">
        <f t="shared" si="297"/>
        <v>-2.3999999999999911E-3</v>
      </c>
      <c r="S158" s="4">
        <v>0</v>
      </c>
      <c r="T158" s="21">
        <f t="shared" si="314"/>
        <v>-1.77E-2</v>
      </c>
      <c r="U158" s="29">
        <f t="shared" si="298"/>
        <v>-1.894732494157341E-3</v>
      </c>
      <c r="V158" s="29">
        <f t="shared" si="299"/>
        <v>5.0000000000000001E-4</v>
      </c>
      <c r="W158" s="23">
        <f>VLOOKUP($D158,Uncertainties!$B$35:$D$41,2,FALSE)</f>
        <v>1.999999999999974E-3</v>
      </c>
      <c r="X158" s="23"/>
      <c r="Y158" s="24">
        <f t="shared" si="300"/>
        <v>-3.675623974626246E-5</v>
      </c>
      <c r="Z158" s="23">
        <f t="shared" si="301"/>
        <v>1.8190419678192658E-2</v>
      </c>
      <c r="AA158" s="25">
        <f t="shared" si="302"/>
        <v>5.5737142302008325</v>
      </c>
      <c r="AB158" s="26">
        <f t="shared" si="303"/>
        <v>2.4675502935036411</v>
      </c>
      <c r="AC158" s="14"/>
      <c r="AD158" s="635">
        <f>VLOOKUP(B158,TwoStageCT!A$10:H$72,7,FALSE)/10000</f>
        <v>1.6933288916776063E-6</v>
      </c>
      <c r="AE158" s="366">
        <f>IF(ABS(VLOOKUP($A158,'5 A data'!$A$5:$U$1148,6,FALSE))&lt;4.5,IF(ABS(VLOOKUP($A158,'5 A data'!$A$5:$U$1148,6,FALSE))&lt;1.25,0.0008,0.002),0.004)*VLOOKUP($A158,'5 A data'!$A$5:$U$1148,7,FALSE)*25*RADIANS(1/60)*100</f>
        <v>5.8177641733144318E-3</v>
      </c>
      <c r="AF158" s="23">
        <f t="shared" si="315"/>
        <v>8.144869842640191E-3</v>
      </c>
      <c r="AG158" s="29">
        <f t="shared" si="304"/>
        <v>5.2422515337128715E-4</v>
      </c>
      <c r="AH158" s="4">
        <f t="shared" si="316"/>
        <v>1.7380570467776864E-2</v>
      </c>
      <c r="AI158" s="4">
        <f t="shared" si="305"/>
        <v>2.0969006134851486E-3</v>
      </c>
      <c r="AJ158" s="4">
        <f t="shared" si="306"/>
        <v>5.0000000000000001E-4</v>
      </c>
      <c r="AK158" s="21">
        <f>VLOOKUP($D158,Uncertainties!$B$35:$D$41,3,FALSE)</f>
        <v>-2.9088820866572385E-3</v>
      </c>
      <c r="AL158" s="21"/>
      <c r="AM158" s="369">
        <f>SQRT((VLOOKUP($A158,'5 A data'!$A$5:$U$1148,7,FALSE)*mutual_ind)^2+(aux_CT_phase*J158)^2)</f>
        <v>3.4047600416676756E-3</v>
      </c>
      <c r="AN158" s="29">
        <f t="shared" si="307"/>
        <v>2.0669913098807269E-2</v>
      </c>
      <c r="AO158" s="14">
        <f t="shared" si="308"/>
        <v>9.4107750476984791</v>
      </c>
      <c r="AP158" s="27">
        <f t="shared" si="309"/>
        <v>2.2349477209616566</v>
      </c>
      <c r="AS158" s="27">
        <f>VLOOKUP($B158,TwoStageCT!$A$10:$H$72,5,FALSE)</f>
        <v>59.567261398457461</v>
      </c>
      <c r="AT158" s="27">
        <f>VLOOKUP($B158,TwoStageCT!$A$10:$H$72,8,FALSE)</f>
        <v>45.732629829898706</v>
      </c>
    </row>
    <row r="159" spans="1:46" x14ac:dyDescent="0.2">
      <c r="A159" s="409">
        <v>267</v>
      </c>
      <c r="B159" s="5" t="str">
        <f>B151&amp;D159</f>
        <v>120/200120</v>
      </c>
      <c r="C159" s="19">
        <f>VLOOKUP($A159,'5 A data'!$A$5:$U$650,3,FALSE)</f>
        <v>0.21600059637204713</v>
      </c>
      <c r="D159" s="164">
        <f>ROUND(VLOOKUP($A159,'5 A data'!$A$5:$U$650,9,FALSE)/10,0)*10</f>
        <v>120</v>
      </c>
      <c r="E159" s="23">
        <f t="shared" si="310"/>
        <v>0.99936709902044762</v>
      </c>
      <c r="F159" s="23">
        <f t="shared" si="311"/>
        <v>1.0011822386327505</v>
      </c>
      <c r="G159" s="486">
        <f>VLOOKUP(B159,TwoStageCT!A$10:H$72,3,FALSE)/10000</f>
        <v>1.5213305302217845E-5</v>
      </c>
      <c r="H159" s="486">
        <f>VLOOKUP(B159,TwoStageCT!A$10:H$72,6,FALSE)/10000</f>
        <v>7.5885012454326174E-6</v>
      </c>
      <c r="I159" s="19">
        <f>VLOOKUP($A159,'5 A data'!$A$5:$U$650,10,FALSE)</f>
        <v>-0.46200000000000002</v>
      </c>
      <c r="J159" s="32">
        <f>VLOOKUP($A159,'5 A data'!$A$5:$U$650,11,FALSE)</f>
        <v>0.48287442638509787</v>
      </c>
      <c r="K159" s="22">
        <f t="shared" si="317"/>
        <v>-0.34400000000000003</v>
      </c>
      <c r="L159" s="22">
        <f t="shared" si="317"/>
        <v>0.31125038327232213</v>
      </c>
      <c r="M159" s="31">
        <f t="shared" si="312"/>
        <v>-0.46169238644214461</v>
      </c>
      <c r="N159" s="31">
        <f t="shared" si="313"/>
        <v>0.483452887687983</v>
      </c>
      <c r="O159" s="20"/>
      <c r="P159" s="634">
        <f>VLOOKUP(B159,TwoStageCT!A$10:H$72,4,FALSE)/10000</f>
        <v>2.2681305202526645E-6</v>
      </c>
      <c r="Q159" s="58">
        <f>VLOOKUP($A159,'5 A data'!$A$5:$U$650,7,FALSE)*slidewire_res</f>
        <v>2E-3</v>
      </c>
      <c r="R159" s="347">
        <f t="shared" si="297"/>
        <v>0</v>
      </c>
      <c r="S159" s="4">
        <v>0</v>
      </c>
      <c r="T159" s="21">
        <f t="shared" si="314"/>
        <v>-1.7200000000000003E-2</v>
      </c>
      <c r="U159" s="29">
        <f t="shared" si="298"/>
        <v>-1.8467695457685784E-3</v>
      </c>
      <c r="V159" s="29">
        <f t="shared" si="299"/>
        <v>5.0000000000000001E-4</v>
      </c>
      <c r="W159" s="23">
        <f>VLOOKUP($D159,Uncertainties!$B$35:$D$41,2,FALSE)</f>
        <v>-1.0000000000000009E-3</v>
      </c>
      <c r="X159" s="23"/>
      <c r="Y159" s="24">
        <f t="shared" si="300"/>
        <v>-3.5825702031167211E-5</v>
      </c>
      <c r="Z159" s="23">
        <f t="shared" si="301"/>
        <v>1.7449981271638101E-2</v>
      </c>
      <c r="AA159" s="25">
        <f t="shared" si="302"/>
        <v>5.2953746366595196</v>
      </c>
      <c r="AB159" s="26">
        <f t="shared" si="303"/>
        <v>2.5011507375343416</v>
      </c>
      <c r="AC159" s="14"/>
      <c r="AD159" s="635">
        <f>VLOOKUP(B159,TwoStageCT!A$10:H$72,7,FALSE)/10000</f>
        <v>1.7092397901526349E-6</v>
      </c>
      <c r="AE159" s="366">
        <f>IF(ABS(VLOOKUP($A159,'5 A data'!$A$5:$U$1148,6,FALSE))&lt;4.5,IF(ABS(VLOOKUP($A159,'5 A data'!$A$5:$U$1148,6,FALSE))&lt;1.25,0.0008,0.002),0.004)*VLOOKUP($A159,'5 A data'!$A$5:$U$1148,7,FALSE)*25*RADIANS(1/60)*100</f>
        <v>5.8177641733144318E-3</v>
      </c>
      <c r="AF159" s="23">
        <f t="shared" si="315"/>
        <v>0</v>
      </c>
      <c r="AG159" s="29">
        <f t="shared" si="304"/>
        <v>4.8345288768798301E-4</v>
      </c>
      <c r="AH159" s="4">
        <f t="shared" si="316"/>
        <v>1.5562519163616107E-2</v>
      </c>
      <c r="AI159" s="4">
        <f t="shared" si="305"/>
        <v>1.933811550751932E-3</v>
      </c>
      <c r="AJ159" s="4">
        <f t="shared" si="306"/>
        <v>5.0000000000000001E-4</v>
      </c>
      <c r="AK159" s="21">
        <f>VLOOKUP($D159,Uncertainties!$B$35:$D$41,3,FALSE)</f>
        <v>1.4544410433285915E-3</v>
      </c>
      <c r="AL159" s="21"/>
      <c r="AM159" s="369">
        <f>SQRT((VLOOKUP($A159,'5 A data'!$A$5:$U$1148,7,FALSE)*mutual_ind)^2+(aux_CT_phase*J159)^2)</f>
        <v>3.4041163087651571E-3</v>
      </c>
      <c r="AN159" s="29">
        <f t="shared" si="307"/>
        <v>1.7145411806552657E-2</v>
      </c>
      <c r="AO159" s="14">
        <f t="shared" si="308"/>
        <v>7.2069716562728576</v>
      </c>
      <c r="AP159" s="27">
        <f t="shared" si="309"/>
        <v>2.332604978505266</v>
      </c>
      <c r="AS159" s="27">
        <f>VLOOKUP($B159,TwoStageCT!$A$10:$H$72,5,FALSE)</f>
        <v>68.00069900375496</v>
      </c>
      <c r="AT159" s="27">
        <f>VLOOKUP($B159,TwoStageCT!$A$10:$H$72,8,FALSE)</f>
        <v>47.345132453902309</v>
      </c>
    </row>
    <row r="160" spans="1:46" x14ac:dyDescent="0.2">
      <c r="A160" s="409">
        <v>268</v>
      </c>
      <c r="B160" s="5"/>
      <c r="C160" s="19"/>
      <c r="D160" s="19"/>
      <c r="E160" s="23"/>
      <c r="F160" s="23"/>
      <c r="G160" s="347"/>
      <c r="H160" s="347"/>
      <c r="I160" s="19"/>
      <c r="J160" s="32"/>
      <c r="K160" s="31"/>
      <c r="L160" s="31"/>
      <c r="M160" s="638" t="s">
        <v>93</v>
      </c>
      <c r="N160" s="638"/>
      <c r="O160" s="20"/>
      <c r="P160" s="634"/>
      <c r="Q160" s="58"/>
      <c r="R160" s="347"/>
      <c r="S160" s="4"/>
      <c r="T160" s="4"/>
      <c r="U160" s="29"/>
      <c r="V160" s="29"/>
      <c r="W160" s="29"/>
      <c r="X160" s="29"/>
      <c r="Y160" s="24"/>
      <c r="Z160" s="29"/>
      <c r="AA160" s="25"/>
      <c r="AB160" s="26"/>
      <c r="AC160" s="14"/>
      <c r="AD160" s="635"/>
      <c r="AE160" s="35"/>
      <c r="AF160" s="28"/>
      <c r="AG160" s="29"/>
      <c r="AH160" s="4"/>
      <c r="AI160" s="4"/>
      <c r="AJ160" s="4"/>
      <c r="AK160" s="4"/>
      <c r="AL160" s="4"/>
      <c r="AM160" s="24"/>
      <c r="AN160" s="29"/>
      <c r="AO160" s="14"/>
      <c r="AP160" s="27"/>
    </row>
    <row r="161" spans="1:46" x14ac:dyDescent="0.2">
      <c r="A161" s="409">
        <v>269</v>
      </c>
      <c r="B161" s="5" t="str">
        <f>B151&amp;D161</f>
        <v>120/2005</v>
      </c>
      <c r="C161" s="19">
        <f>VLOOKUP($A161,'5 A data'!$A$5:$U$650,3,FALSE)</f>
        <v>2.1000057980615688E-2</v>
      </c>
      <c r="D161" s="19">
        <f>ROUND(VLOOKUP($A161,'5 A data'!$A$5:$U$650,9,FALSE),0)</f>
        <v>5</v>
      </c>
      <c r="E161" s="23">
        <f t="shared" si="310"/>
        <v>0.99936709902044762</v>
      </c>
      <c r="F161" s="23">
        <f t="shared" si="311"/>
        <v>1.0011822386327505</v>
      </c>
      <c r="G161" s="486">
        <f>VLOOKUP(B161,TwoStageCT!A$10:H$72,3,FALSE)/10000</f>
        <v>3.6805932694608759E-5</v>
      </c>
      <c r="H161" s="486">
        <f>VLOOKUP(B161,TwoStageCT!A$10:H$72,6,FALSE)/10000</f>
        <v>4.6965346060309593E-6</v>
      </c>
      <c r="I161" s="19">
        <f>VLOOKUP($A161,'5 A data'!$A$5:$U$650,10,FALSE)</f>
        <v>-0.21199999999999999</v>
      </c>
      <c r="J161" s="32">
        <f>VLOOKUP($A161,'5 A data'!$A$5:$U$650,11,FALSE)</f>
        <v>0.37815467126543806</v>
      </c>
      <c r="K161" s="31"/>
      <c r="L161" s="31"/>
      <c r="M161" s="31">
        <f>I161*E161+G161</f>
        <v>-0.21182901905964027</v>
      </c>
      <c r="N161" s="31">
        <f>J161*F161+H161</f>
        <v>0.37860643686156914</v>
      </c>
      <c r="O161" s="20"/>
      <c r="P161" s="634">
        <f>VLOOKUP(B161,TwoStageCT!A$10:H$72,4,FALSE)/10000</f>
        <v>6.4429594675743464E-6</v>
      </c>
      <c r="Q161" s="58">
        <f>VLOOKUP($A161,'5 A data'!$A$5:$U$650,7,FALSE)*slidewire_res</f>
        <v>1E-3</v>
      </c>
      <c r="R161" s="347">
        <f t="shared" ref="R161:R167" si="318">current_coef*(I161-I162)*IF(I162=0,0,1)</f>
        <v>-6.2000000000000006E-3</v>
      </c>
      <c r="S161" s="4">
        <v>0</v>
      </c>
      <c r="T161" s="4">
        <f>BurdenUnc*K153</f>
        <v>-2.3100000000000006E-2</v>
      </c>
      <c r="U161" s="29">
        <f t="shared" ref="U161:U167" si="319">0.004*M161</f>
        <v>-8.4731607623856112E-4</v>
      </c>
      <c r="V161" s="29">
        <f t="shared" si="299"/>
        <v>5.0000000000000001E-4</v>
      </c>
      <c r="W161" s="23">
        <f>VLOOKUP($D161,Uncertainties!$B$35:$D$41,2,FALSE)</f>
        <v>5.0000000000000044E-3</v>
      </c>
      <c r="X161" s="23"/>
      <c r="Y161" s="24">
        <f t="shared" ref="Y161:Y167" si="320">I161*aux_CT_ratio</f>
        <v>-1.6439499633349457E-5</v>
      </c>
      <c r="Z161" s="23">
        <f t="shared" ref="Z161:Z167" si="321">SQRT(SUMSQ(P161:Y161))</f>
        <v>2.4474849464336396E-2</v>
      </c>
      <c r="AA161" s="25">
        <f t="shared" ref="AA161:AA167" si="322">DoF_A(P161:Y161,$P$7:$Y$7)</f>
        <v>6.2628603309542381</v>
      </c>
      <c r="AB161" s="26">
        <f t="shared" ref="AB161:AB167" si="323">CoverFactor(AA161)</f>
        <v>2.4001009771370772</v>
      </c>
      <c r="AC161" s="14"/>
      <c r="AD161" s="635">
        <f>VLOOKUP(B161,TwoStageCT!A$10:H$72,7,FALSE)/10000</f>
        <v>4.6788986298833412E-6</v>
      </c>
      <c r="AE161" s="366">
        <f>IF(ABS(VLOOKUP($A161,'5 A data'!$A$5:$U$1148,6,FALSE))&lt;4.5,IF(ABS(VLOOKUP($A161,'5 A data'!$A$5:$U$1148,6,FALSE))&lt;1.25,0.0008,0.002),0.004)*VLOOKUP($A161,'5 A data'!$A$5:$U$1148,7,FALSE)*25*RADIANS(1/60)*100</f>
        <v>2.9088820866572159E-3</v>
      </c>
      <c r="AF161" s="23">
        <f t="shared" ref="AF161:AF167" si="324">current_coef*(J161-J162)*IF(J162=0,0,1)</f>
        <v>1.5126186850617519E-2</v>
      </c>
      <c r="AG161" s="29">
        <f t="shared" ref="AG161:AG167" si="325">0.001*N161</f>
        <v>3.7860643686156914E-4</v>
      </c>
      <c r="AH161" s="4">
        <f>BurdenUnc*L153</f>
        <v>3.199770295322938E-2</v>
      </c>
      <c r="AI161" s="4">
        <f t="shared" ref="AI161:AI167" si="326">0.004*N161</f>
        <v>1.5144257474462765E-3</v>
      </c>
      <c r="AJ161" s="4">
        <f t="shared" si="306"/>
        <v>5.0000000000000001E-4</v>
      </c>
      <c r="AK161" s="21">
        <f>VLOOKUP($D161,Uncertainties!$B$35:$D$41,3,FALSE)</f>
        <v>-1.1635528346628732E-2</v>
      </c>
      <c r="AL161" s="21"/>
      <c r="AM161" s="369">
        <f>SQRT((VLOOKUP($A161,'5 A data'!$A$5:$U$1148,7,FALSE)*mutual_ind)^2+(aux_CT_phase*J161)^2)</f>
        <v>1.7047171094381783E-3</v>
      </c>
      <c r="AN161" s="29">
        <f t="shared" ref="AN161:AN167" si="327">SQRT(SUMSQ(AD161:AM161))</f>
        <v>3.7444552985928935E-2</v>
      </c>
      <c r="AO161" s="14">
        <f t="shared" ref="AO161:AO167" si="328">DoF_A(AD161:AM161,$AD$7:$AM$7)</f>
        <v>8.8709128820107903</v>
      </c>
      <c r="AP161" s="27">
        <f t="shared" ref="AP161:AP167" si="329">CoverFactor(AO161)</f>
        <v>2.253741724989236</v>
      </c>
      <c r="AS161" s="27">
        <f>VLOOKUP($B161,TwoStageCT!$A$10:$H$72,5,FALSE)</f>
        <v>26.31606241070681</v>
      </c>
      <c r="AT161" s="27">
        <f>VLOOKUP($B161,TwoStageCT!$A$10:$H$72,8,FALSE)</f>
        <v>9.9413455012810044</v>
      </c>
    </row>
    <row r="162" spans="1:46" x14ac:dyDescent="0.2">
      <c r="A162" s="409">
        <v>270</v>
      </c>
      <c r="B162" s="5" t="str">
        <f>B151&amp;D162</f>
        <v>120/20010</v>
      </c>
      <c r="C162" s="19">
        <f>VLOOKUP($A162,'5 A data'!$A$5:$U$650,3,FALSE)</f>
        <v>2.1000057980615688E-2</v>
      </c>
      <c r="D162" s="163">
        <f>ROUND(VLOOKUP($A162,'5 A data'!$A$5:$U$650,9,FALSE)/10,0)*10</f>
        <v>10</v>
      </c>
      <c r="E162" s="23">
        <f t="shared" si="310"/>
        <v>0.99936709902044762</v>
      </c>
      <c r="F162" s="23">
        <f t="shared" si="311"/>
        <v>1.0011822386327505</v>
      </c>
      <c r="G162" s="486">
        <f>VLOOKUP(B162,TwoStageCT!A$10:H$72,3,FALSE)/10000</f>
        <v>3.4690340839935311E-5</v>
      </c>
      <c r="H162" s="486">
        <f>VLOOKUP(B162,TwoStageCT!A$10:H$72,6,FALSE)/10000</f>
        <v>2.6036797087866982E-6</v>
      </c>
      <c r="I162" s="19">
        <f>VLOOKUP($A162,'5 A data'!$A$5:$U$650,10,FALSE)</f>
        <v>-0.18099999999999999</v>
      </c>
      <c r="J162" s="32">
        <f>VLOOKUP($A162,'5 A data'!$A$5:$U$650,11,FALSE)</f>
        <v>0.30252373701235047</v>
      </c>
      <c r="K162" s="31"/>
      <c r="L162" s="31"/>
      <c r="M162" s="31">
        <f t="shared" ref="M162:M167" si="330">I162*E162+G162</f>
        <v>-0.18085075458186106</v>
      </c>
      <c r="N162" s="31">
        <f t="shared" ref="N162:N167" si="331">J162*F162+H162</f>
        <v>0.30288399594127929</v>
      </c>
      <c r="O162" s="20"/>
      <c r="P162" s="634">
        <f>VLOOKUP(B162,TwoStageCT!A$10:H$72,4,FALSE)/10000</f>
        <v>5.0170517941146892E-6</v>
      </c>
      <c r="Q162" s="58">
        <f>VLOOKUP($A162,'5 A data'!$A$5:$U$650,7,FALSE)*slidewire_res</f>
        <v>1E-3</v>
      </c>
      <c r="R162" s="347">
        <f t="shared" si="318"/>
        <v>-5.5999999999999999E-3</v>
      </c>
      <c r="S162" s="4">
        <v>0</v>
      </c>
      <c r="T162" s="4">
        <f t="shared" ref="T162:T167" si="332">BurdenUnc*K154</f>
        <v>-2.1350000000000001E-2</v>
      </c>
      <c r="U162" s="29">
        <f t="shared" si="319"/>
        <v>-7.2340301832744423E-4</v>
      </c>
      <c r="V162" s="29">
        <f t="shared" si="299"/>
        <v>5.0000000000000001E-4</v>
      </c>
      <c r="W162" s="23">
        <f>VLOOKUP($D162,Uncertainties!$B$35:$D$41,2,FALSE)</f>
        <v>2.5000000000000022E-3</v>
      </c>
      <c r="X162" s="23"/>
      <c r="Y162" s="24">
        <f t="shared" si="320"/>
        <v>-1.4035610536020054E-5</v>
      </c>
      <c r="Z162" s="23">
        <f t="shared" si="321"/>
        <v>2.225322525154718E-2</v>
      </c>
      <c r="AA162" s="25">
        <f t="shared" si="322"/>
        <v>5.8730578408041785</v>
      </c>
      <c r="AB162" s="26">
        <f t="shared" si="323"/>
        <v>2.4358341583896701</v>
      </c>
      <c r="AC162" s="14"/>
      <c r="AD162" s="635">
        <f>VLOOKUP(B162,TwoStageCT!A$10:H$72,7,FALSE)/10000</f>
        <v>2.600738521505678E-6</v>
      </c>
      <c r="AE162" s="366">
        <f>IF(ABS(VLOOKUP($A162,'5 A data'!$A$5:$U$1148,6,FALSE))&lt;4.5,IF(ABS(VLOOKUP($A162,'5 A data'!$A$5:$U$1148,6,FALSE))&lt;1.25,0.0008,0.002),0.004)*VLOOKUP($A162,'5 A data'!$A$5:$U$1148,7,FALSE)*25*RADIANS(1/60)*100</f>
        <v>2.9088820866572159E-3</v>
      </c>
      <c r="AF162" s="23">
        <f t="shared" si="324"/>
        <v>1.1635528346628865E-2</v>
      </c>
      <c r="AG162" s="29">
        <f t="shared" si="325"/>
        <v>3.0288399594127931E-4</v>
      </c>
      <c r="AH162" s="4">
        <f t="shared" ref="AH162:AH167" si="333">BurdenUnc*L154</f>
        <v>2.9670597283903595E-2</v>
      </c>
      <c r="AI162" s="4">
        <f t="shared" si="326"/>
        <v>1.2115359837651172E-3</v>
      </c>
      <c r="AJ162" s="4">
        <f t="shared" si="306"/>
        <v>5.0000000000000001E-4</v>
      </c>
      <c r="AK162" s="21">
        <f>VLOOKUP($D162,Uncertainties!$B$35:$D$41,3,FALSE)</f>
        <v>4.363323129985941E-3</v>
      </c>
      <c r="AL162" s="21"/>
      <c r="AM162" s="369">
        <f>SQRT((VLOOKUP($A162,'5 A data'!$A$5:$U$1148,7,FALSE)*mutual_ind)^2+(aux_CT_phase*J162)^2)</f>
        <v>1.7031016735255E-3</v>
      </c>
      <c r="AN162" s="29">
        <f t="shared" si="327"/>
        <v>3.2371903976267727E-2</v>
      </c>
      <c r="AO162" s="14">
        <f t="shared" si="328"/>
        <v>6.9192938138458455</v>
      </c>
      <c r="AP162" s="27">
        <f t="shared" si="329"/>
        <v>2.350834384789124</v>
      </c>
      <c r="AS162" s="27">
        <f>VLOOKUP($B162,TwoStageCT!$A$10:$H$72,5,FALSE)</f>
        <v>38.265350164989712</v>
      </c>
      <c r="AT162" s="27">
        <f>VLOOKUP($B162,TwoStageCT!$A$10:$H$72,8,FALSE)</f>
        <v>16.586629386739094</v>
      </c>
    </row>
    <row r="163" spans="1:46" x14ac:dyDescent="0.2">
      <c r="A163" s="409">
        <v>271</v>
      </c>
      <c r="B163" s="5" t="str">
        <f>B151&amp;D163</f>
        <v>120/20020</v>
      </c>
      <c r="C163" s="19">
        <f>VLOOKUP($A163,'5 A data'!$A$5:$U$650,3,FALSE)</f>
        <v>2.1000057980615688E-2</v>
      </c>
      <c r="D163" s="163">
        <f>ROUND(VLOOKUP($A163,'5 A data'!$A$5:$U$650,9,FALSE)/10,0)*10</f>
        <v>20</v>
      </c>
      <c r="E163" s="23">
        <f t="shared" si="310"/>
        <v>0.99936709902044762</v>
      </c>
      <c r="F163" s="23">
        <f t="shared" si="311"/>
        <v>1.0011822386327505</v>
      </c>
      <c r="G163" s="486">
        <f>VLOOKUP(B163,TwoStageCT!A$10:H$72,3,FALSE)/10000</f>
        <v>3.1280516301103777E-5</v>
      </c>
      <c r="H163" s="486">
        <f>VLOOKUP(B163,TwoStageCT!A$10:H$72,6,FALSE)/10000</f>
        <v>4.5493238991726806E-6</v>
      </c>
      <c r="I163" s="19">
        <f>VLOOKUP($A163,'5 A data'!$A$5:$U$650,10,FALSE)</f>
        <v>-0.153</v>
      </c>
      <c r="J163" s="32">
        <f>VLOOKUP($A163,'5 A data'!$A$5:$U$650,11,FALSE)</f>
        <v>0.24434609527920614</v>
      </c>
      <c r="K163" s="31"/>
      <c r="L163" s="31"/>
      <c r="M163" s="31">
        <f t="shared" si="330"/>
        <v>-0.15287188563382736</v>
      </c>
      <c r="N163" s="31">
        <f t="shared" si="331"/>
        <v>0.24463951999670613</v>
      </c>
      <c r="O163" s="20"/>
      <c r="P163" s="634">
        <f>VLOOKUP(B163,TwoStageCT!A$10:H$72,4,FALSE)/10000</f>
        <v>4.17832023036102E-6</v>
      </c>
      <c r="Q163" s="58">
        <f>VLOOKUP($A163,'5 A data'!$A$5:$U$650,7,FALSE)*slidewire_res</f>
        <v>1E-3</v>
      </c>
      <c r="R163" s="347">
        <f t="shared" si="318"/>
        <v>-3.5999999999999977E-3</v>
      </c>
      <c r="S163" s="4">
        <v>0</v>
      </c>
      <c r="T163" s="4">
        <f t="shared" si="332"/>
        <v>-2.0050000000000002E-2</v>
      </c>
      <c r="U163" s="29">
        <f t="shared" si="319"/>
        <v>-6.1148754253530951E-4</v>
      </c>
      <c r="V163" s="29">
        <f t="shared" si="299"/>
        <v>5.0000000000000001E-4</v>
      </c>
      <c r="W163" s="23">
        <f>VLOOKUP($D163,Uncertainties!$B$35:$D$41,2,FALSE)</f>
        <v>-1.0000000000000009E-3</v>
      </c>
      <c r="X163" s="23"/>
      <c r="Y163" s="24">
        <f t="shared" si="320"/>
        <v>-1.1864355867464466E-5</v>
      </c>
      <c r="Z163" s="23">
        <f t="shared" si="321"/>
        <v>2.0434935165935222E-2</v>
      </c>
      <c r="AA163" s="25">
        <f t="shared" si="322"/>
        <v>5.3895202962878717</v>
      </c>
      <c r="AB163" s="26">
        <f t="shared" si="323"/>
        <v>2.4892920458795809</v>
      </c>
      <c r="AC163" s="14"/>
      <c r="AD163" s="635">
        <f>VLOOKUP(B163,TwoStageCT!A$10:H$72,7,FALSE)/10000</f>
        <v>1.9770475075939077E-6</v>
      </c>
      <c r="AE163" s="366">
        <f>IF(ABS(VLOOKUP($A163,'5 A data'!$A$5:$U$1148,6,FALSE))&lt;4.5,IF(ABS(VLOOKUP($A163,'5 A data'!$A$5:$U$1148,6,FALSE))&lt;1.25,0.0008,0.002),0.004)*VLOOKUP($A163,'5 A data'!$A$5:$U$1148,7,FALSE)*25*RADIANS(1/60)*100</f>
        <v>2.9088820866572159E-3</v>
      </c>
      <c r="AF163" s="23">
        <f t="shared" si="324"/>
        <v>7.5630934253087595E-3</v>
      </c>
      <c r="AG163" s="29">
        <f t="shared" si="325"/>
        <v>2.4463951999670612E-4</v>
      </c>
      <c r="AH163" s="4">
        <f t="shared" si="333"/>
        <v>2.7052603405912114E-2</v>
      </c>
      <c r="AI163" s="4">
        <f t="shared" si="326"/>
        <v>9.7855807998682449E-4</v>
      </c>
      <c r="AJ163" s="4">
        <f t="shared" si="306"/>
        <v>5.0000000000000001E-4</v>
      </c>
      <c r="AK163" s="21">
        <f>VLOOKUP($D163,Uncertainties!$B$35:$D$41,3,FALSE)</f>
        <v>-1.454441043328647E-3</v>
      </c>
      <c r="AL163" s="21"/>
      <c r="AM163" s="369">
        <f>SQRT((VLOOKUP($A163,'5 A data'!$A$5:$U$1148,7,FALSE)*mutual_ind)^2+(aux_CT_phase*J163)^2)</f>
        <v>1.7021025442081081E-3</v>
      </c>
      <c r="AN163" s="29">
        <f t="shared" si="327"/>
        <v>2.8351107709055724E-2</v>
      </c>
      <c r="AO163" s="14">
        <f t="shared" si="328"/>
        <v>5.9937991831816451</v>
      </c>
      <c r="AP163" s="27">
        <f t="shared" si="329"/>
        <v>2.4241509651671462</v>
      </c>
      <c r="AS163" s="27">
        <f>VLOOKUP($B163,TwoStageCT!$A$10:$H$72,5,FALSE)</f>
        <v>36.657700403051521</v>
      </c>
      <c r="AT163" s="27">
        <f>VLOOKUP($B163,TwoStageCT!$A$10:$H$72,8,FALSE)</f>
        <v>53.09445811850042</v>
      </c>
    </row>
    <row r="164" spans="1:46" x14ac:dyDescent="0.2">
      <c r="A164" s="409">
        <v>272</v>
      </c>
      <c r="B164" s="5" t="str">
        <f>B151&amp;D164</f>
        <v>120/20040</v>
      </c>
      <c r="C164" s="19">
        <f>VLOOKUP($A164,'5 A data'!$A$5:$U$650,3,FALSE)</f>
        <v>2.1000057980615688E-2</v>
      </c>
      <c r="D164" s="163">
        <f>ROUND(VLOOKUP($A164,'5 A data'!$A$5:$U$650,9,FALSE)/10,0)*10</f>
        <v>40</v>
      </c>
      <c r="E164" s="23">
        <f t="shared" si="310"/>
        <v>0.99936709902044762</v>
      </c>
      <c r="F164" s="23">
        <f t="shared" si="311"/>
        <v>1.0011822386327505</v>
      </c>
      <c r="G164" s="486">
        <f>VLOOKUP(B164,TwoStageCT!A$10:H$72,3,FALSE)/10000</f>
        <v>2.5200167333853628E-5</v>
      </c>
      <c r="H164" s="486">
        <f>VLOOKUP(B164,TwoStageCT!A$10:H$72,6,FALSE)/10000</f>
        <v>5.7416420558101514E-6</v>
      </c>
      <c r="I164" s="19">
        <f>VLOOKUP($A164,'5 A data'!$A$5:$U$650,10,FALSE)</f>
        <v>-0.13500000000000001</v>
      </c>
      <c r="J164" s="32">
        <f>VLOOKUP($A164,'5 A data'!$A$5:$U$650,11,FALSE)</f>
        <v>0.20653062815266235</v>
      </c>
      <c r="K164" s="31"/>
      <c r="L164" s="31"/>
      <c r="M164" s="31">
        <f t="shared" si="330"/>
        <v>-0.13488935820042661</v>
      </c>
      <c r="N164" s="31">
        <f t="shared" si="331"/>
        <v>0.20678053828216644</v>
      </c>
      <c r="O164" s="20"/>
      <c r="P164" s="634">
        <f>VLOOKUP(B164,TwoStageCT!A$10:H$72,4,FALSE)/10000</f>
        <v>3.3964590328801363E-6</v>
      </c>
      <c r="Q164" s="58">
        <f>VLOOKUP($A164,'5 A data'!$A$5:$U$650,7,FALSE)*slidewire_res</f>
        <v>1E-3</v>
      </c>
      <c r="R164" s="347">
        <f t="shared" si="318"/>
        <v>-1.4000000000000013E-3</v>
      </c>
      <c r="S164" s="4">
        <v>0</v>
      </c>
      <c r="T164" s="4">
        <f t="shared" si="332"/>
        <v>-1.8550000000000001E-2</v>
      </c>
      <c r="U164" s="29">
        <f t="shared" si="319"/>
        <v>-5.3955743280170645E-4</v>
      </c>
      <c r="V164" s="29">
        <f t="shared" si="299"/>
        <v>5.0000000000000001E-4</v>
      </c>
      <c r="W164" s="23">
        <f>VLOOKUP($D164,Uncertainties!$B$35:$D$41,2,FALSE)</f>
        <v>-1.0000000000000009E-3</v>
      </c>
      <c r="X164" s="23"/>
      <c r="Y164" s="24">
        <f t="shared" si="320"/>
        <v>-1.0468549294821588E-5</v>
      </c>
      <c r="Z164" s="23">
        <f t="shared" si="321"/>
        <v>1.8670933114061275E-2</v>
      </c>
      <c r="AA164" s="25">
        <f t="shared" si="322"/>
        <v>5.131433158752623</v>
      </c>
      <c r="AB164" s="26">
        <f t="shared" si="323"/>
        <v>2.5231387551277451</v>
      </c>
      <c r="AC164" s="14"/>
      <c r="AD164" s="635">
        <f>VLOOKUP(B164,TwoStageCT!A$10:H$72,7,FALSE)/10000</f>
        <v>1.6849048737447556E-6</v>
      </c>
      <c r="AE164" s="366">
        <f>IF(ABS(VLOOKUP($A164,'5 A data'!$A$5:$U$1148,6,FALSE))&lt;4.5,IF(ABS(VLOOKUP($A164,'5 A data'!$A$5:$U$1148,6,FALSE))&lt;1.25,0.0008,0.002),0.004)*VLOOKUP($A164,'5 A data'!$A$5:$U$1148,7,FALSE)*25*RADIANS(1/60)*100</f>
        <v>2.9088820866572159E-3</v>
      </c>
      <c r="AF164" s="23">
        <f t="shared" si="324"/>
        <v>2.908882086657222E-3</v>
      </c>
      <c r="AG164" s="29">
        <f t="shared" si="325"/>
        <v>2.0678053828216645E-4</v>
      </c>
      <c r="AH164" s="4">
        <f t="shared" si="333"/>
        <v>2.4870941840919192E-2</v>
      </c>
      <c r="AI164" s="4">
        <f t="shared" si="326"/>
        <v>8.2712215312866579E-4</v>
      </c>
      <c r="AJ164" s="4">
        <f t="shared" si="306"/>
        <v>5.0000000000000001E-4</v>
      </c>
      <c r="AK164" s="21">
        <f>VLOOKUP($D164,Uncertainties!$B$35:$D$41,3,FALSE)</f>
        <v>-2.908882086657183E-3</v>
      </c>
      <c r="AL164" s="21"/>
      <c r="AM164" s="369">
        <f>SQRT((VLOOKUP($A164,'5 A data'!$A$5:$U$1148,7,FALSE)*mutual_ind)^2+(aux_CT_phase*J164)^2)</f>
        <v>1.7015668651116978E-3</v>
      </c>
      <c r="AN164" s="29">
        <f t="shared" si="327"/>
        <v>2.5452323173320929E-2</v>
      </c>
      <c r="AO164" s="14">
        <f t="shared" si="328"/>
        <v>5.4815790074739139</v>
      </c>
      <c r="AP164" s="27">
        <f t="shared" si="329"/>
        <v>2.4781945719464318</v>
      </c>
      <c r="AS164" s="27">
        <f>VLOOKUP($B164,TwoStageCT!$A$10:$H$72,5,FALSE)</f>
        <v>38.659909732018328</v>
      </c>
      <c r="AT164" s="27">
        <f>VLOOKUP($B164,TwoStageCT!$A$10:$H$72,8,FALSE)</f>
        <v>52.499330597885681</v>
      </c>
    </row>
    <row r="165" spans="1:46" x14ac:dyDescent="0.2">
      <c r="A165" s="409">
        <v>273</v>
      </c>
      <c r="B165" s="5" t="str">
        <f>B151&amp;D165</f>
        <v>120/20060</v>
      </c>
      <c r="C165" s="19">
        <f>VLOOKUP($A165,'5 A data'!$A$5:$U$650,3,FALSE)</f>
        <v>2.1000057980615688E-2</v>
      </c>
      <c r="D165" s="163">
        <f>ROUND(VLOOKUP($A165,'5 A data'!$A$5:$U$650,9,FALSE)/10,0)*10</f>
        <v>60</v>
      </c>
      <c r="E165" s="23">
        <f t="shared" si="310"/>
        <v>0.99936709902044762</v>
      </c>
      <c r="F165" s="23">
        <f t="shared" si="311"/>
        <v>1.0011822386327505</v>
      </c>
      <c r="G165" s="486">
        <f>VLOOKUP(B165,TwoStageCT!A$10:H$72,3,FALSE)/10000</f>
        <v>2.195627602528684E-5</v>
      </c>
      <c r="H165" s="486">
        <f>VLOOKUP(B165,TwoStageCT!A$10:H$72,6,FALSE)/10000</f>
        <v>5.5507836163637805E-6</v>
      </c>
      <c r="I165" s="19">
        <f>VLOOKUP($A165,'5 A data'!$A$5:$U$650,10,FALSE)</f>
        <v>-0.128</v>
      </c>
      <c r="J165" s="32">
        <f>VLOOKUP($A165,'5 A data'!$A$5:$U$650,11,FALSE)</f>
        <v>0.19198621771937624</v>
      </c>
      <c r="K165" s="31"/>
      <c r="L165" s="31"/>
      <c r="M165" s="31">
        <f t="shared" si="330"/>
        <v>-0.12789703239859201</v>
      </c>
      <c r="N165" s="31">
        <f t="shared" si="331"/>
        <v>0.19221874202653608</v>
      </c>
      <c r="O165" s="20"/>
      <c r="P165" s="634">
        <f>VLOOKUP(B165,TwoStageCT!A$10:H$72,4,FALSE)/10000</f>
        <v>2.9709098248278708E-6</v>
      </c>
      <c r="Q165" s="58">
        <f>VLOOKUP($A165,'5 A data'!$A$5:$U$650,7,FALSE)*slidewire_res</f>
        <v>1E-3</v>
      </c>
      <c r="R165" s="347">
        <f t="shared" si="318"/>
        <v>-1.6000000000000016E-3</v>
      </c>
      <c r="S165" s="4">
        <v>0</v>
      </c>
      <c r="T165" s="4">
        <f t="shared" si="332"/>
        <v>-1.84E-2</v>
      </c>
      <c r="U165" s="29">
        <f t="shared" si="319"/>
        <v>-5.1158812959436811E-4</v>
      </c>
      <c r="V165" s="29">
        <f t="shared" si="299"/>
        <v>5.0000000000000001E-4</v>
      </c>
      <c r="W165" s="23">
        <f>VLOOKUP($D165,Uncertainties!$B$35:$D$41,2,FALSE)</f>
        <v>-1.0000000000000009E-3</v>
      </c>
      <c r="X165" s="23"/>
      <c r="Y165" s="24">
        <f t="shared" si="320"/>
        <v>-9.925735627682691E-6</v>
      </c>
      <c r="Z165" s="23">
        <f t="shared" si="321"/>
        <v>1.8537309129452281E-2</v>
      </c>
      <c r="AA165" s="25">
        <f t="shared" si="322"/>
        <v>5.1505647462264772</v>
      </c>
      <c r="AB165" s="26">
        <f t="shared" si="323"/>
        <v>2.5204800067870403</v>
      </c>
      <c r="AC165" s="14"/>
      <c r="AD165" s="635">
        <f>VLOOKUP(B165,TwoStageCT!A$10:H$72,7,FALSE)/10000</f>
        <v>1.6017059195029239E-6</v>
      </c>
      <c r="AE165" s="366">
        <f>IF(ABS(VLOOKUP($A165,'5 A data'!$A$5:$U$1148,6,FALSE))&lt;4.5,IF(ABS(VLOOKUP($A165,'5 A data'!$A$5:$U$1148,6,FALSE))&lt;1.25,0.0008,0.002),0.004)*VLOOKUP($A165,'5 A data'!$A$5:$U$1148,7,FALSE)*25*RADIANS(1/60)*100</f>
        <v>2.9088820866572159E-3</v>
      </c>
      <c r="AF165" s="23">
        <f t="shared" si="324"/>
        <v>3.1997702953229404E-3</v>
      </c>
      <c r="AG165" s="29">
        <f t="shared" si="325"/>
        <v>1.9221874202653608E-4</v>
      </c>
      <c r="AH165" s="4">
        <f t="shared" si="333"/>
        <v>2.2398392067260561E-2</v>
      </c>
      <c r="AI165" s="4">
        <f t="shared" si="326"/>
        <v>7.6887496810614431E-4</v>
      </c>
      <c r="AJ165" s="4">
        <f t="shared" si="306"/>
        <v>5.0000000000000001E-4</v>
      </c>
      <c r="AK165" s="21">
        <f>VLOOKUP($D165,Uncertainties!$B$35:$D$41,3,FALSE)</f>
        <v>-2.908882086657183E-3</v>
      </c>
      <c r="AL165" s="21"/>
      <c r="AM165" s="369">
        <f>SQRT((VLOOKUP($A165,'5 A data'!$A$5:$U$1148,7,FALSE)*mutual_ind)^2+(aux_CT_phase*J165)^2)</f>
        <v>1.7013847223902342E-3</v>
      </c>
      <c r="AN165" s="29">
        <f t="shared" si="327"/>
        <v>2.3078615999017647E-2</v>
      </c>
      <c r="AO165" s="14">
        <f t="shared" si="328"/>
        <v>5.6308352635493879</v>
      </c>
      <c r="AP165" s="27">
        <f t="shared" si="329"/>
        <v>2.4611709873160508</v>
      </c>
      <c r="AS165" s="27">
        <f>VLOOKUP($B165,TwoStageCT!$A$10:$H$72,5,FALSE)</f>
        <v>42.291164682130272</v>
      </c>
      <c r="AT165" s="27">
        <f>VLOOKUP($B165,TwoStageCT!$A$10:$H$72,8,FALSE)</f>
        <v>48.978667479860043</v>
      </c>
    </row>
    <row r="166" spans="1:46" x14ac:dyDescent="0.2">
      <c r="A166" s="409">
        <v>274</v>
      </c>
      <c r="B166" s="5" t="str">
        <f>B151&amp;D166</f>
        <v>120/200100</v>
      </c>
      <c r="C166" s="19">
        <f>VLOOKUP($A166,'5 A data'!$A$5:$U$650,3,FALSE)</f>
        <v>2.1000057980615688E-2</v>
      </c>
      <c r="D166" s="164">
        <f>ROUND(VLOOKUP($A166,'5 A data'!$A$5:$U$650,9,FALSE)/10,0)*10</f>
        <v>100</v>
      </c>
      <c r="E166" s="23">
        <f t="shared" si="310"/>
        <v>0.99936709902044762</v>
      </c>
      <c r="F166" s="23">
        <f t="shared" si="311"/>
        <v>1.0011822386327505</v>
      </c>
      <c r="G166" s="486">
        <f>VLOOKUP(B166,TwoStageCT!A$10:H$72,3,FALSE)/10000</f>
        <v>1.6881396356939836E-5</v>
      </c>
      <c r="H166" s="486">
        <f>VLOOKUP(B166,TwoStageCT!A$10:H$72,6,FALSE)/10000</f>
        <v>7.3590724152435355E-6</v>
      </c>
      <c r="I166" s="19">
        <f>VLOOKUP($A166,'5 A data'!$A$5:$U$650,10,FALSE)</f>
        <v>-0.12</v>
      </c>
      <c r="J166" s="32">
        <f>VLOOKUP($A166,'5 A data'!$A$5:$U$650,11,FALSE)</f>
        <v>0.17598736624276154</v>
      </c>
      <c r="K166" s="31"/>
      <c r="L166" s="31"/>
      <c r="M166" s="31">
        <f t="shared" si="330"/>
        <v>-0.11990717048609677</v>
      </c>
      <c r="N166" s="31">
        <f t="shared" si="331"/>
        <v>0.17620278437842499</v>
      </c>
      <c r="O166" s="20"/>
      <c r="P166" s="634">
        <f>VLOOKUP(B166,TwoStageCT!A$10:H$72,4,FALSE)/10000</f>
        <v>2.4131313466023584E-6</v>
      </c>
      <c r="Q166" s="58">
        <f>VLOOKUP($A166,'5 A data'!$A$5:$U$650,7,FALSE)*slidewire_res</f>
        <v>1E-3</v>
      </c>
      <c r="R166" s="347">
        <f t="shared" si="318"/>
        <v>-4.000000000000004E-4</v>
      </c>
      <c r="S166" s="4">
        <v>0</v>
      </c>
      <c r="T166" s="4">
        <f t="shared" si="332"/>
        <v>-1.77E-2</v>
      </c>
      <c r="U166" s="29">
        <f t="shared" si="319"/>
        <v>-4.7962868194438709E-4</v>
      </c>
      <c r="V166" s="29">
        <f t="shared" si="299"/>
        <v>5.0000000000000001E-4</v>
      </c>
      <c r="W166" s="23">
        <f>VLOOKUP($D166,Uncertainties!$B$35:$D$41,2,FALSE)</f>
        <v>1.999999999999974E-3</v>
      </c>
      <c r="X166" s="23"/>
      <c r="Y166" s="24">
        <f t="shared" si="320"/>
        <v>-9.3053771509525226E-6</v>
      </c>
      <c r="Z166" s="23">
        <f t="shared" si="321"/>
        <v>1.7858615178277134E-2</v>
      </c>
      <c r="AA166" s="25">
        <f t="shared" si="322"/>
        <v>5.1812516859523816</v>
      </c>
      <c r="AB166" s="26">
        <f t="shared" si="323"/>
        <v>2.5162680406746007</v>
      </c>
      <c r="AC166" s="14"/>
      <c r="AD166" s="635">
        <f>VLOOKUP(B166,TwoStageCT!A$10:H$72,7,FALSE)/10000</f>
        <v>1.6933288916776063E-6</v>
      </c>
      <c r="AE166" s="366">
        <f>IF(ABS(VLOOKUP($A166,'5 A data'!$A$5:$U$1148,6,FALSE))&lt;4.5,IF(ABS(VLOOKUP($A166,'5 A data'!$A$5:$U$1148,6,FALSE))&lt;1.25,0.0008,0.002),0.004)*VLOOKUP($A166,'5 A data'!$A$5:$U$1148,7,FALSE)*25*RADIANS(1/60)*100</f>
        <v>2.9088820866572159E-3</v>
      </c>
      <c r="AF166" s="23">
        <f t="shared" si="324"/>
        <v>8.7266462599715493E-4</v>
      </c>
      <c r="AG166" s="29">
        <f t="shared" si="325"/>
        <v>1.7620278437842498E-4</v>
      </c>
      <c r="AH166" s="4">
        <f t="shared" si="333"/>
        <v>1.7380570467776864E-2</v>
      </c>
      <c r="AI166" s="4">
        <f t="shared" si="326"/>
        <v>7.0481113751369993E-4</v>
      </c>
      <c r="AJ166" s="4">
        <f t="shared" si="306"/>
        <v>5.0000000000000001E-4</v>
      </c>
      <c r="AK166" s="21">
        <f>VLOOKUP($D166,Uncertainties!$B$35:$D$41,3,FALSE)</f>
        <v>-2.9088820866572385E-3</v>
      </c>
      <c r="AL166" s="21"/>
      <c r="AM166" s="369">
        <f>SQRT((VLOOKUP($A166,'5 A data'!$A$5:$U$1148,7,FALSE)*mutual_ind)^2+(aux_CT_phase*J166)^2)</f>
        <v>1.7011997012616174E-3</v>
      </c>
      <c r="AN166" s="29">
        <f t="shared" si="327"/>
        <v>1.7984461425761298E-2</v>
      </c>
      <c r="AO166" s="14">
        <f t="shared" si="328"/>
        <v>5.7250965096745112</v>
      </c>
      <c r="AP166" s="27">
        <f t="shared" si="329"/>
        <v>2.4509922045619716</v>
      </c>
      <c r="AS166" s="27">
        <f>VLOOKUP($B166,TwoStageCT!$A$10:$H$72,5,FALSE)</f>
        <v>59.567261398457461</v>
      </c>
      <c r="AT166" s="27">
        <f>VLOOKUP($B166,TwoStageCT!$A$10:$H$72,8,FALSE)</f>
        <v>45.732629829898706</v>
      </c>
    </row>
    <row r="167" spans="1:46" x14ac:dyDescent="0.2">
      <c r="A167" s="409">
        <v>275</v>
      </c>
      <c r="B167" s="5" t="str">
        <f>B151&amp;D167</f>
        <v>120/200120</v>
      </c>
      <c r="C167" s="19">
        <f>VLOOKUP($A167,'5 A data'!$A$5:$U$650,3,FALSE)</f>
        <v>2.1000057980615688E-2</v>
      </c>
      <c r="D167" s="164">
        <f>ROUND(VLOOKUP($A167,'5 A data'!$A$5:$U$650,9,FALSE)/10,0)*10</f>
        <v>120</v>
      </c>
      <c r="E167" s="23">
        <f t="shared" si="310"/>
        <v>0.99936709902044762</v>
      </c>
      <c r="F167" s="23">
        <f t="shared" si="311"/>
        <v>1.0011822386327505</v>
      </c>
      <c r="G167" s="486">
        <f>VLOOKUP(B167,TwoStageCT!A$10:H$72,3,FALSE)/10000</f>
        <v>1.5213305302217845E-5</v>
      </c>
      <c r="H167" s="486">
        <f>VLOOKUP(B167,TwoStageCT!A$10:H$72,6,FALSE)/10000</f>
        <v>7.5885012454326174E-6</v>
      </c>
      <c r="I167" s="19">
        <f>VLOOKUP($A167,'5 A data'!$A$5:$U$650,10,FALSE)</f>
        <v>-0.11799999999999999</v>
      </c>
      <c r="J167" s="32">
        <f>VLOOKUP($A167,'5 A data'!$A$5:$U$650,11,FALSE)</f>
        <v>0.17162404311277576</v>
      </c>
      <c r="K167" s="31"/>
      <c r="L167" s="31"/>
      <c r="M167" s="31">
        <f t="shared" si="330"/>
        <v>-0.11791010437911061</v>
      </c>
      <c r="N167" s="31">
        <f t="shared" si="331"/>
        <v>0.17183453218809797</v>
      </c>
      <c r="O167" s="20"/>
      <c r="P167" s="634">
        <f>VLOOKUP(B167,TwoStageCT!A$10:H$72,4,FALSE)/10000</f>
        <v>2.2681305202526645E-6</v>
      </c>
      <c r="Q167" s="58">
        <f>VLOOKUP($A167,'5 A data'!$A$5:$U$650,7,FALSE)*slidewire_res</f>
        <v>1E-3</v>
      </c>
      <c r="R167" s="347">
        <f t="shared" si="318"/>
        <v>0</v>
      </c>
      <c r="S167" s="4">
        <v>0</v>
      </c>
      <c r="T167" s="4">
        <f t="shared" si="332"/>
        <v>-1.7200000000000003E-2</v>
      </c>
      <c r="U167" s="29">
        <f t="shared" si="319"/>
        <v>-4.7164041751644243E-4</v>
      </c>
      <c r="V167" s="29">
        <f t="shared" si="299"/>
        <v>5.0000000000000001E-4</v>
      </c>
      <c r="W167" s="23">
        <f>VLOOKUP($D167,Uncertainties!$B$35:$D$41,2,FALSE)</f>
        <v>-1.0000000000000009E-3</v>
      </c>
      <c r="X167" s="23"/>
      <c r="Y167" s="24">
        <f t="shared" si="320"/>
        <v>-9.1502875317699801E-6</v>
      </c>
      <c r="Z167" s="23">
        <f t="shared" si="321"/>
        <v>1.7271726420818888E-2</v>
      </c>
      <c r="AA167" s="25">
        <f t="shared" si="322"/>
        <v>5.0838381427423522</v>
      </c>
      <c r="AB167" s="26">
        <f t="shared" si="323"/>
        <v>2.5298651745172367</v>
      </c>
      <c r="AC167" s="14"/>
      <c r="AD167" s="635">
        <f>VLOOKUP(B167,TwoStageCT!A$10:H$72,7,FALSE)/10000</f>
        <v>1.7092397901526349E-6</v>
      </c>
      <c r="AE167" s="366">
        <f>IF(ABS(VLOOKUP($A167,'5 A data'!$A$5:$U$1148,6,FALSE))&lt;4.5,IF(ABS(VLOOKUP($A167,'5 A data'!$A$5:$U$1148,6,FALSE))&lt;1.25,0.0008,0.002),0.004)*VLOOKUP($A167,'5 A data'!$A$5:$U$1148,7,FALSE)*25*RADIANS(1/60)*100</f>
        <v>2.9088820866572159E-3</v>
      </c>
      <c r="AF167" s="23">
        <f t="shared" si="324"/>
        <v>0</v>
      </c>
      <c r="AG167" s="29">
        <f t="shared" si="325"/>
        <v>1.7183453218809797E-4</v>
      </c>
      <c r="AH167" s="4">
        <f t="shared" si="333"/>
        <v>1.5562519163616107E-2</v>
      </c>
      <c r="AI167" s="4">
        <f t="shared" si="326"/>
        <v>6.873381287523919E-4</v>
      </c>
      <c r="AJ167" s="4">
        <f t="shared" si="306"/>
        <v>5.0000000000000001E-4</v>
      </c>
      <c r="AK167" s="21">
        <f>VLOOKUP($D167,Uncertainties!$B$35:$D$41,3,FALSE)</f>
        <v>1.4544410433285915E-3</v>
      </c>
      <c r="AL167" s="21"/>
      <c r="AM167" s="369">
        <f>SQRT((VLOOKUP($A167,'5 A data'!$A$5:$U$1148,7,FALSE)*mutual_ind)^2+(aux_CT_phase*J167)^2)</f>
        <v>1.7011520299637143E-3</v>
      </c>
      <c r="AN167" s="29">
        <f t="shared" si="327"/>
        <v>1.6012959702089807E-2</v>
      </c>
      <c r="AO167" s="14">
        <f t="shared" si="328"/>
        <v>5.5966710273714382</v>
      </c>
      <c r="AP167" s="27">
        <f t="shared" si="329"/>
        <v>2.4649667671133018</v>
      </c>
      <c r="AS167" s="27">
        <f>VLOOKUP($B167,TwoStageCT!$A$10:$H$72,5,FALSE)</f>
        <v>68.00069900375496</v>
      </c>
      <c r="AT167" s="27">
        <f>VLOOKUP($B167,TwoStageCT!$A$10:$H$72,8,FALSE)</f>
        <v>47.345132453902309</v>
      </c>
    </row>
    <row r="168" spans="1:46" x14ac:dyDescent="0.2">
      <c r="A168" s="409">
        <v>276</v>
      </c>
      <c r="P168" s="97"/>
      <c r="R168" s="42"/>
      <c r="AD168" s="250"/>
    </row>
    <row r="169" spans="1:46" x14ac:dyDescent="0.2">
      <c r="A169" s="409">
        <v>277</v>
      </c>
      <c r="B169" s="474" t="str">
        <f>MID(D169,FIND("AT,",D169,1)-4,3)&amp;"/"&amp;MID(D169,FIND("AT,",D169,1)+4,3)</f>
        <v>120/200</v>
      </c>
      <c r="C169" t="s">
        <v>113</v>
      </c>
      <c r="D169" s="59" t="str">
        <f>VLOOKUP($A169,'5 A data'!$A$5:$U$574,2,FALSE)</f>
        <v>200/5 Range, 1 turns @ 5VA burden, vs 120 AT, 200 range, 2 Stage CT</v>
      </c>
      <c r="P169" s="97"/>
      <c r="R169" s="42"/>
      <c r="Z169" s="29"/>
      <c r="AA169" s="25"/>
      <c r="AD169" s="250"/>
      <c r="AN169" s="29"/>
      <c r="AO169" s="14"/>
    </row>
    <row r="170" spans="1:46" x14ac:dyDescent="0.2">
      <c r="A170" s="409">
        <v>278</v>
      </c>
      <c r="C170" s="19"/>
      <c r="M170" s="638" t="s">
        <v>160</v>
      </c>
      <c r="N170" s="638"/>
      <c r="O170" s="19"/>
      <c r="P170" s="97"/>
      <c r="R170" s="42"/>
      <c r="Z170" s="29"/>
      <c r="AA170" s="25"/>
      <c r="AD170" s="250"/>
      <c r="AN170" s="29"/>
      <c r="AO170" s="14"/>
    </row>
    <row r="171" spans="1:46" x14ac:dyDescent="0.2">
      <c r="A171" s="409">
        <v>279</v>
      </c>
      <c r="B171" s="5" t="str">
        <f>B169&amp;D171</f>
        <v>120/2005</v>
      </c>
      <c r="C171" s="19">
        <f>VLOOKUP($A171,'5 A data'!$A$5:$U$574,3,FALSE)</f>
        <v>0.21600059637204713</v>
      </c>
      <c r="D171" s="19">
        <f>ROUND(VLOOKUP($A171,'5 A data'!$A$5:$U$650,9,FALSE),0)</f>
        <v>5</v>
      </c>
      <c r="E171" s="23">
        <f>TestSetRatioCor</f>
        <v>0.99936709902044762</v>
      </c>
      <c r="F171" s="23">
        <f>TestSetPhaseCor</f>
        <v>1.0011822386327505</v>
      </c>
      <c r="G171" s="486">
        <f>VLOOKUP(B171,TwoStageCT!A$10:H$72,3,FALSE)/10000</f>
        <v>3.6805932694608759E-5</v>
      </c>
      <c r="H171" s="486">
        <f>VLOOKUP(B171,TwoStageCT!A$10:H$72,6,FALSE)/10000</f>
        <v>4.6965346060309593E-6</v>
      </c>
      <c r="I171" s="19">
        <f>VLOOKUP($A171,'5 A data'!$A$5:$U$650,10,FALSE)</f>
        <v>-1.04</v>
      </c>
      <c r="J171" s="32">
        <f>VLOOKUP($A171,'5 A data'!$A$5:$U$650,11,FALSE)</f>
        <v>0.52068989351164152</v>
      </c>
      <c r="K171" s="22">
        <f>I171-I179</f>
        <v>-0.82800000000000007</v>
      </c>
      <c r="L171" s="22">
        <f>J171-J179</f>
        <v>0.14253522224620346</v>
      </c>
      <c r="M171" s="22">
        <f>I171*E171+G171</f>
        <v>-1.0393049770485712</v>
      </c>
      <c r="N171" s="22">
        <f>J171*F171+H171</f>
        <v>0.52131016975403965</v>
      </c>
      <c r="O171" s="20"/>
      <c r="P171" s="634">
        <f>VLOOKUP(B171,TwoStageCT!A$10:H$72,4,FALSE)/10000</f>
        <v>6.4429594675743464E-6</v>
      </c>
      <c r="Q171" s="58">
        <f>VLOOKUP($A171,'5 A data'!$A$5:$U$650,7,FALSE)*slidewire_res</f>
        <v>0.01</v>
      </c>
      <c r="R171" s="347">
        <f t="shared" ref="R171:R177" si="334">current_coef*(I171-I172)*IF(I172=0,0,1)</f>
        <v>-1.9200000000000019E-2</v>
      </c>
      <c r="S171" s="4">
        <v>0</v>
      </c>
      <c r="T171" s="21">
        <f>BurdenUnc*K171</f>
        <v>-4.1400000000000006E-2</v>
      </c>
      <c r="U171" s="29">
        <f>0.004*M171</f>
        <v>-4.1572199081942847E-3</v>
      </c>
      <c r="V171" s="29">
        <f t="shared" ref="V171:V185" si="335">earthing_Re</f>
        <v>5.0000000000000001E-4</v>
      </c>
      <c r="W171" s="23">
        <f>VLOOKUP($D171,Uncertainties!$B$35:$D$41,2,FALSE)</f>
        <v>5.0000000000000044E-3</v>
      </c>
      <c r="X171" s="23"/>
      <c r="Y171" s="24">
        <f t="shared" ref="Y171:Y177" si="336">I171*aux_CT_ratio</f>
        <v>-8.0646601974921855E-5</v>
      </c>
      <c r="Z171" s="23">
        <f t="shared" ref="Z171:Z177" si="337">SQRT(SUMSQ(P171:Y171))</f>
        <v>4.717137927548043E-2</v>
      </c>
      <c r="AA171" s="25">
        <f t="shared" ref="AA171:AA177" si="338">DoF_A(P171:Y171,$P$7:$Y$7)</f>
        <v>8.0270398649523589</v>
      </c>
      <c r="AB171" s="26">
        <f t="shared" ref="AB171:AB177" si="339">CoverFactor(AA171)</f>
        <v>2.2889890915335971</v>
      </c>
      <c r="AC171" s="14"/>
      <c r="AD171" s="635">
        <f>VLOOKUP(B171,TwoStageCT!A$10:H$72,7,FALSE)/10000</f>
        <v>4.6788986298833412E-6</v>
      </c>
      <c r="AE171" s="366">
        <f>IF(ABS(VLOOKUP($A171,'5 A data'!$A$5:$U$1148,6,FALSE))&lt;4.5,IF(ABS(VLOOKUP($A171,'5 A data'!$A$5:$U$1148,6,FALSE))&lt;1.25,0.0008,0.002),0.004)*VLOOKUP($A171,'5 A data'!$A$5:$U$1148,7,FALSE)*25*RADIANS(1/60)*100</f>
        <v>1.454441043328608E-2</v>
      </c>
      <c r="AF171" s="23">
        <f>current_coef*(J171-J172)*IF(J172=0,0,1)</f>
        <v>1.6289739685280392E-2</v>
      </c>
      <c r="AG171" s="29">
        <f t="shared" ref="AG171:AG177" si="340">0.001*N171</f>
        <v>5.2131016975403969E-4</v>
      </c>
      <c r="AH171" s="4">
        <f>BurdenUnc*L171</f>
        <v>7.1267611123101739E-3</v>
      </c>
      <c r="AI171" s="4">
        <f t="shared" ref="AI171:AI177" si="341">0.004*N171</f>
        <v>2.0852406790161588E-3</v>
      </c>
      <c r="AJ171" s="4">
        <f t="shared" ref="AJ171:AJ185" si="342">earthing_Im</f>
        <v>5.0000000000000001E-4</v>
      </c>
      <c r="AK171" s="21">
        <f>VLOOKUP($D171,Uncertainties!$B$35:$D$41,3,FALSE)</f>
        <v>-1.1635528346628732E-2</v>
      </c>
      <c r="AL171" s="21"/>
      <c r="AM171" s="369">
        <f>SQRT((VLOOKUP($A171,'5 A data'!$A$5:$U$1148,7,FALSE)*mutual_ind)^2+(aux_CT_phase*J171)^2)</f>
        <v>1.7003112557290988E-2</v>
      </c>
      <c r="AN171" s="29">
        <f t="shared" ref="AN171:AN177" si="343">SQRT(SUMSQ(AD171:AM171))</f>
        <v>3.0936185757680743E-2</v>
      </c>
      <c r="AO171" s="14">
        <f t="shared" ref="AO171:AO177" si="344">DoF_A(AD171:AM171,$AD$7:$AM$7)</f>
        <v>21.946533490843919</v>
      </c>
      <c r="AP171" s="27">
        <f t="shared" ref="AP171:AP177" si="345">CoverFactor(AO171)</f>
        <v>2.0713966174303047</v>
      </c>
      <c r="AS171" s="27">
        <f>VLOOKUP($B171,TwoStageCT!$A$10:$H$72,5,FALSE)</f>
        <v>26.31606241070681</v>
      </c>
      <c r="AT171" s="27">
        <f>VLOOKUP($B171,TwoStageCT!$A$10:$H$72,8,FALSE)</f>
        <v>9.9413455012810044</v>
      </c>
    </row>
    <row r="172" spans="1:46" x14ac:dyDescent="0.2">
      <c r="A172" s="409">
        <v>280</v>
      </c>
      <c r="B172" s="5" t="str">
        <f>B169&amp;D172</f>
        <v>120/20010</v>
      </c>
      <c r="C172" s="19">
        <f>VLOOKUP($A172,'5 A data'!$A$5:$U$650,3,FALSE)</f>
        <v>0.21600059637204713</v>
      </c>
      <c r="D172" s="163">
        <f>ROUND(VLOOKUP($A172,'5 A data'!$A$5:$U$650,9,FALSE)/10,0)*10</f>
        <v>10</v>
      </c>
      <c r="E172" s="23">
        <f t="shared" ref="E172:E185" si="346">TestSetRatioCor</f>
        <v>0.99936709902044762</v>
      </c>
      <c r="F172" s="23">
        <f t="shared" ref="F172:F185" si="347">TestSetPhaseCor</f>
        <v>1.0011822386327505</v>
      </c>
      <c r="G172" s="486">
        <f>VLOOKUP(B172,TwoStageCT!A$10:H$72,3,FALSE)/10000</f>
        <v>3.4690340839935311E-5</v>
      </c>
      <c r="H172" s="486">
        <f>VLOOKUP(B172,TwoStageCT!A$10:H$72,6,FALSE)/10000</f>
        <v>2.6036797087866982E-6</v>
      </c>
      <c r="I172" s="19">
        <f>VLOOKUP($A172,'5 A data'!$A$5:$U$650,10,FALSE)</f>
        <v>-0.94399999999999995</v>
      </c>
      <c r="J172" s="32">
        <f>VLOOKUP($A172,'5 A data'!$A$5:$U$650,11,FALSE)</f>
        <v>0.43924119508523957</v>
      </c>
      <c r="K172" s="22">
        <f t="shared" ref="K172:K177" si="348">I172-I180</f>
        <v>-0.7629999999999999</v>
      </c>
      <c r="L172" s="22">
        <f t="shared" ref="L172:L177" si="349">J172-J180</f>
        <v>0.1367174580728891</v>
      </c>
      <c r="M172" s="22">
        <f t="shared" ref="M172:M177" si="350">I172*E172+G172</f>
        <v>-0.94336785113446264</v>
      </c>
      <c r="N172" s="22">
        <f t="shared" ref="N172:N177" si="351">J172*F172+H172</f>
        <v>0.43976308667487363</v>
      </c>
      <c r="O172" s="20"/>
      <c r="P172" s="634">
        <f>VLOOKUP(B172,TwoStageCT!A$10:H$72,4,FALSE)/10000</f>
        <v>5.0170517941146892E-6</v>
      </c>
      <c r="Q172" s="58">
        <f>VLOOKUP($A172,'5 A data'!$A$5:$U$650,7,FALSE)*slidewire_res</f>
        <v>2E-3</v>
      </c>
      <c r="R172" s="347">
        <f t="shared" si="334"/>
        <v>-2.0799999999999999E-2</v>
      </c>
      <c r="S172" s="4">
        <v>0</v>
      </c>
      <c r="T172" s="21">
        <f t="shared" ref="T172:T177" si="352">BurdenUnc*K172</f>
        <v>-3.8149999999999996E-2</v>
      </c>
      <c r="U172" s="29">
        <f t="shared" ref="U172:U177" si="353">0.004*M172</f>
        <v>-3.7734714045378507E-3</v>
      </c>
      <c r="V172" s="29">
        <f t="shared" si="335"/>
        <v>5.0000000000000001E-4</v>
      </c>
      <c r="W172" s="23">
        <f>VLOOKUP($D172,Uncertainties!$B$35:$D$41,2,FALSE)</f>
        <v>2.5000000000000022E-3</v>
      </c>
      <c r="X172" s="23"/>
      <c r="Y172" s="24">
        <f t="shared" si="336"/>
        <v>-7.3202300254159841E-5</v>
      </c>
      <c r="Z172" s="23">
        <f t="shared" si="337"/>
        <v>4.3735648734052585E-2</v>
      </c>
      <c r="AA172" s="25">
        <f t="shared" si="338"/>
        <v>7.9344314651702277</v>
      </c>
      <c r="AB172" s="26">
        <f t="shared" si="339"/>
        <v>2.2933882783054922</v>
      </c>
      <c r="AC172" s="14"/>
      <c r="AD172" s="635">
        <f>VLOOKUP(B172,TwoStageCT!A$10:H$72,7,FALSE)/10000</f>
        <v>2.600738521505678E-6</v>
      </c>
      <c r="AE172" s="366">
        <f>IF(ABS(VLOOKUP($A172,'5 A data'!$A$5:$U$1148,6,FALSE))&lt;4.5,IF(ABS(VLOOKUP($A172,'5 A data'!$A$5:$U$1148,6,FALSE))&lt;1.25,0.0008,0.002),0.004)*VLOOKUP($A172,'5 A data'!$A$5:$U$1148,7,FALSE)*25*RADIANS(1/60)*100</f>
        <v>5.8177641733144318E-3</v>
      </c>
      <c r="AF172" s="23">
        <f t="shared" ref="AF172:AF177" si="354">current_coef*(J172-J173)*IF(J173=0,0,1)</f>
        <v>1.2217304763960303E-2</v>
      </c>
      <c r="AG172" s="29">
        <f t="shared" si="340"/>
        <v>4.3976308667487363E-4</v>
      </c>
      <c r="AH172" s="4">
        <f t="shared" ref="AH172:AH177" si="355">BurdenUnc*L172</f>
        <v>6.8358729036444551E-3</v>
      </c>
      <c r="AI172" s="4">
        <f t="shared" si="341"/>
        <v>1.7590523466994945E-3</v>
      </c>
      <c r="AJ172" s="4">
        <f t="shared" si="342"/>
        <v>5.0000000000000001E-4</v>
      </c>
      <c r="AK172" s="21">
        <f>VLOOKUP($D172,Uncertainties!$B$35:$D$41,3,FALSE)</f>
        <v>4.363323129985941E-3</v>
      </c>
      <c r="AL172" s="21"/>
      <c r="AM172" s="369">
        <f>SQRT((VLOOKUP($A172,'5 A data'!$A$5:$U$1148,7,FALSE)*mutual_ind)^2+(aux_CT_phase*J172)^2)</f>
        <v>3.4034842849049018E-3</v>
      </c>
      <c r="AN172" s="29">
        <f t="shared" si="343"/>
        <v>1.6248016233851602E-2</v>
      </c>
      <c r="AO172" s="14">
        <f t="shared" si="344"/>
        <v>13.456007582617</v>
      </c>
      <c r="AP172" s="27">
        <f t="shared" si="345"/>
        <v>2.1462252400447874</v>
      </c>
      <c r="AS172" s="27">
        <f>VLOOKUP($B172,TwoStageCT!$A$10:$H$72,5,FALSE)</f>
        <v>38.265350164989712</v>
      </c>
      <c r="AT172" s="27">
        <f>VLOOKUP($B172,TwoStageCT!$A$10:$H$72,8,FALSE)</f>
        <v>16.586629386739094</v>
      </c>
    </row>
    <row r="173" spans="1:46" x14ac:dyDescent="0.2">
      <c r="A173" s="409">
        <v>281</v>
      </c>
      <c r="B173" s="5" t="str">
        <f>B169&amp;D173</f>
        <v>120/20020</v>
      </c>
      <c r="C173" s="19">
        <f>VLOOKUP($A173,'5 A data'!$A$5:$U$650,3,FALSE)</f>
        <v>0.21600059637204713</v>
      </c>
      <c r="D173" s="163">
        <f>ROUND(VLOOKUP($A173,'5 A data'!$A$5:$U$650,9,FALSE)/10,0)*10</f>
        <v>20</v>
      </c>
      <c r="E173" s="23">
        <f t="shared" si="346"/>
        <v>0.99936709902044762</v>
      </c>
      <c r="F173" s="23">
        <f t="shared" si="347"/>
        <v>1.0011822386327505</v>
      </c>
      <c r="G173" s="486">
        <f>VLOOKUP(B173,TwoStageCT!A$10:H$72,3,FALSE)/10000</f>
        <v>3.1280516301103777E-5</v>
      </c>
      <c r="H173" s="486">
        <f>VLOOKUP(B173,TwoStageCT!A$10:H$72,6,FALSE)/10000</f>
        <v>4.5493238991726806E-6</v>
      </c>
      <c r="I173" s="19">
        <f>VLOOKUP($A173,'5 A data'!$A$5:$U$650,10,FALSE)</f>
        <v>-0.84</v>
      </c>
      <c r="J173" s="32">
        <f>VLOOKUP($A173,'5 A data'!$A$5:$U$650,11,FALSE)</f>
        <v>0.37815467126543806</v>
      </c>
      <c r="K173" s="22">
        <f t="shared" si="348"/>
        <v>-0.68699999999999994</v>
      </c>
      <c r="L173" s="22">
        <f t="shared" si="349"/>
        <v>0.13380857598623191</v>
      </c>
      <c r="M173" s="22">
        <f t="shared" si="350"/>
        <v>-0.83943708266087491</v>
      </c>
      <c r="N173" s="22">
        <f t="shared" si="351"/>
        <v>0.37860628965086224</v>
      </c>
      <c r="O173" s="20"/>
      <c r="P173" s="634">
        <f>VLOOKUP(B173,TwoStageCT!A$10:H$72,4,FALSE)/10000</f>
        <v>4.17832023036102E-6</v>
      </c>
      <c r="Q173" s="364">
        <f>VLOOKUP($A173,'5 A data'!$A$5:$U$650,7,FALSE)*slidewire_res</f>
        <v>2E-3</v>
      </c>
      <c r="R173" s="347">
        <f t="shared" si="334"/>
        <v>-1.5599999999999992E-2</v>
      </c>
      <c r="S173" s="4">
        <v>0</v>
      </c>
      <c r="T173" s="21">
        <f t="shared" si="352"/>
        <v>-3.4349999999999999E-2</v>
      </c>
      <c r="U173" s="29">
        <f t="shared" si="353"/>
        <v>-3.3577483306434998E-3</v>
      </c>
      <c r="V173" s="29">
        <f t="shared" si="335"/>
        <v>5.0000000000000001E-4</v>
      </c>
      <c r="W173" s="23">
        <f>VLOOKUP($D173,Uncertainties!$B$35:$D$41,2,FALSE)</f>
        <v>-1.0000000000000009E-3</v>
      </c>
      <c r="X173" s="23"/>
      <c r="Y173" s="24">
        <f t="shared" si="336"/>
        <v>-6.5137640056667657E-5</v>
      </c>
      <c r="Z173" s="23">
        <f t="shared" si="337"/>
        <v>3.7944844632999235E-2</v>
      </c>
      <c r="AA173" s="25">
        <f t="shared" si="338"/>
        <v>7.1406659478154459</v>
      </c>
      <c r="AB173" s="26">
        <f t="shared" si="339"/>
        <v>2.3366516500893342</v>
      </c>
      <c r="AC173" s="14"/>
      <c r="AD173" s="635">
        <f>VLOOKUP(B173,TwoStageCT!A$10:H$72,7,FALSE)/10000</f>
        <v>1.9770475075939077E-6</v>
      </c>
      <c r="AE173" s="366">
        <f>IF(ABS(VLOOKUP($A173,'5 A data'!$A$5:$U$1148,6,FALSE))&lt;4.5,IF(ABS(VLOOKUP($A173,'5 A data'!$A$5:$U$1148,6,FALSE))&lt;1.25,0.0008,0.002),0.004)*VLOOKUP($A173,'5 A data'!$A$5:$U$1148,7,FALSE)*25*RADIANS(1/60)*100</f>
        <v>5.8177641733144318E-3</v>
      </c>
      <c r="AF173" s="23">
        <f t="shared" si="354"/>
        <v>1.0471975511965981E-2</v>
      </c>
      <c r="AG173" s="29">
        <f t="shared" si="340"/>
        <v>3.7860628965086224E-4</v>
      </c>
      <c r="AH173" s="4">
        <f t="shared" si="355"/>
        <v>6.6904287993115961E-3</v>
      </c>
      <c r="AI173" s="4">
        <f t="shared" si="341"/>
        <v>1.514425158603449E-3</v>
      </c>
      <c r="AJ173" s="4">
        <f t="shared" si="342"/>
        <v>5.0000000000000001E-4</v>
      </c>
      <c r="AK173" s="21">
        <f>VLOOKUP($D173,Uncertainties!$B$35:$D$41,3,FALSE)</f>
        <v>-1.454441043328647E-3</v>
      </c>
      <c r="AL173" s="21"/>
      <c r="AM173" s="369">
        <f>SQRT((VLOOKUP($A173,'5 A data'!$A$5:$U$1148,7,FALSE)*mutual_ind)^2+(aux_CT_phase*J173)^2)</f>
        <v>3.4026997740709561E-3</v>
      </c>
      <c r="AN173" s="29">
        <f t="shared" si="343"/>
        <v>1.43056311748712E-2</v>
      </c>
      <c r="AO173" s="14">
        <f t="shared" si="344"/>
        <v>13.672468552268628</v>
      </c>
      <c r="AP173" s="27">
        <f t="shared" si="345"/>
        <v>2.1430772920167689</v>
      </c>
      <c r="AS173" s="27">
        <f>VLOOKUP($B173,TwoStageCT!$A$10:$H$72,5,FALSE)</f>
        <v>36.657700403051521</v>
      </c>
      <c r="AT173" s="27">
        <f>VLOOKUP($B173,TwoStageCT!$A$10:$H$72,8,FALSE)</f>
        <v>53.09445811850042</v>
      </c>
    </row>
    <row r="174" spans="1:46" x14ac:dyDescent="0.2">
      <c r="A174" s="409">
        <v>282</v>
      </c>
      <c r="B174" s="5" t="str">
        <f>B169&amp;D174</f>
        <v>120/20040</v>
      </c>
      <c r="C174" s="19">
        <f>VLOOKUP($A174,'5 A data'!$A$5:$U$650,3,FALSE)</f>
        <v>0.21600059637204713</v>
      </c>
      <c r="D174" s="163">
        <f>ROUND(VLOOKUP($A174,'5 A data'!$A$5:$U$650,9,FALSE)/10,0)*10</f>
        <v>40</v>
      </c>
      <c r="E174" s="23">
        <f t="shared" si="346"/>
        <v>0.99936709902044762</v>
      </c>
      <c r="F174" s="23">
        <f t="shared" si="347"/>
        <v>1.0011822386327505</v>
      </c>
      <c r="G174" s="486">
        <f>VLOOKUP(B174,TwoStageCT!A$10:H$72,3,FALSE)/10000</f>
        <v>2.5200167333853628E-5</v>
      </c>
      <c r="H174" s="486">
        <f>VLOOKUP(B174,TwoStageCT!A$10:H$72,6,FALSE)/10000</f>
        <v>5.7416420558101514E-6</v>
      </c>
      <c r="I174" s="19">
        <f>VLOOKUP($A174,'5 A data'!$A$5:$U$650,10,FALSE)</f>
        <v>-0.76200000000000001</v>
      </c>
      <c r="J174" s="32">
        <f>VLOOKUP($A174,'5 A data'!$A$5:$U$650,11,FALSE)</f>
        <v>0.32579479370560815</v>
      </c>
      <c r="K174" s="22">
        <f t="shared" si="348"/>
        <v>-0.627</v>
      </c>
      <c r="L174" s="22">
        <f t="shared" si="349"/>
        <v>0.11926416555294581</v>
      </c>
      <c r="M174" s="22">
        <f t="shared" si="350"/>
        <v>-0.76149252928624722</v>
      </c>
      <c r="N174" s="22">
        <f t="shared" si="351"/>
        <v>0.32618570253913171</v>
      </c>
      <c r="O174" s="20"/>
      <c r="P174" s="634">
        <f>VLOOKUP(B174,TwoStageCT!A$10:H$72,4,FALSE)/10000</f>
        <v>3.3964590328801363E-6</v>
      </c>
      <c r="Q174" s="58">
        <f>VLOOKUP($A174,'5 A data'!$A$5:$U$650,7,FALSE)*slidewire_res</f>
        <v>2E-3</v>
      </c>
      <c r="R174" s="347">
        <f t="shared" si="334"/>
        <v>-8.0000000000000071E-3</v>
      </c>
      <c r="S174" s="4">
        <v>0</v>
      </c>
      <c r="T174" s="21">
        <f t="shared" si="352"/>
        <v>-3.1350000000000003E-2</v>
      </c>
      <c r="U174" s="29">
        <f t="shared" si="353"/>
        <v>-3.0459701171449889E-3</v>
      </c>
      <c r="V174" s="29">
        <f t="shared" si="335"/>
        <v>5.0000000000000001E-4</v>
      </c>
      <c r="W174" s="23">
        <f>VLOOKUP($D174,Uncertainties!$B$35:$D$41,2,FALSE)</f>
        <v>-1.0000000000000009E-3</v>
      </c>
      <c r="X174" s="23"/>
      <c r="Y174" s="24">
        <f t="shared" si="336"/>
        <v>-5.9089144908548515E-5</v>
      </c>
      <c r="Z174" s="23">
        <f t="shared" si="337"/>
        <v>3.2578427479200409E-2</v>
      </c>
      <c r="AA174" s="25">
        <f t="shared" si="338"/>
        <v>5.8057280118685171</v>
      </c>
      <c r="AB174" s="26">
        <f t="shared" si="339"/>
        <v>2.4426123518278167</v>
      </c>
      <c r="AC174" s="14"/>
      <c r="AD174" s="635">
        <f>VLOOKUP(B174,TwoStageCT!A$10:H$72,7,FALSE)/10000</f>
        <v>1.6849048737447556E-6</v>
      </c>
      <c r="AE174" s="366">
        <f>IF(ABS(VLOOKUP($A174,'5 A data'!$A$5:$U$1148,6,FALSE))&lt;4.5,IF(ABS(VLOOKUP($A174,'5 A data'!$A$5:$U$1148,6,FALSE))&lt;1.25,0.0008,0.002),0.004)*VLOOKUP($A174,'5 A data'!$A$5:$U$1148,7,FALSE)*25*RADIANS(1/60)*100</f>
        <v>5.8177641733144318E-3</v>
      </c>
      <c r="AF174" s="23">
        <f t="shared" si="354"/>
        <v>8.144869842640191E-3</v>
      </c>
      <c r="AG174" s="29">
        <f t="shared" si="340"/>
        <v>3.2618570253913174E-4</v>
      </c>
      <c r="AH174" s="4">
        <f t="shared" si="355"/>
        <v>5.9632082776472908E-3</v>
      </c>
      <c r="AI174" s="4">
        <f t="shared" si="341"/>
        <v>1.3047428101565269E-3</v>
      </c>
      <c r="AJ174" s="4">
        <f t="shared" si="342"/>
        <v>5.0000000000000001E-4</v>
      </c>
      <c r="AK174" s="21">
        <f>VLOOKUP($D174,Uncertainties!$B$35:$D$41,3,FALSE)</f>
        <v>-2.908882086657183E-3</v>
      </c>
      <c r="AL174" s="21"/>
      <c r="AM174" s="369">
        <f>SQRT((VLOOKUP($A174,'5 A data'!$A$5:$U$1148,7,FALSE)*mutual_ind)^2+(aux_CT_phase*J174)^2)</f>
        <v>3.4021205478294569E-3</v>
      </c>
      <c r="AN174" s="29">
        <f t="shared" si="343"/>
        <v>1.2563435464099411E-2</v>
      </c>
      <c r="AO174" s="14">
        <f t="shared" si="344"/>
        <v>17.855230947075079</v>
      </c>
      <c r="AP174" s="27">
        <f t="shared" si="345"/>
        <v>2.0980880087267852</v>
      </c>
      <c r="AS174" s="27">
        <f>VLOOKUP($B174,TwoStageCT!$A$10:$H$72,5,FALSE)</f>
        <v>38.659909732018328</v>
      </c>
      <c r="AT174" s="27">
        <f>VLOOKUP($B174,TwoStageCT!$A$10:$H$72,8,FALSE)</f>
        <v>52.499330597885681</v>
      </c>
    </row>
    <row r="175" spans="1:46" x14ac:dyDescent="0.2">
      <c r="A175" s="409">
        <v>283</v>
      </c>
      <c r="B175" s="5" t="str">
        <f>B169&amp;D175</f>
        <v>120/20060</v>
      </c>
      <c r="C175" s="19">
        <f>VLOOKUP($A175,'5 A data'!$A$5:$U$650,3,FALSE)</f>
        <v>0.21600059637204713</v>
      </c>
      <c r="D175" s="163">
        <f>ROUND(VLOOKUP($A175,'5 A data'!$A$5:$U$650,9,FALSE)/10,0)*10</f>
        <v>60</v>
      </c>
      <c r="E175" s="23">
        <f t="shared" si="346"/>
        <v>0.99936709902044762</v>
      </c>
      <c r="F175" s="23">
        <f t="shared" si="347"/>
        <v>1.0011822386327505</v>
      </c>
      <c r="G175" s="486">
        <f>VLOOKUP(B175,TwoStageCT!A$10:H$72,3,FALSE)/10000</f>
        <v>2.195627602528684E-5</v>
      </c>
      <c r="H175" s="486">
        <f>VLOOKUP(B175,TwoStageCT!A$10:H$72,6,FALSE)/10000</f>
        <v>5.5507836163637805E-6</v>
      </c>
      <c r="I175" s="19">
        <f>VLOOKUP($A175,'5 A data'!$A$5:$U$650,10,FALSE)</f>
        <v>-0.72199999999999998</v>
      </c>
      <c r="J175" s="32">
        <f>VLOOKUP($A175,'5 A data'!$A$5:$U$650,11,FALSE)</f>
        <v>0.2850704444924072</v>
      </c>
      <c r="K175" s="22">
        <f t="shared" si="348"/>
        <v>-0.59399999999999997</v>
      </c>
      <c r="L175" s="22">
        <f t="shared" si="349"/>
        <v>9.3084226773030965E-2</v>
      </c>
      <c r="M175" s="22">
        <f t="shared" si="350"/>
        <v>-0.72152108921673785</v>
      </c>
      <c r="N175" s="22">
        <f t="shared" si="351"/>
        <v>0.28541301656855783</v>
      </c>
      <c r="O175" s="20"/>
      <c r="P175" s="634">
        <f>VLOOKUP(B175,TwoStageCT!A$10:H$72,4,FALSE)/10000</f>
        <v>2.9709098248278708E-6</v>
      </c>
      <c r="Q175" s="58">
        <f>VLOOKUP($A175,'5 A data'!$A$5:$U$650,7,FALSE)*slidewire_res</f>
        <v>2E-3</v>
      </c>
      <c r="R175" s="347">
        <f t="shared" si="334"/>
        <v>-1.3999999999999992E-2</v>
      </c>
      <c r="S175" s="4">
        <v>0</v>
      </c>
      <c r="T175" s="21">
        <f t="shared" si="352"/>
        <v>-2.9700000000000001E-2</v>
      </c>
      <c r="U175" s="29">
        <f t="shared" si="353"/>
        <v>-2.8860843568669515E-3</v>
      </c>
      <c r="V175" s="29">
        <f t="shared" si="335"/>
        <v>5.0000000000000001E-4</v>
      </c>
      <c r="W175" s="23">
        <f>VLOOKUP($D175,Uncertainties!$B$35:$D$41,2,FALSE)</f>
        <v>-1.0000000000000009E-3</v>
      </c>
      <c r="X175" s="23"/>
      <c r="Y175" s="24">
        <f t="shared" si="336"/>
        <v>-5.5987352524897672E-5</v>
      </c>
      <c r="Z175" s="23">
        <f t="shared" si="337"/>
        <v>3.3040469523372397E-2</v>
      </c>
      <c r="AA175" s="25">
        <f t="shared" si="338"/>
        <v>7.2971563948544693</v>
      </c>
      <c r="AB175" s="26">
        <f t="shared" si="339"/>
        <v>2.3272407505841035</v>
      </c>
      <c r="AC175" s="14"/>
      <c r="AD175" s="635">
        <f>VLOOKUP(B175,TwoStageCT!A$10:H$72,7,FALSE)/10000</f>
        <v>1.6017059195029239E-6</v>
      </c>
      <c r="AE175" s="366">
        <f>IF(ABS(VLOOKUP($A175,'5 A data'!$A$5:$U$1148,6,FALSE))&lt;4.5,IF(ABS(VLOOKUP($A175,'5 A data'!$A$5:$U$1148,6,FALSE))&lt;1.25,0.0008,0.002),0.004)*VLOOKUP($A175,'5 A data'!$A$5:$U$1148,7,FALSE)*25*RADIANS(1/60)*100</f>
        <v>5.8177641733144318E-3</v>
      </c>
      <c r="AF175" s="23">
        <f t="shared" si="354"/>
        <v>1.6871516102611863E-2</v>
      </c>
      <c r="AG175" s="29">
        <f t="shared" si="340"/>
        <v>2.8541301656855782E-4</v>
      </c>
      <c r="AH175" s="4">
        <f t="shared" si="355"/>
        <v>4.6542113386515488E-3</v>
      </c>
      <c r="AI175" s="4">
        <f t="shared" si="341"/>
        <v>1.1416520662742313E-3</v>
      </c>
      <c r="AJ175" s="4">
        <f t="shared" si="342"/>
        <v>5.0000000000000001E-4</v>
      </c>
      <c r="AK175" s="21">
        <f>VLOOKUP($D175,Uncertainties!$B$35:$D$41,3,FALSE)</f>
        <v>-2.908882086657183E-3</v>
      </c>
      <c r="AL175" s="21"/>
      <c r="AM175" s="369">
        <f>SQRT((VLOOKUP($A175,'5 A data'!$A$5:$U$1148,7,FALSE)*mutual_ind)^2+(aux_CT_phase*J175)^2)</f>
        <v>3.4017295542608547E-3</v>
      </c>
      <c r="AN175" s="29">
        <f t="shared" si="343"/>
        <v>1.9021680007616271E-2</v>
      </c>
      <c r="AO175" s="14">
        <f t="shared" si="344"/>
        <v>7.905258760687901</v>
      </c>
      <c r="AP175" s="27">
        <f t="shared" si="345"/>
        <v>2.2947989462003227</v>
      </c>
      <c r="AS175" s="27">
        <f>VLOOKUP($B175,TwoStageCT!$A$10:$H$72,5,FALSE)</f>
        <v>42.291164682130272</v>
      </c>
      <c r="AT175" s="27">
        <f>VLOOKUP($B175,TwoStageCT!$A$10:$H$72,8,FALSE)</f>
        <v>48.978667479860043</v>
      </c>
    </row>
    <row r="176" spans="1:46" x14ac:dyDescent="0.2">
      <c r="A176" s="409">
        <v>284</v>
      </c>
      <c r="B176" s="5" t="str">
        <f>B169&amp;D176</f>
        <v>120/200100</v>
      </c>
      <c r="C176" s="19">
        <f>VLOOKUP($A176,'5 A data'!$A$5:$U$650,3,FALSE)</f>
        <v>0.21600059637204713</v>
      </c>
      <c r="D176" s="164">
        <f>ROUND(VLOOKUP($A176,'5 A data'!$A$5:$U$650,9,FALSE)/10,0)*10</f>
        <v>100</v>
      </c>
      <c r="E176" s="23">
        <f t="shared" si="346"/>
        <v>0.99936709902044762</v>
      </c>
      <c r="F176" s="23">
        <f t="shared" si="347"/>
        <v>1.0011822386327505</v>
      </c>
      <c r="G176" s="486">
        <f>VLOOKUP(B176,TwoStageCT!A$10:H$72,3,FALSE)/10000</f>
        <v>1.6881396356939836E-5</v>
      </c>
      <c r="H176" s="486">
        <f>VLOOKUP(B176,TwoStageCT!A$10:H$72,6,FALSE)/10000</f>
        <v>7.3590724152435355E-6</v>
      </c>
      <c r="I176" s="19">
        <f>VLOOKUP($A176,'5 A data'!$A$5:$U$650,10,FALSE)</f>
        <v>-0.65200000000000002</v>
      </c>
      <c r="J176" s="32">
        <f>VLOOKUP($A176,'5 A data'!$A$5:$U$650,11,FALSE)</f>
        <v>0.2007128639793479</v>
      </c>
      <c r="K176" s="22">
        <f t="shared" si="348"/>
        <v>-0.53200000000000003</v>
      </c>
      <c r="L176" s="22">
        <f t="shared" si="349"/>
        <v>2.472549773658636E-2</v>
      </c>
      <c r="M176" s="22">
        <f t="shared" si="350"/>
        <v>-0.65157046716497491</v>
      </c>
      <c r="N176" s="22">
        <f t="shared" si="351"/>
        <v>0.20095751355364952</v>
      </c>
      <c r="O176" s="20"/>
      <c r="P176" s="634">
        <f>VLOOKUP(B176,TwoStageCT!A$10:H$72,4,FALSE)/10000</f>
        <v>2.4131313466023584E-6</v>
      </c>
      <c r="Q176" s="58">
        <f>VLOOKUP($A176,'5 A data'!$A$5:$U$650,7,FALSE)*slidewire_res</f>
        <v>2E-3</v>
      </c>
      <c r="R176" s="347">
        <f t="shared" si="334"/>
        <v>-6.0000000000000053E-3</v>
      </c>
      <c r="S176" s="4">
        <v>0</v>
      </c>
      <c r="T176" s="21">
        <f t="shared" si="352"/>
        <v>-2.6600000000000002E-2</v>
      </c>
      <c r="U176" s="29">
        <f t="shared" si="353"/>
        <v>-2.6062818686598999E-3</v>
      </c>
      <c r="V176" s="29">
        <f t="shared" si="335"/>
        <v>5.0000000000000001E-4</v>
      </c>
      <c r="W176" s="23">
        <f>VLOOKUP($D176,Uncertainties!$B$35:$D$41,2,FALSE)</f>
        <v>1.999999999999974E-3</v>
      </c>
      <c r="X176" s="23"/>
      <c r="Y176" s="24">
        <f t="shared" si="336"/>
        <v>-5.0559215853508707E-5</v>
      </c>
      <c r="Z176" s="23">
        <f t="shared" si="337"/>
        <v>2.7542789750430438E-2</v>
      </c>
      <c r="AA176" s="25">
        <f t="shared" si="338"/>
        <v>5.7318262142553831</v>
      </c>
      <c r="AB176" s="26">
        <f t="shared" si="339"/>
        <v>2.4502815186553399</v>
      </c>
      <c r="AC176" s="14"/>
      <c r="AD176" s="635">
        <f>VLOOKUP(B176,TwoStageCT!A$10:H$72,7,FALSE)/10000</f>
        <v>1.6933288916776063E-6</v>
      </c>
      <c r="AE176" s="366">
        <f>IF(ABS(VLOOKUP($A176,'5 A data'!$A$5:$U$1148,6,FALSE))&lt;4.5,IF(ABS(VLOOKUP($A176,'5 A data'!$A$5:$U$1148,6,FALSE))&lt;1.25,0.0008,0.002),0.004)*VLOOKUP($A176,'5 A data'!$A$5:$U$1148,7,FALSE)*25*RADIANS(1/60)*100</f>
        <v>2.9088820866572159E-3</v>
      </c>
      <c r="AF176" s="23">
        <f t="shared" si="354"/>
        <v>5.2359877559829907E-3</v>
      </c>
      <c r="AG176" s="29">
        <f t="shared" si="340"/>
        <v>2.0095751355364951E-4</v>
      </c>
      <c r="AH176" s="4">
        <f t="shared" si="355"/>
        <v>1.2362748868293182E-3</v>
      </c>
      <c r="AI176" s="4">
        <f t="shared" si="341"/>
        <v>8.0383005421459804E-4</v>
      </c>
      <c r="AJ176" s="4">
        <f t="shared" si="342"/>
        <v>5.0000000000000001E-4</v>
      </c>
      <c r="AK176" s="21">
        <f>VLOOKUP($D176,Uncertainties!$B$35:$D$41,3,FALSE)</f>
        <v>-2.9088820866572385E-3</v>
      </c>
      <c r="AL176" s="21"/>
      <c r="AM176" s="369">
        <f>SQRT((VLOOKUP($A176,'5 A data'!$A$5:$U$1148,7,FALSE)*mutual_ind)^2+(aux_CT_phase*J176)^2)</f>
        <v>3.4010853807934162E-3</v>
      </c>
      <c r="AN176" s="29">
        <f t="shared" si="343"/>
        <v>7.6400945463967257E-3</v>
      </c>
      <c r="AO176" s="14">
        <f t="shared" si="344"/>
        <v>17.234552371578587</v>
      </c>
      <c r="AP176" s="27">
        <f t="shared" si="345"/>
        <v>2.1033048182782719</v>
      </c>
      <c r="AS176" s="27">
        <f>VLOOKUP($B176,TwoStageCT!$A$10:$H$72,5,FALSE)</f>
        <v>59.567261398457461</v>
      </c>
      <c r="AT176" s="27">
        <f>VLOOKUP($B176,TwoStageCT!$A$10:$H$72,8,FALSE)</f>
        <v>45.732629829898706</v>
      </c>
    </row>
    <row r="177" spans="1:46" x14ac:dyDescent="0.2">
      <c r="A177" s="409">
        <v>285</v>
      </c>
      <c r="B177" s="5" t="str">
        <f>B169&amp;D177</f>
        <v>120/200120</v>
      </c>
      <c r="C177" s="19">
        <f>VLOOKUP($A177,'5 A data'!$A$5:$U$650,3,FALSE)</f>
        <v>0.21600059637204713</v>
      </c>
      <c r="D177" s="164">
        <f>ROUND(VLOOKUP($A177,'5 A data'!$A$5:$U$650,9,FALSE)/10,0)*10</f>
        <v>120</v>
      </c>
      <c r="E177" s="23">
        <f t="shared" si="346"/>
        <v>0.99936709902044762</v>
      </c>
      <c r="F177" s="23">
        <f t="shared" si="347"/>
        <v>1.0011822386327505</v>
      </c>
      <c r="G177" s="486">
        <f>VLOOKUP(B177,TwoStageCT!A$10:H$72,3,FALSE)/10000</f>
        <v>1.5213305302217845E-5</v>
      </c>
      <c r="H177" s="486">
        <f>VLOOKUP(B177,TwoStageCT!A$10:H$72,6,FALSE)/10000</f>
        <v>7.5885012454326174E-6</v>
      </c>
      <c r="I177" s="19">
        <f>VLOOKUP($A177,'5 A data'!$A$5:$U$650,10,FALSE)</f>
        <v>-0.622</v>
      </c>
      <c r="J177" s="32">
        <f>VLOOKUP($A177,'5 A data'!$A$5:$U$650,11,FALSE)</f>
        <v>0.17453292519943295</v>
      </c>
      <c r="K177" s="22">
        <f t="shared" si="348"/>
        <v>-0.504</v>
      </c>
      <c r="L177" s="22">
        <f t="shared" si="349"/>
        <v>2.908882086657183E-3</v>
      </c>
      <c r="M177" s="22">
        <f t="shared" si="350"/>
        <v>-0.62159112228541624</v>
      </c>
      <c r="N177" s="22">
        <f t="shared" si="351"/>
        <v>0.17474685326753611</v>
      </c>
      <c r="O177" s="20"/>
      <c r="P177" s="634">
        <f>VLOOKUP(B177,TwoStageCT!A$10:H$72,4,FALSE)/10000</f>
        <v>2.2681305202526645E-6</v>
      </c>
      <c r="Q177" s="58">
        <f>VLOOKUP($A177,'5 A data'!$A$5:$U$650,7,FALSE)*slidewire_res</f>
        <v>2E-3</v>
      </c>
      <c r="R177" s="347">
        <f t="shared" si="334"/>
        <v>0</v>
      </c>
      <c r="S177" s="4">
        <v>0</v>
      </c>
      <c r="T177" s="21">
        <f t="shared" si="352"/>
        <v>-2.52E-2</v>
      </c>
      <c r="U177" s="29">
        <f t="shared" si="353"/>
        <v>-2.4863644891416651E-3</v>
      </c>
      <c r="V177" s="29">
        <f t="shared" si="335"/>
        <v>5.0000000000000001E-4</v>
      </c>
      <c r="W177" s="23">
        <f>VLOOKUP($D177,Uncertainties!$B$35:$D$41,2,FALSE)</f>
        <v>-1.0000000000000009E-3</v>
      </c>
      <c r="X177" s="23"/>
      <c r="Y177" s="24">
        <f t="shared" si="336"/>
        <v>-4.8232871565770573E-5</v>
      </c>
      <c r="Z177" s="23">
        <f t="shared" si="337"/>
        <v>2.5425859669383457E-2</v>
      </c>
      <c r="AA177" s="25">
        <f t="shared" si="338"/>
        <v>5.1809755464439879</v>
      </c>
      <c r="AB177" s="26">
        <f t="shared" si="339"/>
        <v>2.516305656806181</v>
      </c>
      <c r="AC177" s="14"/>
      <c r="AD177" s="635">
        <f>VLOOKUP(B177,TwoStageCT!A$10:H$72,7,FALSE)/10000</f>
        <v>1.7092397901526349E-6</v>
      </c>
      <c r="AE177" s="366">
        <f>IF(ABS(VLOOKUP($A177,'5 A data'!$A$5:$U$1148,6,FALSE))&lt;4.5,IF(ABS(VLOOKUP($A177,'5 A data'!$A$5:$U$1148,6,FALSE))&lt;1.25,0.0008,0.002),0.004)*VLOOKUP($A177,'5 A data'!$A$5:$U$1148,7,FALSE)*25*RADIANS(1/60)*100</f>
        <v>2.9088820866572159E-3</v>
      </c>
      <c r="AF177" s="23">
        <f t="shared" si="354"/>
        <v>0</v>
      </c>
      <c r="AG177" s="29">
        <f t="shared" si="340"/>
        <v>1.7474685326753612E-4</v>
      </c>
      <c r="AH177" s="4">
        <f t="shared" si="355"/>
        <v>1.4544410433285916E-4</v>
      </c>
      <c r="AI177" s="4">
        <f t="shared" si="341"/>
        <v>6.9898741307014448E-4</v>
      </c>
      <c r="AJ177" s="4">
        <f t="shared" si="342"/>
        <v>5.0000000000000001E-4</v>
      </c>
      <c r="AK177" s="21">
        <f>VLOOKUP($D177,Uncertainties!$B$35:$D$41,3,FALSE)</f>
        <v>1.4544410433285915E-3</v>
      </c>
      <c r="AL177" s="21"/>
      <c r="AM177" s="369">
        <f>SQRT((VLOOKUP($A177,'5 A data'!$A$5:$U$1148,7,FALSE)*mutual_ind)^2+(aux_CT_phase*J177)^2)</f>
        <v>3.4009309366050738E-3</v>
      </c>
      <c r="AN177" s="29">
        <f t="shared" si="343"/>
        <v>4.7889040242517604E-3</v>
      </c>
      <c r="AO177" s="14">
        <f t="shared" si="344"/>
        <v>12.675257437816581</v>
      </c>
      <c r="AP177" s="27">
        <f t="shared" si="345"/>
        <v>2.1585486752071761</v>
      </c>
      <c r="AS177" s="27">
        <f>VLOOKUP($B177,TwoStageCT!$A$10:$H$72,5,FALSE)</f>
        <v>68.00069900375496</v>
      </c>
      <c r="AT177" s="27">
        <f>VLOOKUP($B177,TwoStageCT!$A$10:$H$72,8,FALSE)</f>
        <v>47.345132453902309</v>
      </c>
    </row>
    <row r="178" spans="1:46" x14ac:dyDescent="0.2">
      <c r="A178" s="409">
        <v>286</v>
      </c>
      <c r="B178" s="5"/>
      <c r="C178" s="19"/>
      <c r="D178" s="19"/>
      <c r="E178" s="23"/>
      <c r="F178" s="23"/>
      <c r="G178" s="347"/>
      <c r="H178" s="347"/>
      <c r="I178" s="19"/>
      <c r="J178" s="32"/>
      <c r="K178" s="31"/>
      <c r="L178" s="31"/>
      <c r="M178" s="638" t="s">
        <v>93</v>
      </c>
      <c r="N178" s="638"/>
      <c r="O178" s="20"/>
      <c r="P178" s="634"/>
      <c r="Q178" s="58"/>
      <c r="R178" s="347"/>
      <c r="S178" s="4"/>
      <c r="T178" s="4"/>
      <c r="U178" s="29"/>
      <c r="V178" s="29"/>
      <c r="W178" s="29"/>
      <c r="X178" s="29"/>
      <c r="Y178" s="24"/>
      <c r="Z178" s="29"/>
      <c r="AA178" s="25"/>
      <c r="AB178" s="26"/>
      <c r="AC178" s="14"/>
      <c r="AD178" s="635"/>
      <c r="AE178" s="35"/>
      <c r="AF178" s="28"/>
      <c r="AG178" s="29"/>
      <c r="AH178" s="4"/>
      <c r="AI178" s="4"/>
      <c r="AJ178" s="4"/>
      <c r="AK178" s="4"/>
      <c r="AL178" s="4"/>
      <c r="AM178" s="24"/>
      <c r="AN178" s="29"/>
      <c r="AO178" s="14"/>
      <c r="AP178" s="27"/>
    </row>
    <row r="179" spans="1:46" x14ac:dyDescent="0.2">
      <c r="A179" s="409">
        <v>287</v>
      </c>
      <c r="B179" s="5" t="str">
        <f>B169&amp;D179</f>
        <v>120/2005</v>
      </c>
      <c r="C179" s="19">
        <f>VLOOKUP($A179,'5 A data'!$A$5:$U$650,3,FALSE)</f>
        <v>2.1000057980615688E-2</v>
      </c>
      <c r="D179" s="19">
        <f>ROUND(VLOOKUP($A179,'5 A data'!$A$5:$U$650,9,FALSE),0)</f>
        <v>5</v>
      </c>
      <c r="E179" s="23">
        <f t="shared" si="346"/>
        <v>0.99936709902044762</v>
      </c>
      <c r="F179" s="23">
        <f t="shared" si="347"/>
        <v>1.0011822386327505</v>
      </c>
      <c r="G179" s="486">
        <f>VLOOKUP(B179,TwoStageCT!A$10:H$72,3,FALSE)/10000</f>
        <v>3.6805932694608759E-5</v>
      </c>
      <c r="H179" s="486">
        <f>VLOOKUP(B179,TwoStageCT!A$10:H$72,6,FALSE)/10000</f>
        <v>4.6965346060309593E-6</v>
      </c>
      <c r="I179" s="19">
        <f>VLOOKUP($A179,'5 A data'!$A$5:$U$650,10,FALSE)</f>
        <v>-0.21199999999999999</v>
      </c>
      <c r="J179" s="32">
        <f>VLOOKUP($A179,'5 A data'!$A$5:$U$650,11,FALSE)</f>
        <v>0.37815467126543806</v>
      </c>
      <c r="K179" s="31"/>
      <c r="L179" s="31"/>
      <c r="M179" s="31">
        <f>I179*E179+G179</f>
        <v>-0.21182901905964027</v>
      </c>
      <c r="N179" s="31">
        <f>J179*F179+H179</f>
        <v>0.37860643686156914</v>
      </c>
      <c r="O179" s="20"/>
      <c r="P179" s="634">
        <f>VLOOKUP(B179,TwoStageCT!A$10:H$72,4,FALSE)/10000</f>
        <v>6.4429594675743464E-6</v>
      </c>
      <c r="Q179" s="58">
        <f>VLOOKUP($A179,'5 A data'!$A$5:$U$650,7,FALSE)*slidewire_res</f>
        <v>1E-3</v>
      </c>
      <c r="R179" s="347">
        <f t="shared" ref="R179:R185" si="356">current_coef*(I179-I180)*IF(I180=0,0,1)</f>
        <v>-6.2000000000000006E-3</v>
      </c>
      <c r="S179" s="4">
        <v>0</v>
      </c>
      <c r="T179" s="4">
        <f>BurdenUnc*K171</f>
        <v>-4.1400000000000006E-2</v>
      </c>
      <c r="U179" s="29">
        <f t="shared" ref="U179:U185" si="357">0.004*M179</f>
        <v>-8.4731607623856112E-4</v>
      </c>
      <c r="V179" s="29">
        <f t="shared" si="335"/>
        <v>5.0000000000000001E-4</v>
      </c>
      <c r="W179" s="23">
        <f>VLOOKUP($D179,Uncertainties!$B$35:$D$41,2,FALSE)</f>
        <v>5.0000000000000044E-3</v>
      </c>
      <c r="X179" s="23"/>
      <c r="Y179" s="24">
        <f t="shared" ref="Y179:Y185" si="358">I179*aux_CT_ratio</f>
        <v>-1.6439499633349457E-5</v>
      </c>
      <c r="Z179" s="23">
        <f t="shared" ref="Z179:Z185" si="359">SQRT(SUMSQ(P179:Y179))</f>
        <v>4.2182558674195285E-2</v>
      </c>
      <c r="AA179" s="25">
        <f t="shared" ref="AA179:AA185" si="360">DoF_A(P179:Y179,$P$7:$Y$7)</f>
        <v>5.3857321510545315</v>
      </c>
      <c r="AB179" s="26">
        <f t="shared" ref="AB179:AB185" si="361">CoverFactor(AA179)</f>
        <v>2.4897590295028174</v>
      </c>
      <c r="AC179" s="14"/>
      <c r="AD179" s="635">
        <f>VLOOKUP(B179,TwoStageCT!A$10:H$72,7,FALSE)/10000</f>
        <v>4.6788986298833412E-6</v>
      </c>
      <c r="AE179" s="366">
        <f>IF(ABS(VLOOKUP($A179,'5 A data'!$A$5:$U$1148,6,FALSE))&lt;4.5,IF(ABS(VLOOKUP($A179,'5 A data'!$A$5:$U$1148,6,FALSE))&lt;1.25,0.0008,0.002),0.004)*VLOOKUP($A179,'5 A data'!$A$5:$U$1148,7,FALSE)*25*RADIANS(1/60)*100</f>
        <v>2.9088820866572159E-3</v>
      </c>
      <c r="AF179" s="23">
        <f t="shared" ref="AF179:AF185" si="362">current_coef*(J179-J180)*IF(J180=0,0,1)</f>
        <v>1.5126186850617519E-2</v>
      </c>
      <c r="AG179" s="29">
        <f t="shared" ref="AG179:AG185" si="363">0.001*N179</f>
        <v>3.7860643686156914E-4</v>
      </c>
      <c r="AH179" s="4">
        <f>BurdenUnc*L171</f>
        <v>7.1267611123101739E-3</v>
      </c>
      <c r="AI179" s="4">
        <f t="shared" ref="AI179:AI185" si="364">0.004*N179</f>
        <v>1.5144257474462765E-3</v>
      </c>
      <c r="AJ179" s="4">
        <f t="shared" si="342"/>
        <v>5.0000000000000001E-4</v>
      </c>
      <c r="AK179" s="21">
        <f>VLOOKUP($D179,Uncertainties!$B$35:$D$41,3,FALSE)</f>
        <v>-1.1635528346628732E-2</v>
      </c>
      <c r="AL179" s="21"/>
      <c r="AM179" s="369">
        <f>SQRT((VLOOKUP($A179,'5 A data'!$A$5:$U$1148,7,FALSE)*mutual_ind)^2+(aux_CT_phase*J179)^2)</f>
        <v>1.7047171094381783E-3</v>
      </c>
      <c r="AN179" s="29">
        <f t="shared" ref="AN179:AN185" si="365">SQRT(SUMSQ(AD179:AM179))</f>
        <v>2.0713094360449182E-2</v>
      </c>
      <c r="AO179" s="14">
        <f t="shared" ref="AO179:AO185" si="366">DoF_A(AD179:AM179,$AD$7:$AM$7)</f>
        <v>14.761651144593502</v>
      </c>
      <c r="AP179" s="27">
        <f t="shared" ref="AP179:AP185" si="367">CoverFactor(AO179)</f>
        <v>2.1287378822238856</v>
      </c>
      <c r="AS179" s="27">
        <f>VLOOKUP($B179,TwoStageCT!$A$10:$H$72,5,FALSE)</f>
        <v>26.31606241070681</v>
      </c>
      <c r="AT179" s="27">
        <f>VLOOKUP($B179,TwoStageCT!$A$10:$H$72,8,FALSE)</f>
        <v>9.9413455012810044</v>
      </c>
    </row>
    <row r="180" spans="1:46" x14ac:dyDescent="0.2">
      <c r="A180" s="409">
        <v>288</v>
      </c>
      <c r="B180" s="5" t="str">
        <f>B169&amp;D180</f>
        <v>120/20010</v>
      </c>
      <c r="C180" s="19">
        <f>VLOOKUP($A180,'5 A data'!$A$5:$U$650,3,FALSE)</f>
        <v>2.1000057980615688E-2</v>
      </c>
      <c r="D180" s="163">
        <f>ROUND(VLOOKUP($A180,'5 A data'!$A$5:$U$650,9,FALSE)/10,0)*10</f>
        <v>10</v>
      </c>
      <c r="E180" s="23">
        <f t="shared" si="346"/>
        <v>0.99936709902044762</v>
      </c>
      <c r="F180" s="23">
        <f t="shared" si="347"/>
        <v>1.0011822386327505</v>
      </c>
      <c r="G180" s="486">
        <f>VLOOKUP(B180,TwoStageCT!A$10:H$72,3,FALSE)/10000</f>
        <v>3.4690340839935311E-5</v>
      </c>
      <c r="H180" s="486">
        <f>VLOOKUP(B180,TwoStageCT!A$10:H$72,6,FALSE)/10000</f>
        <v>2.6036797087866982E-6</v>
      </c>
      <c r="I180" s="19">
        <f>VLOOKUP($A180,'5 A data'!$A$5:$U$650,10,FALSE)</f>
        <v>-0.18099999999999999</v>
      </c>
      <c r="J180" s="32">
        <f>VLOOKUP($A180,'5 A data'!$A$5:$U$650,11,FALSE)</f>
        <v>0.30252373701235047</v>
      </c>
      <c r="K180" s="31"/>
      <c r="L180" s="31"/>
      <c r="M180" s="31">
        <f t="shared" ref="M180:M185" si="368">I180*E180+G180</f>
        <v>-0.18085075458186106</v>
      </c>
      <c r="N180" s="31">
        <f t="shared" ref="N180:N185" si="369">J180*F180+H180</f>
        <v>0.30288399594127929</v>
      </c>
      <c r="O180" s="20"/>
      <c r="P180" s="634">
        <f>VLOOKUP(B180,TwoStageCT!A$10:H$72,4,FALSE)/10000</f>
        <v>5.0170517941146892E-6</v>
      </c>
      <c r="Q180" s="58">
        <f>VLOOKUP($A180,'5 A data'!$A$5:$U$650,7,FALSE)*slidewire_res</f>
        <v>1E-3</v>
      </c>
      <c r="R180" s="347">
        <f t="shared" si="356"/>
        <v>-5.5999999999999999E-3</v>
      </c>
      <c r="S180" s="4">
        <v>0</v>
      </c>
      <c r="T180" s="4">
        <f t="shared" ref="T180:T185" si="370">BurdenUnc*K172</f>
        <v>-3.8149999999999996E-2</v>
      </c>
      <c r="U180" s="29">
        <f t="shared" si="357"/>
        <v>-7.2340301832744423E-4</v>
      </c>
      <c r="V180" s="29">
        <f t="shared" si="335"/>
        <v>5.0000000000000001E-4</v>
      </c>
      <c r="W180" s="23">
        <f>VLOOKUP($D180,Uncertainties!$B$35:$D$41,2,FALSE)</f>
        <v>2.5000000000000022E-3</v>
      </c>
      <c r="X180" s="23"/>
      <c r="Y180" s="24">
        <f t="shared" si="358"/>
        <v>-1.4035610536020054E-5</v>
      </c>
      <c r="Z180" s="23">
        <f t="shared" si="359"/>
        <v>3.866272150400301E-2</v>
      </c>
      <c r="AA180" s="25">
        <f t="shared" si="360"/>
        <v>5.2717700597726358</v>
      </c>
      <c r="AB180" s="26">
        <f t="shared" si="361"/>
        <v>2.5042088972720733</v>
      </c>
      <c r="AC180" s="14"/>
      <c r="AD180" s="635">
        <f>VLOOKUP(B180,TwoStageCT!A$10:H$72,7,FALSE)/10000</f>
        <v>2.600738521505678E-6</v>
      </c>
      <c r="AE180" s="366">
        <f>IF(ABS(VLOOKUP($A180,'5 A data'!$A$5:$U$1148,6,FALSE))&lt;4.5,IF(ABS(VLOOKUP($A180,'5 A data'!$A$5:$U$1148,6,FALSE))&lt;1.25,0.0008,0.002),0.004)*VLOOKUP($A180,'5 A data'!$A$5:$U$1148,7,FALSE)*25*RADIANS(1/60)*100</f>
        <v>2.9088820866572159E-3</v>
      </c>
      <c r="AF180" s="23">
        <f t="shared" si="362"/>
        <v>1.1635528346628865E-2</v>
      </c>
      <c r="AG180" s="29">
        <f t="shared" si="363"/>
        <v>3.0288399594127931E-4</v>
      </c>
      <c r="AH180" s="4">
        <f t="shared" ref="AH180:AH185" si="371">BurdenUnc*L172</f>
        <v>6.8358729036444551E-3</v>
      </c>
      <c r="AI180" s="4">
        <f t="shared" si="364"/>
        <v>1.2115359837651172E-3</v>
      </c>
      <c r="AJ180" s="4">
        <f t="shared" si="342"/>
        <v>5.0000000000000001E-4</v>
      </c>
      <c r="AK180" s="21">
        <f>VLOOKUP($D180,Uncertainties!$B$35:$D$41,3,FALSE)</f>
        <v>4.363323129985941E-3</v>
      </c>
      <c r="AL180" s="21"/>
      <c r="AM180" s="369">
        <f>SQRT((VLOOKUP($A180,'5 A data'!$A$5:$U$1148,7,FALSE)*mutual_ind)^2+(aux_CT_phase*J180)^2)</f>
        <v>1.7031016735255E-3</v>
      </c>
      <c r="AN180" s="29">
        <f t="shared" si="365"/>
        <v>1.463984228808122E-2</v>
      </c>
      <c r="AO180" s="14">
        <f t="shared" si="366"/>
        <v>11.074017869304958</v>
      </c>
      <c r="AP180" s="27">
        <f t="shared" si="367"/>
        <v>2.1898065551670798</v>
      </c>
      <c r="AS180" s="27">
        <f>VLOOKUP($B180,TwoStageCT!$A$10:$H$72,5,FALSE)</f>
        <v>38.265350164989712</v>
      </c>
      <c r="AT180" s="27">
        <f>VLOOKUP($B180,TwoStageCT!$A$10:$H$72,8,FALSE)</f>
        <v>16.586629386739094</v>
      </c>
    </row>
    <row r="181" spans="1:46" x14ac:dyDescent="0.2">
      <c r="A181" s="409">
        <v>289</v>
      </c>
      <c r="B181" s="5" t="str">
        <f>B169&amp;D181</f>
        <v>120/20020</v>
      </c>
      <c r="C181" s="19">
        <f>VLOOKUP($A181,'5 A data'!$A$5:$U$650,3,FALSE)</f>
        <v>2.1000057980615688E-2</v>
      </c>
      <c r="D181" s="163">
        <f>ROUND(VLOOKUP($A181,'5 A data'!$A$5:$U$650,9,FALSE)/10,0)*10</f>
        <v>20</v>
      </c>
      <c r="E181" s="23">
        <f t="shared" si="346"/>
        <v>0.99936709902044762</v>
      </c>
      <c r="F181" s="23">
        <f t="shared" si="347"/>
        <v>1.0011822386327505</v>
      </c>
      <c r="G181" s="486">
        <f>VLOOKUP(B181,TwoStageCT!A$10:H$72,3,FALSE)/10000</f>
        <v>3.1280516301103777E-5</v>
      </c>
      <c r="H181" s="486">
        <f>VLOOKUP(B181,TwoStageCT!A$10:H$72,6,FALSE)/10000</f>
        <v>4.5493238991726806E-6</v>
      </c>
      <c r="I181" s="19">
        <f>VLOOKUP($A181,'5 A data'!$A$5:$U$650,10,FALSE)</f>
        <v>-0.153</v>
      </c>
      <c r="J181" s="32">
        <f>VLOOKUP($A181,'5 A data'!$A$5:$U$650,11,FALSE)</f>
        <v>0.24434609527920614</v>
      </c>
      <c r="K181" s="31"/>
      <c r="L181" s="31"/>
      <c r="M181" s="31">
        <f t="shared" si="368"/>
        <v>-0.15287188563382736</v>
      </c>
      <c r="N181" s="31">
        <f t="shared" si="369"/>
        <v>0.24463951999670613</v>
      </c>
      <c r="O181" s="20"/>
      <c r="P181" s="634">
        <f>VLOOKUP(B181,TwoStageCT!A$10:H$72,4,FALSE)/10000</f>
        <v>4.17832023036102E-6</v>
      </c>
      <c r="Q181" s="58">
        <f>VLOOKUP($A181,'5 A data'!$A$5:$U$650,7,FALSE)*slidewire_res</f>
        <v>1E-3</v>
      </c>
      <c r="R181" s="347">
        <f t="shared" si="356"/>
        <v>-3.5999999999999977E-3</v>
      </c>
      <c r="S181" s="4">
        <v>0</v>
      </c>
      <c r="T181" s="4">
        <f t="shared" si="370"/>
        <v>-3.4349999999999999E-2</v>
      </c>
      <c r="U181" s="29">
        <f t="shared" si="357"/>
        <v>-6.1148754253530951E-4</v>
      </c>
      <c r="V181" s="29">
        <f t="shared" si="335"/>
        <v>5.0000000000000001E-4</v>
      </c>
      <c r="W181" s="23">
        <f>VLOOKUP($D181,Uncertainties!$B$35:$D$41,2,FALSE)</f>
        <v>-1.0000000000000009E-3</v>
      </c>
      <c r="X181" s="23"/>
      <c r="Y181" s="24">
        <f t="shared" si="358"/>
        <v>-1.1864355867464466E-5</v>
      </c>
      <c r="Z181" s="23">
        <f t="shared" si="359"/>
        <v>3.4576098322916304E-2</v>
      </c>
      <c r="AA181" s="25">
        <f t="shared" si="360"/>
        <v>5.1323242397686855</v>
      </c>
      <c r="AB181" s="26">
        <f t="shared" si="361"/>
        <v>2.5230143535398861</v>
      </c>
      <c r="AC181" s="14"/>
      <c r="AD181" s="635">
        <f>VLOOKUP(B181,TwoStageCT!A$10:H$72,7,FALSE)/10000</f>
        <v>1.9770475075939077E-6</v>
      </c>
      <c r="AE181" s="366">
        <f>IF(ABS(VLOOKUP($A181,'5 A data'!$A$5:$U$1148,6,FALSE))&lt;4.5,IF(ABS(VLOOKUP($A181,'5 A data'!$A$5:$U$1148,6,FALSE))&lt;1.25,0.0008,0.002),0.004)*VLOOKUP($A181,'5 A data'!$A$5:$U$1148,7,FALSE)*25*RADIANS(1/60)*100</f>
        <v>2.9088820866572159E-3</v>
      </c>
      <c r="AF181" s="23">
        <f t="shared" si="362"/>
        <v>7.5630934253087595E-3</v>
      </c>
      <c r="AG181" s="29">
        <f t="shared" si="363"/>
        <v>2.4463951999670612E-4</v>
      </c>
      <c r="AH181" s="4">
        <f t="shared" si="371"/>
        <v>6.6904287993115961E-3</v>
      </c>
      <c r="AI181" s="4">
        <f t="shared" si="364"/>
        <v>9.7855807998682449E-4</v>
      </c>
      <c r="AJ181" s="4">
        <f t="shared" si="342"/>
        <v>5.0000000000000001E-4</v>
      </c>
      <c r="AK181" s="21">
        <f>VLOOKUP($D181,Uncertainties!$B$35:$D$41,3,FALSE)</f>
        <v>-1.454441043328647E-3</v>
      </c>
      <c r="AL181" s="21"/>
      <c r="AM181" s="369">
        <f>SQRT((VLOOKUP($A181,'5 A data'!$A$5:$U$1148,7,FALSE)*mutual_ind)^2+(aux_CT_phase*J181)^2)</f>
        <v>1.7021025442081081E-3</v>
      </c>
      <c r="AN181" s="29">
        <f t="shared" si="365"/>
        <v>1.0802953059768845E-2</v>
      </c>
      <c r="AO181" s="14">
        <f t="shared" si="366"/>
        <v>12.70911453933857</v>
      </c>
      <c r="AP181" s="27">
        <f t="shared" si="367"/>
        <v>2.1579801858210819</v>
      </c>
      <c r="AS181" s="27">
        <f>VLOOKUP($B181,TwoStageCT!$A$10:$H$72,5,FALSE)</f>
        <v>36.657700403051521</v>
      </c>
      <c r="AT181" s="27">
        <f>VLOOKUP($B181,TwoStageCT!$A$10:$H$72,8,FALSE)</f>
        <v>53.09445811850042</v>
      </c>
    </row>
    <row r="182" spans="1:46" x14ac:dyDescent="0.2">
      <c r="A182" s="409">
        <v>290</v>
      </c>
      <c r="B182" s="5" t="str">
        <f>B169&amp;D182</f>
        <v>120/20040</v>
      </c>
      <c r="C182" s="19">
        <f>VLOOKUP($A182,'5 A data'!$A$5:$U$650,3,FALSE)</f>
        <v>2.1000057980615688E-2</v>
      </c>
      <c r="D182" s="163">
        <f>ROUND(VLOOKUP($A182,'5 A data'!$A$5:$U$650,9,FALSE)/10,0)*10</f>
        <v>40</v>
      </c>
      <c r="E182" s="23">
        <f t="shared" si="346"/>
        <v>0.99936709902044762</v>
      </c>
      <c r="F182" s="23">
        <f t="shared" si="347"/>
        <v>1.0011822386327505</v>
      </c>
      <c r="G182" s="486">
        <f>VLOOKUP(B182,TwoStageCT!A$10:H$72,3,FALSE)/10000</f>
        <v>2.5200167333853628E-5</v>
      </c>
      <c r="H182" s="486">
        <f>VLOOKUP(B182,TwoStageCT!A$10:H$72,6,FALSE)/10000</f>
        <v>5.7416420558101514E-6</v>
      </c>
      <c r="I182" s="19">
        <f>VLOOKUP($A182,'5 A data'!$A$5:$U$650,10,FALSE)</f>
        <v>-0.13500000000000001</v>
      </c>
      <c r="J182" s="32">
        <f>VLOOKUP($A182,'5 A data'!$A$5:$U$650,11,FALSE)</f>
        <v>0.20653062815266235</v>
      </c>
      <c r="K182" s="31"/>
      <c r="L182" s="31"/>
      <c r="M182" s="31">
        <f t="shared" si="368"/>
        <v>-0.13488935820042661</v>
      </c>
      <c r="N182" s="31">
        <f t="shared" si="369"/>
        <v>0.20678053828216644</v>
      </c>
      <c r="O182" s="20"/>
      <c r="P182" s="634">
        <f>VLOOKUP(B182,TwoStageCT!A$10:H$72,4,FALSE)/10000</f>
        <v>3.3964590328801363E-6</v>
      </c>
      <c r="Q182" s="58">
        <f>VLOOKUP($A182,'5 A data'!$A$5:$U$650,7,FALSE)*slidewire_res</f>
        <v>1E-3</v>
      </c>
      <c r="R182" s="347">
        <f t="shared" si="356"/>
        <v>-1.4000000000000013E-3</v>
      </c>
      <c r="S182" s="4">
        <v>0</v>
      </c>
      <c r="T182" s="4">
        <f t="shared" si="370"/>
        <v>-3.1350000000000003E-2</v>
      </c>
      <c r="U182" s="29">
        <f t="shared" si="357"/>
        <v>-5.3955743280170645E-4</v>
      </c>
      <c r="V182" s="29">
        <f t="shared" si="335"/>
        <v>5.0000000000000001E-4</v>
      </c>
      <c r="W182" s="23">
        <f>VLOOKUP($D182,Uncertainties!$B$35:$D$41,2,FALSE)</f>
        <v>-1.0000000000000009E-3</v>
      </c>
      <c r="X182" s="23"/>
      <c r="Y182" s="24">
        <f t="shared" si="358"/>
        <v>-1.0468549294821588E-5</v>
      </c>
      <c r="Z182" s="23">
        <f t="shared" si="359"/>
        <v>3.1421708154550573E-2</v>
      </c>
      <c r="AA182" s="25">
        <f t="shared" si="360"/>
        <v>5.045875876192528</v>
      </c>
      <c r="AB182" s="26">
        <f t="shared" si="361"/>
        <v>2.5353478971824202</v>
      </c>
      <c r="AC182" s="14"/>
      <c r="AD182" s="635">
        <f>VLOOKUP(B182,TwoStageCT!A$10:H$72,7,FALSE)/10000</f>
        <v>1.6849048737447556E-6</v>
      </c>
      <c r="AE182" s="366">
        <f>IF(ABS(VLOOKUP($A182,'5 A data'!$A$5:$U$1148,6,FALSE))&lt;4.5,IF(ABS(VLOOKUP($A182,'5 A data'!$A$5:$U$1148,6,FALSE))&lt;1.25,0.0008,0.002),0.004)*VLOOKUP($A182,'5 A data'!$A$5:$U$1148,7,FALSE)*25*RADIANS(1/60)*100</f>
        <v>2.9088820866572159E-3</v>
      </c>
      <c r="AF182" s="23">
        <f t="shared" si="362"/>
        <v>2.908882086657222E-3</v>
      </c>
      <c r="AG182" s="29">
        <f t="shared" si="363"/>
        <v>2.0678053828216645E-4</v>
      </c>
      <c r="AH182" s="4">
        <f t="shared" si="371"/>
        <v>5.9632082776472908E-3</v>
      </c>
      <c r="AI182" s="4">
        <f t="shared" si="364"/>
        <v>8.2712215312866579E-4</v>
      </c>
      <c r="AJ182" s="4">
        <f t="shared" si="342"/>
        <v>5.0000000000000001E-4</v>
      </c>
      <c r="AK182" s="21">
        <f>VLOOKUP($D182,Uncertainties!$B$35:$D$41,3,FALSE)</f>
        <v>-2.908882086657183E-3</v>
      </c>
      <c r="AL182" s="21"/>
      <c r="AM182" s="369">
        <f>SQRT((VLOOKUP($A182,'5 A data'!$A$5:$U$1148,7,FALSE)*mutual_ind)^2+(aux_CT_phase*J182)^2)</f>
        <v>1.7015668651116978E-3</v>
      </c>
      <c r="AN182" s="29">
        <f t="shared" si="365"/>
        <v>8.0508918653392474E-3</v>
      </c>
      <c r="AO182" s="14">
        <f t="shared" si="366"/>
        <v>14.534546337914628</v>
      </c>
      <c r="AP182" s="27">
        <f t="shared" si="367"/>
        <v>2.131537764749821</v>
      </c>
      <c r="AS182" s="27">
        <f>VLOOKUP($B182,TwoStageCT!$A$10:$H$72,5,FALSE)</f>
        <v>38.659909732018328</v>
      </c>
      <c r="AT182" s="27">
        <f>VLOOKUP($B182,TwoStageCT!$A$10:$H$72,8,FALSE)</f>
        <v>52.499330597885681</v>
      </c>
    </row>
    <row r="183" spans="1:46" x14ac:dyDescent="0.2">
      <c r="A183" s="409">
        <v>291</v>
      </c>
      <c r="B183" s="5" t="str">
        <f>B169&amp;D183</f>
        <v>120/20060</v>
      </c>
      <c r="C183" s="19">
        <f>VLOOKUP($A183,'5 A data'!$A$5:$U$650,3,FALSE)</f>
        <v>2.1000057980615688E-2</v>
      </c>
      <c r="D183" s="163">
        <f>ROUND(VLOOKUP($A183,'5 A data'!$A$5:$U$650,9,FALSE)/10,0)*10</f>
        <v>60</v>
      </c>
      <c r="E183" s="23">
        <f t="shared" si="346"/>
        <v>0.99936709902044762</v>
      </c>
      <c r="F183" s="23">
        <f t="shared" si="347"/>
        <v>1.0011822386327505</v>
      </c>
      <c r="G183" s="486">
        <f>VLOOKUP(B183,TwoStageCT!A$10:H$72,3,FALSE)/10000</f>
        <v>2.195627602528684E-5</v>
      </c>
      <c r="H183" s="486">
        <f>VLOOKUP(B183,TwoStageCT!A$10:H$72,6,FALSE)/10000</f>
        <v>5.5507836163637805E-6</v>
      </c>
      <c r="I183" s="19">
        <f>VLOOKUP($A183,'5 A data'!$A$5:$U$650,10,FALSE)</f>
        <v>-0.128</v>
      </c>
      <c r="J183" s="32">
        <f>VLOOKUP($A183,'5 A data'!$A$5:$U$650,11,FALSE)</f>
        <v>0.19198621771937624</v>
      </c>
      <c r="K183" s="31"/>
      <c r="L183" s="31"/>
      <c r="M183" s="31">
        <f t="shared" si="368"/>
        <v>-0.12789703239859201</v>
      </c>
      <c r="N183" s="31">
        <f t="shared" si="369"/>
        <v>0.19221874202653608</v>
      </c>
      <c r="O183" s="20"/>
      <c r="P183" s="634">
        <f>VLOOKUP(B183,TwoStageCT!A$10:H$72,4,FALSE)/10000</f>
        <v>2.9709098248278708E-6</v>
      </c>
      <c r="Q183" s="58">
        <f>VLOOKUP($A183,'5 A data'!$A$5:$U$650,7,FALSE)*slidewire_res</f>
        <v>1E-3</v>
      </c>
      <c r="R183" s="347">
        <f t="shared" si="356"/>
        <v>-1.6000000000000016E-3</v>
      </c>
      <c r="S183" s="4">
        <v>0</v>
      </c>
      <c r="T183" s="4">
        <f t="shared" si="370"/>
        <v>-2.9700000000000001E-2</v>
      </c>
      <c r="U183" s="29">
        <f t="shared" si="357"/>
        <v>-5.1158812959436811E-4</v>
      </c>
      <c r="V183" s="29">
        <f t="shared" si="335"/>
        <v>5.0000000000000001E-4</v>
      </c>
      <c r="W183" s="23">
        <f>VLOOKUP($D183,Uncertainties!$B$35:$D$41,2,FALSE)</f>
        <v>-1.0000000000000009E-3</v>
      </c>
      <c r="X183" s="23"/>
      <c r="Y183" s="24">
        <f t="shared" si="358"/>
        <v>-9.925735627682691E-6</v>
      </c>
      <c r="Z183" s="23">
        <f t="shared" si="359"/>
        <v>2.9785261955552363E-2</v>
      </c>
      <c r="AA183" s="25">
        <f t="shared" si="360"/>
        <v>5.0576106212721692</v>
      </c>
      <c r="AB183" s="26">
        <f t="shared" si="361"/>
        <v>2.5336417410673429</v>
      </c>
      <c r="AC183" s="14"/>
      <c r="AD183" s="635">
        <f>VLOOKUP(B183,TwoStageCT!A$10:H$72,7,FALSE)/10000</f>
        <v>1.6017059195029239E-6</v>
      </c>
      <c r="AE183" s="366">
        <f>IF(ABS(VLOOKUP($A183,'5 A data'!$A$5:$U$1148,6,FALSE))&lt;4.5,IF(ABS(VLOOKUP($A183,'5 A data'!$A$5:$U$1148,6,FALSE))&lt;1.25,0.0008,0.002),0.004)*VLOOKUP($A183,'5 A data'!$A$5:$U$1148,7,FALSE)*25*RADIANS(1/60)*100</f>
        <v>2.9088820866572159E-3</v>
      </c>
      <c r="AF183" s="23">
        <f t="shared" si="362"/>
        <v>3.1997702953229404E-3</v>
      </c>
      <c r="AG183" s="29">
        <f t="shared" si="363"/>
        <v>1.9221874202653608E-4</v>
      </c>
      <c r="AH183" s="4">
        <f t="shared" si="371"/>
        <v>4.6542113386515488E-3</v>
      </c>
      <c r="AI183" s="4">
        <f t="shared" si="364"/>
        <v>7.6887496810614431E-4</v>
      </c>
      <c r="AJ183" s="4">
        <f t="shared" si="342"/>
        <v>5.0000000000000001E-4</v>
      </c>
      <c r="AK183" s="21">
        <f>VLOOKUP($D183,Uncertainties!$B$35:$D$41,3,FALSE)</f>
        <v>-2.908882086657183E-3</v>
      </c>
      <c r="AL183" s="21"/>
      <c r="AM183" s="369">
        <f>SQRT((VLOOKUP($A183,'5 A data'!$A$5:$U$1148,7,FALSE)*mutual_ind)^2+(aux_CT_phase*J183)^2)</f>
        <v>1.7013847223902342E-3</v>
      </c>
      <c r="AN183" s="29">
        <f t="shared" si="365"/>
        <v>7.2523260004101597E-3</v>
      </c>
      <c r="AO183" s="14">
        <f t="shared" si="366"/>
        <v>20.248992834938619</v>
      </c>
      <c r="AP183" s="27">
        <f t="shared" si="367"/>
        <v>2.0811027532266242</v>
      </c>
      <c r="AS183" s="27">
        <f>VLOOKUP($B183,TwoStageCT!$A$10:$H$72,5,FALSE)</f>
        <v>42.291164682130272</v>
      </c>
      <c r="AT183" s="27">
        <f>VLOOKUP($B183,TwoStageCT!$A$10:$H$72,8,FALSE)</f>
        <v>48.978667479860043</v>
      </c>
    </row>
    <row r="184" spans="1:46" x14ac:dyDescent="0.2">
      <c r="A184" s="409">
        <v>292</v>
      </c>
      <c r="B184" s="5" t="str">
        <f>B169&amp;D184</f>
        <v>120/200100</v>
      </c>
      <c r="C184" s="19">
        <f>VLOOKUP($A184,'5 A data'!$A$5:$U$650,3,FALSE)</f>
        <v>2.1000057980615688E-2</v>
      </c>
      <c r="D184" s="164">
        <f>ROUND(VLOOKUP($A184,'5 A data'!$A$5:$U$650,9,FALSE)/10,0)*10</f>
        <v>100</v>
      </c>
      <c r="E184" s="23">
        <f t="shared" si="346"/>
        <v>0.99936709902044762</v>
      </c>
      <c r="F184" s="23">
        <f t="shared" si="347"/>
        <v>1.0011822386327505</v>
      </c>
      <c r="G184" s="486">
        <f>VLOOKUP(B184,TwoStageCT!A$10:H$72,3,FALSE)/10000</f>
        <v>1.6881396356939836E-5</v>
      </c>
      <c r="H184" s="486">
        <f>VLOOKUP(B184,TwoStageCT!A$10:H$72,6,FALSE)/10000</f>
        <v>7.3590724152435355E-6</v>
      </c>
      <c r="I184" s="19">
        <f>VLOOKUP($A184,'5 A data'!$A$5:$U$650,10,FALSE)</f>
        <v>-0.12</v>
      </c>
      <c r="J184" s="32">
        <f>VLOOKUP($A184,'5 A data'!$A$5:$U$650,11,FALSE)</f>
        <v>0.17598736624276154</v>
      </c>
      <c r="K184" s="31"/>
      <c r="L184" s="31"/>
      <c r="M184" s="31">
        <f t="shared" si="368"/>
        <v>-0.11990717048609677</v>
      </c>
      <c r="N184" s="31">
        <f t="shared" si="369"/>
        <v>0.17620278437842499</v>
      </c>
      <c r="O184" s="20"/>
      <c r="P184" s="634">
        <f>VLOOKUP(B184,TwoStageCT!A$10:H$72,4,FALSE)/10000</f>
        <v>2.4131313466023584E-6</v>
      </c>
      <c r="Q184" s="58">
        <f>VLOOKUP($A184,'5 A data'!$A$5:$U$650,7,FALSE)*slidewire_res</f>
        <v>1E-3</v>
      </c>
      <c r="R184" s="347">
        <f t="shared" si="356"/>
        <v>-4.000000000000004E-4</v>
      </c>
      <c r="S184" s="4">
        <v>0</v>
      </c>
      <c r="T184" s="4">
        <f t="shared" si="370"/>
        <v>-2.6600000000000002E-2</v>
      </c>
      <c r="U184" s="29">
        <f t="shared" si="357"/>
        <v>-4.7962868194438709E-4</v>
      </c>
      <c r="V184" s="29">
        <f t="shared" si="335"/>
        <v>5.0000000000000001E-4</v>
      </c>
      <c r="W184" s="23">
        <f>VLOOKUP($D184,Uncertainties!$B$35:$D$41,2,FALSE)</f>
        <v>1.999999999999974E-3</v>
      </c>
      <c r="X184" s="23"/>
      <c r="Y184" s="24">
        <f t="shared" si="358"/>
        <v>-9.3053771509525226E-6</v>
      </c>
      <c r="Z184" s="23">
        <f t="shared" si="359"/>
        <v>2.6705807160349797E-2</v>
      </c>
      <c r="AA184" s="25">
        <f t="shared" si="360"/>
        <v>5.0799536639036491</v>
      </c>
      <c r="AB184" s="26">
        <f t="shared" si="361"/>
        <v>2.5304213348171949</v>
      </c>
      <c r="AC184" s="14"/>
      <c r="AD184" s="635">
        <f>VLOOKUP(B184,TwoStageCT!A$10:H$72,7,FALSE)/10000</f>
        <v>1.6933288916776063E-6</v>
      </c>
      <c r="AE184" s="366">
        <f>IF(ABS(VLOOKUP($A184,'5 A data'!$A$5:$U$1148,6,FALSE))&lt;4.5,IF(ABS(VLOOKUP($A184,'5 A data'!$A$5:$U$1148,6,FALSE))&lt;1.25,0.0008,0.002),0.004)*VLOOKUP($A184,'5 A data'!$A$5:$U$1148,7,FALSE)*25*RADIANS(1/60)*100</f>
        <v>2.9088820866572159E-3</v>
      </c>
      <c r="AF184" s="23">
        <f t="shared" si="362"/>
        <v>8.7266462599715493E-4</v>
      </c>
      <c r="AG184" s="29">
        <f t="shared" si="363"/>
        <v>1.7620278437842498E-4</v>
      </c>
      <c r="AH184" s="4">
        <f t="shared" si="371"/>
        <v>1.2362748868293182E-3</v>
      </c>
      <c r="AI184" s="4">
        <f t="shared" si="364"/>
        <v>7.0481113751369993E-4</v>
      </c>
      <c r="AJ184" s="4">
        <f t="shared" si="342"/>
        <v>5.0000000000000001E-4</v>
      </c>
      <c r="AK184" s="21">
        <f>VLOOKUP($D184,Uncertainties!$B$35:$D$41,3,FALSE)</f>
        <v>-2.9088820866572385E-3</v>
      </c>
      <c r="AL184" s="21"/>
      <c r="AM184" s="369">
        <f>SQRT((VLOOKUP($A184,'5 A data'!$A$5:$U$1148,7,FALSE)*mutual_ind)^2+(aux_CT_phase*J184)^2)</f>
        <v>1.7011997012616174E-3</v>
      </c>
      <c r="AN184" s="29">
        <f t="shared" si="365"/>
        <v>4.7838267720668589E-3</v>
      </c>
      <c r="AO184" s="14">
        <f t="shared" si="366"/>
        <v>23.413980006053933</v>
      </c>
      <c r="AP184" s="27">
        <f t="shared" si="367"/>
        <v>2.0641831985701629</v>
      </c>
      <c r="AS184" s="27">
        <f>VLOOKUP($B184,TwoStageCT!$A$10:$H$72,5,FALSE)</f>
        <v>59.567261398457461</v>
      </c>
      <c r="AT184" s="27">
        <f>VLOOKUP($B184,TwoStageCT!$A$10:$H$72,8,FALSE)</f>
        <v>45.732629829898706</v>
      </c>
    </row>
    <row r="185" spans="1:46" x14ac:dyDescent="0.2">
      <c r="A185" s="409">
        <v>293</v>
      </c>
      <c r="B185" s="5" t="str">
        <f>B169&amp;D185</f>
        <v>120/200120</v>
      </c>
      <c r="C185" s="19">
        <f>VLOOKUP($A185,'5 A data'!$A$5:$U$650,3,FALSE)</f>
        <v>2.1000057980615688E-2</v>
      </c>
      <c r="D185" s="164">
        <f>ROUND(VLOOKUP($A185,'5 A data'!$A$5:$U$650,9,FALSE)/10,0)*10</f>
        <v>120</v>
      </c>
      <c r="E185" s="23">
        <f t="shared" si="346"/>
        <v>0.99936709902044762</v>
      </c>
      <c r="F185" s="23">
        <f t="shared" si="347"/>
        <v>1.0011822386327505</v>
      </c>
      <c r="G185" s="486">
        <f>VLOOKUP(B185,TwoStageCT!A$10:H$72,3,FALSE)/10000</f>
        <v>1.5213305302217845E-5</v>
      </c>
      <c r="H185" s="486">
        <f>VLOOKUP(B185,TwoStageCT!A$10:H$72,6,FALSE)/10000</f>
        <v>7.5885012454326174E-6</v>
      </c>
      <c r="I185" s="19">
        <f>VLOOKUP($A185,'5 A data'!$A$5:$U$650,10,FALSE)</f>
        <v>-0.11799999999999999</v>
      </c>
      <c r="J185" s="32">
        <f>VLOOKUP($A185,'5 A data'!$A$5:$U$650,11,FALSE)</f>
        <v>0.17162404311277576</v>
      </c>
      <c r="K185" s="31"/>
      <c r="L185" s="31"/>
      <c r="M185" s="31">
        <f t="shared" si="368"/>
        <v>-0.11791010437911061</v>
      </c>
      <c r="N185" s="31">
        <f t="shared" si="369"/>
        <v>0.17183453218809797</v>
      </c>
      <c r="O185" s="20"/>
      <c r="P185" s="634">
        <f>VLOOKUP(B185,TwoStageCT!A$10:H$72,4,FALSE)/10000</f>
        <v>2.2681305202526645E-6</v>
      </c>
      <c r="Q185" s="58">
        <f>VLOOKUP($A185,'5 A data'!$A$5:$U$650,7,FALSE)*slidewire_res</f>
        <v>1E-3</v>
      </c>
      <c r="R185" s="347">
        <f t="shared" si="356"/>
        <v>0</v>
      </c>
      <c r="S185" s="4">
        <v>0</v>
      </c>
      <c r="T185" s="4">
        <f t="shared" si="370"/>
        <v>-2.52E-2</v>
      </c>
      <c r="U185" s="29">
        <f t="shared" si="357"/>
        <v>-4.7164041751644243E-4</v>
      </c>
      <c r="V185" s="29">
        <f t="shared" si="335"/>
        <v>5.0000000000000001E-4</v>
      </c>
      <c r="W185" s="23">
        <f>VLOOKUP($D185,Uncertainties!$B$35:$D$41,2,FALSE)</f>
        <v>-1.0000000000000009E-3</v>
      </c>
      <c r="X185" s="23"/>
      <c r="Y185" s="24">
        <f t="shared" si="358"/>
        <v>-9.1502875317699801E-6</v>
      </c>
      <c r="Z185" s="23">
        <f t="shared" si="359"/>
        <v>2.524901054607117E-2</v>
      </c>
      <c r="AA185" s="25">
        <f t="shared" si="360"/>
        <v>5.0389919883035494</v>
      </c>
      <c r="AB185" s="26">
        <f t="shared" si="361"/>
        <v>2.5363535542987026</v>
      </c>
      <c r="AC185" s="14"/>
      <c r="AD185" s="635">
        <f>VLOOKUP(B185,TwoStageCT!A$10:H$72,7,FALSE)/10000</f>
        <v>1.7092397901526349E-6</v>
      </c>
      <c r="AE185" s="366">
        <f>IF(ABS(VLOOKUP($A185,'5 A data'!$A$5:$U$1148,6,FALSE))&lt;4.5,IF(ABS(VLOOKUP($A185,'5 A data'!$A$5:$U$1148,6,FALSE))&lt;1.25,0.0008,0.002),0.004)*VLOOKUP($A185,'5 A data'!$A$5:$U$1148,7,FALSE)*25*RADIANS(1/60)*100</f>
        <v>2.9088820866572159E-3</v>
      </c>
      <c r="AF185" s="23">
        <f t="shared" si="362"/>
        <v>0</v>
      </c>
      <c r="AG185" s="29">
        <f t="shared" si="363"/>
        <v>1.7183453218809797E-4</v>
      </c>
      <c r="AH185" s="4">
        <f t="shared" si="371"/>
        <v>1.4544410433285916E-4</v>
      </c>
      <c r="AI185" s="4">
        <f t="shared" si="364"/>
        <v>6.873381287523919E-4</v>
      </c>
      <c r="AJ185" s="4">
        <f t="shared" si="342"/>
        <v>5.0000000000000001E-4</v>
      </c>
      <c r="AK185" s="21">
        <f>VLOOKUP($D185,Uncertainties!$B$35:$D$41,3,FALSE)</f>
        <v>1.4544410433285915E-3</v>
      </c>
      <c r="AL185" s="21"/>
      <c r="AM185" s="369">
        <f>SQRT((VLOOKUP($A185,'5 A data'!$A$5:$U$1148,7,FALSE)*mutual_ind)^2+(aux_CT_phase*J185)^2)</f>
        <v>1.7011520299637143E-3</v>
      </c>
      <c r="AN185" s="29">
        <f t="shared" si="365"/>
        <v>3.7741263479537431E-3</v>
      </c>
      <c r="AO185" s="14">
        <f t="shared" si="366"/>
        <v>12.363897939040921</v>
      </c>
      <c r="AP185" s="27">
        <f t="shared" si="367"/>
        <v>2.1639355826756943</v>
      </c>
      <c r="AS185" s="27">
        <f>VLOOKUP($B185,TwoStageCT!$A$10:$H$72,5,FALSE)</f>
        <v>68.00069900375496</v>
      </c>
      <c r="AT185" s="27">
        <f>VLOOKUP($B185,TwoStageCT!$A$10:$H$72,8,FALSE)</f>
        <v>47.345132453902309</v>
      </c>
    </row>
    <row r="186" spans="1:46" x14ac:dyDescent="0.2">
      <c r="A186" s="409">
        <v>294</v>
      </c>
      <c r="P186" s="97"/>
      <c r="R186" s="42"/>
      <c r="AD186" s="250"/>
    </row>
    <row r="187" spans="1:46" x14ac:dyDescent="0.2">
      <c r="A187" s="409">
        <v>295</v>
      </c>
      <c r="B187" s="474" t="str">
        <f>MID(D187,FIND("AT,",D187,1)-4,3)&amp;"/"&amp;MID(D187,FIND("AT,",D187,1)+4,3)</f>
        <v>120/200</v>
      </c>
      <c r="C187" t="s">
        <v>113</v>
      </c>
      <c r="D187" s="59" t="str">
        <f>VLOOKUP($A187,'5 A data'!$A$5:$U$574,2,FALSE)</f>
        <v>200/5 Range, 1 turns @ 1VA burden, vs 120 AT, 200 range, 2 Stage CT</v>
      </c>
      <c r="P187" s="97"/>
      <c r="R187" s="42"/>
      <c r="Z187" s="29"/>
      <c r="AA187" s="25"/>
      <c r="AD187" s="250"/>
      <c r="AN187" s="29"/>
      <c r="AO187" s="14"/>
    </row>
    <row r="188" spans="1:46" x14ac:dyDescent="0.2">
      <c r="A188" s="409">
        <v>296</v>
      </c>
      <c r="C188" s="19"/>
      <c r="M188" s="639" t="s">
        <v>472</v>
      </c>
      <c r="N188" s="639"/>
      <c r="O188" s="19"/>
      <c r="P188" s="97"/>
      <c r="R188" s="42"/>
      <c r="Z188" s="29"/>
      <c r="AA188" s="25"/>
      <c r="AD188" s="250"/>
      <c r="AN188" s="29"/>
      <c r="AO188" s="14"/>
    </row>
    <row r="189" spans="1:46" x14ac:dyDescent="0.2">
      <c r="A189" s="409">
        <v>297</v>
      </c>
      <c r="B189" s="5" t="str">
        <f>B187&amp;D189</f>
        <v>120/2005</v>
      </c>
      <c r="C189" s="19">
        <f>VLOOKUP($A189,'5 A data'!$A$5:$U$574,3,FALSE)</f>
        <v>0.21600059637204713</v>
      </c>
      <c r="D189" s="19">
        <f>ROUND(VLOOKUP($A189,'5 A data'!$A$5:$U$650,9,FALSE),0)</f>
        <v>5</v>
      </c>
      <c r="E189" s="23">
        <f>TestSetRatioCor</f>
        <v>0.99936709902044762</v>
      </c>
      <c r="F189" s="23">
        <f>TestSetPhaseCor</f>
        <v>1.0011822386327505</v>
      </c>
      <c r="G189" s="486">
        <f>VLOOKUP(B189,TwoStageCT!A$10:H$72,3,FALSE)/10000</f>
        <v>3.6805932694608759E-5</v>
      </c>
      <c r="H189" s="486">
        <f>VLOOKUP(B189,TwoStageCT!A$10:H$72,6,FALSE)/10000</f>
        <v>4.6965346060309593E-6</v>
      </c>
      <c r="I189" s="19">
        <f>VLOOKUP($A189,'5 A data'!$A$5:$U$650,10,FALSE)</f>
        <v>-0.31900000000000001</v>
      </c>
      <c r="J189" s="32">
        <f>VLOOKUP($A189,'5 A data'!$A$5:$U$650,11,FALSE)</f>
        <v>0.52068989351164152</v>
      </c>
      <c r="K189" s="22">
        <f>I189-I197</f>
        <v>-0.10700000000000001</v>
      </c>
      <c r="L189" s="22">
        <f>J189-J197</f>
        <v>0.14253522224620346</v>
      </c>
      <c r="M189" s="492">
        <f>I189*E189+G189</f>
        <v>-0.31876129865482816</v>
      </c>
      <c r="N189" s="492">
        <f>J189*F189+H189</f>
        <v>0.52131016975403965</v>
      </c>
      <c r="O189" s="20"/>
      <c r="P189" s="634">
        <f>VLOOKUP(B189,TwoStageCT!A$10:H$72,4,FALSE)/10000</f>
        <v>6.4429594675743464E-6</v>
      </c>
      <c r="Q189" s="58">
        <f>VLOOKUP($A189,'5 A data'!$A$5:$U$650,7,FALSE)*slidewire_res</f>
        <v>1E-3</v>
      </c>
      <c r="R189" s="347">
        <f t="shared" ref="R189:R195" si="372">current_coef*(I189-I190)*IF(I190=0,0,1)</f>
        <v>-9.1999999999999981E-3</v>
      </c>
      <c r="S189" s="4">
        <v>0</v>
      </c>
      <c r="T189" s="21">
        <f>BurdenUnc*K189</f>
        <v>-5.3500000000000006E-3</v>
      </c>
      <c r="U189" s="29">
        <f>0.004*M189</f>
        <v>-1.2750451946193127E-3</v>
      </c>
      <c r="V189" s="29">
        <f t="shared" ref="V189:V203" si="373">earthing_Re</f>
        <v>5.0000000000000001E-4</v>
      </c>
      <c r="W189" s="23">
        <f>VLOOKUP($D189,Uncertainties!$B$35:$D$41,2,FALSE)</f>
        <v>5.0000000000000044E-3</v>
      </c>
      <c r="X189" s="23"/>
      <c r="Y189" s="24">
        <f t="shared" ref="Y189:Y195" si="374">I189*aux_CT_ratio</f>
        <v>-2.4736794259615456E-5</v>
      </c>
      <c r="Z189" s="23">
        <f t="shared" ref="Z189:Z195" si="375">SQRT(SUMSQ(P189:Y189))</f>
        <v>1.1880189125979383E-2</v>
      </c>
      <c r="AA189" s="25">
        <f t="shared" ref="AA189:AA195" si="376">DoF_A(P189:Y189,$P$7:$Y$7)</f>
        <v>12.092066975841954</v>
      </c>
      <c r="AB189" s="26">
        <f t="shared" ref="AB189:AB195" si="377">CoverFactor(AA189)</f>
        <v>2.1688861353105544</v>
      </c>
      <c r="AC189" s="14"/>
      <c r="AD189" s="635">
        <f>VLOOKUP(B189,TwoStageCT!A$10:H$72,7,FALSE)/10000</f>
        <v>4.6788986298833412E-6</v>
      </c>
      <c r="AE189" s="366">
        <f>IF(ABS(VLOOKUP($A189,'5 A data'!$A$5:$U$1148,6,FALSE))&lt;4.5,IF(ABS(VLOOKUP($A189,'5 A data'!$A$5:$U$1148,6,FALSE))&lt;1.25,0.0008,0.002),0.004)*VLOOKUP($A189,'5 A data'!$A$5:$U$1148,7,FALSE)*25*RADIANS(1/60)*100</f>
        <v>2.9088820866572159E-3</v>
      </c>
      <c r="AF189" s="23">
        <f>current_coef*(J189-J190)*IF(J190=0,0,1)</f>
        <v>1.861684535460615E-2</v>
      </c>
      <c r="AG189" s="29">
        <f t="shared" ref="AG189:AG195" si="378">0.001*N189</f>
        <v>5.2131016975403969E-4</v>
      </c>
      <c r="AH189" s="4">
        <f>BurdenUnc*L189</f>
        <v>7.1267611123101739E-3</v>
      </c>
      <c r="AI189" s="4">
        <f t="shared" ref="AI189:AI195" si="379">0.004*N189</f>
        <v>2.0852406790161588E-3</v>
      </c>
      <c r="AJ189" s="4">
        <f t="shared" ref="AJ189:AJ203" si="380">earthing_Im</f>
        <v>5.0000000000000001E-4</v>
      </c>
      <c r="AK189" s="21">
        <f>VLOOKUP($D189,Uncertainties!$B$35:$D$41,3,FALSE)</f>
        <v>-1.1635528346628732E-2</v>
      </c>
      <c r="AL189" s="21"/>
      <c r="AM189" s="369">
        <f>SQRT((VLOOKUP($A189,'5 A data'!$A$5:$U$1148,7,FALSE)*mutual_ind)^2+(aux_CT_phase*J189)^2)</f>
        <v>1.7087307484253463E-3</v>
      </c>
      <c r="AN189" s="29">
        <f t="shared" ref="AN189:AN195" si="381">SQRT(SUMSQ(AD189:AM189))</f>
        <v>2.343105941808335E-2</v>
      </c>
      <c r="AO189" s="14">
        <f t="shared" ref="AO189:AO195" si="382">DoF_A(AD189:AM189,$AD$7:$AM$7)</f>
        <v>11.581106631305522</v>
      </c>
      <c r="AP189" s="27">
        <f t="shared" ref="AP189:AP195" si="383">CoverFactor(AO189)</f>
        <v>2.1788814479227372</v>
      </c>
      <c r="AS189" s="27">
        <f>VLOOKUP($B189,TwoStageCT!$A$10:$H$72,5,FALSE)</f>
        <v>26.31606241070681</v>
      </c>
      <c r="AT189" s="27">
        <f>VLOOKUP($B189,TwoStageCT!$A$10:$H$72,8,FALSE)</f>
        <v>9.9413455012810044</v>
      </c>
    </row>
    <row r="190" spans="1:46" x14ac:dyDescent="0.2">
      <c r="A190" s="409">
        <v>298</v>
      </c>
      <c r="B190" s="5" t="str">
        <f>B187&amp;D190</f>
        <v>120/20010</v>
      </c>
      <c r="C190" s="19">
        <f>VLOOKUP($A190,'5 A data'!$A$5:$U$650,3,FALSE)</f>
        <v>0.21600059637204713</v>
      </c>
      <c r="D190" s="163">
        <f>ROUND(VLOOKUP($A190,'5 A data'!$A$5:$U$650,9,FALSE)/10,0)*10</f>
        <v>10</v>
      </c>
      <c r="E190" s="23">
        <f t="shared" ref="E190:E203" si="384">TestSetRatioCor</f>
        <v>0.99936709902044762</v>
      </c>
      <c r="F190" s="23">
        <f t="shared" ref="F190:F203" si="385">TestSetPhaseCor</f>
        <v>1.0011822386327505</v>
      </c>
      <c r="G190" s="486">
        <f>VLOOKUP(B190,TwoStageCT!A$10:H$72,3,FALSE)/10000</f>
        <v>3.4690340839935311E-5</v>
      </c>
      <c r="H190" s="486">
        <f>VLOOKUP(B190,TwoStageCT!A$10:H$72,6,FALSE)/10000</f>
        <v>2.6036797087866982E-6</v>
      </c>
      <c r="I190" s="19">
        <f>VLOOKUP($A190,'5 A data'!$A$5:$U$650,10,FALSE)</f>
        <v>-0.27300000000000002</v>
      </c>
      <c r="J190" s="32">
        <f>VLOOKUP($A190,'5 A data'!$A$5:$U$650,11,FALSE)</f>
        <v>0.42760566673861078</v>
      </c>
      <c r="K190" s="22">
        <f t="shared" ref="K190:K195" si="386">I190-I198</f>
        <v>-9.2000000000000026E-2</v>
      </c>
      <c r="L190" s="22">
        <f t="shared" ref="L190:L195" si="387">J190-J198</f>
        <v>0.12508192972626031</v>
      </c>
      <c r="M190" s="492">
        <f t="shared" ref="M190:M195" si="388">I190*E190+G190</f>
        <v>-0.27279252769174228</v>
      </c>
      <c r="N190" s="492">
        <f t="shared" ref="N190:N195" si="389">J190*F190+H190</f>
        <v>0.42811380235712099</v>
      </c>
      <c r="O190" s="20"/>
      <c r="P190" s="634">
        <f>VLOOKUP(B190,TwoStageCT!A$10:H$72,4,FALSE)/10000</f>
        <v>5.0170517941146892E-6</v>
      </c>
      <c r="Q190" s="58">
        <f>VLOOKUP($A190,'5 A data'!$A$5:$U$650,7,FALSE)*slidewire_res</f>
        <v>1E-3</v>
      </c>
      <c r="R190" s="347">
        <f t="shared" si="372"/>
        <v>-7.0000000000000062E-3</v>
      </c>
      <c r="S190" s="4">
        <v>0</v>
      </c>
      <c r="T190" s="21">
        <f t="shared" ref="T190:T195" si="390">BurdenUnc*K190</f>
        <v>-4.6000000000000017E-3</v>
      </c>
      <c r="U190" s="29">
        <f t="shared" ref="U190:U195" si="391">0.004*M190</f>
        <v>-1.0911701107669692E-3</v>
      </c>
      <c r="V190" s="29">
        <f t="shared" si="373"/>
        <v>5.0000000000000001E-4</v>
      </c>
      <c r="W190" s="23">
        <f>VLOOKUP($D190,Uncertainties!$B$35:$D$41,2,FALSE)</f>
        <v>2.5000000000000022E-3</v>
      </c>
      <c r="X190" s="23"/>
      <c r="Y190" s="24">
        <f t="shared" si="374"/>
        <v>-2.1169733018416988E-5</v>
      </c>
      <c r="Z190" s="23">
        <f t="shared" si="375"/>
        <v>8.8798156252839003E-3</v>
      </c>
      <c r="AA190" s="25">
        <f t="shared" si="376"/>
        <v>10.843780396503396</v>
      </c>
      <c r="AB190" s="26">
        <f t="shared" si="377"/>
        <v>2.1951400671349255</v>
      </c>
      <c r="AC190" s="14"/>
      <c r="AD190" s="635">
        <f>VLOOKUP(B190,TwoStageCT!A$10:H$72,7,FALSE)/10000</f>
        <v>2.600738521505678E-6</v>
      </c>
      <c r="AE190" s="366">
        <f>IF(ABS(VLOOKUP($A190,'5 A data'!$A$5:$U$1148,6,FALSE))&lt;4.5,IF(ABS(VLOOKUP($A190,'5 A data'!$A$5:$U$1148,6,FALSE))&lt;1.25,0.0008,0.002),0.004)*VLOOKUP($A190,'5 A data'!$A$5:$U$1148,7,FALSE)*25*RADIANS(1/60)*100</f>
        <v>2.9088820866572159E-3</v>
      </c>
      <c r="AF190" s="23">
        <f t="shared" ref="AF190:AF195" si="392">current_coef*(J190-J191)*IF(J191=0,0,1)</f>
        <v>1.3962634015954635E-2</v>
      </c>
      <c r="AG190" s="29">
        <f t="shared" si="378"/>
        <v>4.28113802357121E-4</v>
      </c>
      <c r="AH190" s="4">
        <f t="shared" ref="AH190:AH195" si="393">BurdenUnc*L190</f>
        <v>6.2540964863130157E-3</v>
      </c>
      <c r="AI190" s="4">
        <f t="shared" si="379"/>
        <v>1.712455209428484E-3</v>
      </c>
      <c r="AJ190" s="4">
        <f t="shared" si="380"/>
        <v>5.0000000000000001E-4</v>
      </c>
      <c r="AK190" s="21">
        <f>VLOOKUP($D190,Uncertainties!$B$35:$D$41,3,FALSE)</f>
        <v>4.363323129985941E-3</v>
      </c>
      <c r="AL190" s="21"/>
      <c r="AM190" s="369">
        <f>SQRT((VLOOKUP($A190,'5 A data'!$A$5:$U$1148,7,FALSE)*mutual_ind)^2+(aux_CT_phase*J190)^2)</f>
        <v>1.7059664023879163E-3</v>
      </c>
      <c r="AN190" s="29">
        <f t="shared" si="381"/>
        <v>1.6365975915182584E-2</v>
      </c>
      <c r="AO190" s="14">
        <f t="shared" si="382"/>
        <v>9.0192317094551058</v>
      </c>
      <c r="AP190" s="27">
        <f t="shared" si="383"/>
        <v>2.2483232999530713</v>
      </c>
      <c r="AS190" s="27">
        <f>VLOOKUP($B190,TwoStageCT!$A$10:$H$72,5,FALSE)</f>
        <v>38.265350164989712</v>
      </c>
      <c r="AT190" s="27">
        <f>VLOOKUP($B190,TwoStageCT!$A$10:$H$72,8,FALSE)</f>
        <v>16.586629386739094</v>
      </c>
    </row>
    <row r="191" spans="1:46" x14ac:dyDescent="0.2">
      <c r="A191" s="409">
        <v>299</v>
      </c>
      <c r="B191" s="5" t="str">
        <f>B187&amp;D191</f>
        <v>120/20020</v>
      </c>
      <c r="C191" s="19">
        <f>VLOOKUP($A191,'5 A data'!$A$5:$U$650,3,FALSE)</f>
        <v>0.21600059637204713</v>
      </c>
      <c r="D191" s="163">
        <f>ROUND(VLOOKUP($A191,'5 A data'!$A$5:$U$650,9,FALSE)/10,0)*10</f>
        <v>20</v>
      </c>
      <c r="E191" s="23">
        <f t="shared" si="384"/>
        <v>0.99936709902044762</v>
      </c>
      <c r="F191" s="23">
        <f t="shared" si="385"/>
        <v>1.0011822386327505</v>
      </c>
      <c r="G191" s="486">
        <f>VLOOKUP(B191,TwoStageCT!A$10:H$72,3,FALSE)/10000</f>
        <v>3.1280516301103777E-5</v>
      </c>
      <c r="H191" s="486">
        <f>VLOOKUP(B191,TwoStageCT!A$10:H$72,6,FALSE)/10000</f>
        <v>4.5493238991726806E-6</v>
      </c>
      <c r="I191" s="19">
        <f>VLOOKUP($A191,'5 A data'!$A$5:$U$650,10,FALSE)</f>
        <v>-0.23799999999999999</v>
      </c>
      <c r="J191" s="32">
        <f>VLOOKUP($A191,'5 A data'!$A$5:$U$650,11,FALSE)</f>
        <v>0.35779249665883761</v>
      </c>
      <c r="K191" s="22">
        <f t="shared" si="386"/>
        <v>-8.4999999999999992E-2</v>
      </c>
      <c r="L191" s="22">
        <f t="shared" si="387"/>
        <v>0.11344640137963147</v>
      </c>
      <c r="M191" s="492">
        <f t="shared" si="388"/>
        <v>-0.23781808905056542</v>
      </c>
      <c r="N191" s="492">
        <f t="shared" si="389"/>
        <v>0.35822004209479508</v>
      </c>
      <c r="O191" s="20"/>
      <c r="P191" s="634">
        <f>VLOOKUP(B191,TwoStageCT!A$10:H$72,4,FALSE)/10000</f>
        <v>4.17832023036102E-6</v>
      </c>
      <c r="Q191" s="364">
        <f>VLOOKUP($A191,'5 A data'!$A$5:$U$650,7,FALSE)*slidewire_res</f>
        <v>1E-3</v>
      </c>
      <c r="R191" s="347">
        <f t="shared" si="372"/>
        <v>-4.3999999999999985E-3</v>
      </c>
      <c r="S191" s="4">
        <v>0</v>
      </c>
      <c r="T191" s="21">
        <f t="shared" si="390"/>
        <v>-4.2499999999999994E-3</v>
      </c>
      <c r="U191" s="29">
        <f t="shared" si="391"/>
        <v>-9.5127235620226167E-4</v>
      </c>
      <c r="V191" s="29">
        <f t="shared" si="373"/>
        <v>5.0000000000000001E-4</v>
      </c>
      <c r="W191" s="23">
        <f>VLOOKUP($D191,Uncertainties!$B$35:$D$41,2,FALSE)</f>
        <v>-1.0000000000000009E-3</v>
      </c>
      <c r="X191" s="23"/>
      <c r="Y191" s="24">
        <f t="shared" si="374"/>
        <v>-1.8455664682722503E-5</v>
      </c>
      <c r="Z191" s="23">
        <f t="shared" si="375"/>
        <v>6.3700688509303743E-3</v>
      </c>
      <c r="AA191" s="25">
        <f t="shared" si="376"/>
        <v>11.705182158613916</v>
      </c>
      <c r="AB191" s="26">
        <f t="shared" si="377"/>
        <v>2.176366377693411</v>
      </c>
      <c r="AC191" s="14"/>
      <c r="AD191" s="635">
        <f>VLOOKUP(B191,TwoStageCT!A$10:H$72,7,FALSE)/10000</f>
        <v>1.9770475075939077E-6</v>
      </c>
      <c r="AE191" s="366">
        <f>IF(ABS(VLOOKUP($A191,'5 A data'!$A$5:$U$1148,6,FALSE))&lt;4.5,IF(ABS(VLOOKUP($A191,'5 A data'!$A$5:$U$1148,6,FALSE))&lt;1.25,0.0008,0.002),0.004)*VLOOKUP($A191,'5 A data'!$A$5:$U$1148,7,FALSE)*25*RADIANS(1/60)*100</f>
        <v>2.9088820866572159E-3</v>
      </c>
      <c r="AF191" s="23">
        <f t="shared" si="392"/>
        <v>8.7266462599716495E-3</v>
      </c>
      <c r="AG191" s="29">
        <f t="shared" si="378"/>
        <v>3.5822004209479507E-4</v>
      </c>
      <c r="AH191" s="4">
        <f t="shared" si="393"/>
        <v>5.6723200689815737E-3</v>
      </c>
      <c r="AI191" s="4">
        <f t="shared" si="379"/>
        <v>1.4328801683791803E-3</v>
      </c>
      <c r="AJ191" s="4">
        <f t="shared" si="380"/>
        <v>5.0000000000000001E-4</v>
      </c>
      <c r="AK191" s="21">
        <f>VLOOKUP($D191,Uncertainties!$B$35:$D$41,3,FALSE)</f>
        <v>-1.454441043328647E-3</v>
      </c>
      <c r="AL191" s="21"/>
      <c r="AM191" s="369">
        <f>SQRT((VLOOKUP($A191,'5 A data'!$A$5:$U$1148,7,FALSE)*mutual_ind)^2+(aux_CT_phase*J191)^2)</f>
        <v>1.7042470279498814E-3</v>
      </c>
      <c r="AN191" s="29">
        <f t="shared" si="381"/>
        <v>1.1146411649976332E-2</v>
      </c>
      <c r="AO191" s="14">
        <f t="shared" si="382"/>
        <v>11.151953248756147</v>
      </c>
      <c r="AP191" s="27">
        <f t="shared" si="383"/>
        <v>2.1880562063437501</v>
      </c>
      <c r="AS191" s="27">
        <f>VLOOKUP($B191,TwoStageCT!$A$10:$H$72,5,FALSE)</f>
        <v>36.657700403051521</v>
      </c>
      <c r="AT191" s="27">
        <f>VLOOKUP($B191,TwoStageCT!$A$10:$H$72,8,FALSE)</f>
        <v>53.09445811850042</v>
      </c>
    </row>
    <row r="192" spans="1:46" x14ac:dyDescent="0.2">
      <c r="A192" s="409">
        <v>300</v>
      </c>
      <c r="B192" s="5" t="str">
        <f>B187&amp;D192</f>
        <v>120/20040</v>
      </c>
      <c r="C192" s="19">
        <f>VLOOKUP($A192,'5 A data'!$A$5:$U$650,3,FALSE)</f>
        <v>0.21600059637204713</v>
      </c>
      <c r="D192" s="163">
        <f>ROUND(VLOOKUP($A192,'5 A data'!$A$5:$U$650,9,FALSE)/10,0)*10</f>
        <v>40</v>
      </c>
      <c r="E192" s="23">
        <f t="shared" si="384"/>
        <v>0.99936709902044762</v>
      </c>
      <c r="F192" s="23">
        <f t="shared" si="385"/>
        <v>1.0011822386327505</v>
      </c>
      <c r="G192" s="486">
        <f>VLOOKUP(B192,TwoStageCT!A$10:H$72,3,FALSE)/10000</f>
        <v>2.5200167333853628E-5</v>
      </c>
      <c r="H192" s="486">
        <f>VLOOKUP(B192,TwoStageCT!A$10:H$72,6,FALSE)/10000</f>
        <v>5.7416420558101514E-6</v>
      </c>
      <c r="I192" s="19">
        <f>VLOOKUP($A192,'5 A data'!$A$5:$U$650,10,FALSE)</f>
        <v>-0.216</v>
      </c>
      <c r="J192" s="32">
        <f>VLOOKUP($A192,'5 A data'!$A$5:$U$650,11,FALSE)</f>
        <v>0.31415926535897937</v>
      </c>
      <c r="K192" s="22">
        <f t="shared" si="386"/>
        <v>-8.0999999999999989E-2</v>
      </c>
      <c r="L192" s="22">
        <f t="shared" si="387"/>
        <v>0.10762863720631702</v>
      </c>
      <c r="M192" s="492">
        <f t="shared" si="388"/>
        <v>-0.21583809322108283</v>
      </c>
      <c r="N192" s="492">
        <f t="shared" si="389"/>
        <v>0.31453641822137907</v>
      </c>
      <c r="O192" s="20"/>
      <c r="P192" s="634">
        <f>VLOOKUP(B192,TwoStageCT!A$10:H$72,4,FALSE)/10000</f>
        <v>3.3964590328801363E-6</v>
      </c>
      <c r="Q192" s="58">
        <f>VLOOKUP($A192,'5 A data'!$A$5:$U$650,7,FALSE)*slidewire_res</f>
        <v>1E-3</v>
      </c>
      <c r="R192" s="347">
        <f t="shared" si="372"/>
        <v>-2.4000000000000024E-3</v>
      </c>
      <c r="S192" s="4">
        <v>0</v>
      </c>
      <c r="T192" s="21">
        <f t="shared" si="390"/>
        <v>-4.0499999999999998E-3</v>
      </c>
      <c r="U192" s="29">
        <f t="shared" si="391"/>
        <v>-8.6335237288433133E-4</v>
      </c>
      <c r="V192" s="29">
        <f t="shared" si="373"/>
        <v>5.0000000000000001E-4</v>
      </c>
      <c r="W192" s="23">
        <f>VLOOKUP($D192,Uncertainties!$B$35:$D$41,2,FALSE)</f>
        <v>-1.0000000000000009E-3</v>
      </c>
      <c r="X192" s="23"/>
      <c r="Y192" s="24">
        <f t="shared" si="374"/>
        <v>-1.6749678871714538E-5</v>
      </c>
      <c r="Z192" s="23">
        <f t="shared" si="375"/>
        <v>5.0157920020113753E-3</v>
      </c>
      <c r="AA192" s="25">
        <f t="shared" si="376"/>
        <v>10.401957106017349</v>
      </c>
      <c r="AB192" s="26">
        <f t="shared" si="377"/>
        <v>2.2061105883473515</v>
      </c>
      <c r="AC192" s="14"/>
      <c r="AD192" s="635">
        <f>VLOOKUP(B192,TwoStageCT!A$10:H$72,7,FALSE)/10000</f>
        <v>1.6849048737447556E-6</v>
      </c>
      <c r="AE192" s="366">
        <f>IF(ABS(VLOOKUP($A192,'5 A data'!$A$5:$U$1148,6,FALSE))&lt;4.5,IF(ABS(VLOOKUP($A192,'5 A data'!$A$5:$U$1148,6,FALSE))&lt;1.25,0.0008,0.002),0.004)*VLOOKUP($A192,'5 A data'!$A$5:$U$1148,7,FALSE)*25*RADIANS(1/60)*100</f>
        <v>2.9088820866572159E-3</v>
      </c>
      <c r="AF192" s="23">
        <f t="shared" si="392"/>
        <v>4.3633231299858299E-3</v>
      </c>
      <c r="AG192" s="29">
        <f t="shared" si="378"/>
        <v>3.1453641822137905E-4</v>
      </c>
      <c r="AH192" s="4">
        <f t="shared" si="393"/>
        <v>5.3814318603158514E-3</v>
      </c>
      <c r="AI192" s="4">
        <f t="shared" si="379"/>
        <v>1.2581456728855162E-3</v>
      </c>
      <c r="AJ192" s="4">
        <f t="shared" si="380"/>
        <v>5.0000000000000001E-4</v>
      </c>
      <c r="AK192" s="21">
        <f>VLOOKUP($D192,Uncertainties!$B$35:$D$41,3,FALSE)</f>
        <v>-2.908882086657183E-3</v>
      </c>
      <c r="AL192" s="21"/>
      <c r="AM192" s="369">
        <f>SQRT((VLOOKUP($A192,'5 A data'!$A$5:$U$1148,7,FALSE)*mutual_ind)^2+(aux_CT_phase*J192)^2)</f>
        <v>1.7033269280805781E-3</v>
      </c>
      <c r="AN192" s="29">
        <f t="shared" si="381"/>
        <v>8.3519325157390429E-3</v>
      </c>
      <c r="AO192" s="14">
        <f t="shared" si="382"/>
        <v>18.537917249860449</v>
      </c>
      <c r="AP192" s="27">
        <f t="shared" si="383"/>
        <v>2.0927741961681066</v>
      </c>
      <c r="AS192" s="27">
        <f>VLOOKUP($B192,TwoStageCT!$A$10:$H$72,5,FALSE)</f>
        <v>38.659909732018328</v>
      </c>
      <c r="AT192" s="27">
        <f>VLOOKUP($B192,TwoStageCT!$A$10:$H$72,8,FALSE)</f>
        <v>52.499330597885681</v>
      </c>
    </row>
    <row r="193" spans="1:46" x14ac:dyDescent="0.2">
      <c r="A193" s="409">
        <v>301</v>
      </c>
      <c r="B193" s="5" t="str">
        <f>B187&amp;D193</f>
        <v>120/20060</v>
      </c>
      <c r="C193" s="19">
        <f>VLOOKUP($A193,'5 A data'!$A$5:$U$650,3,FALSE)</f>
        <v>0.21600059637204713</v>
      </c>
      <c r="D193" s="163">
        <f>ROUND(VLOOKUP($A193,'5 A data'!$A$5:$U$650,9,FALSE)/10,0)*10</f>
        <v>60</v>
      </c>
      <c r="E193" s="23">
        <f t="shared" si="384"/>
        <v>0.99936709902044762</v>
      </c>
      <c r="F193" s="23">
        <f t="shared" si="385"/>
        <v>1.0011822386327505</v>
      </c>
      <c r="G193" s="486">
        <f>VLOOKUP(B193,TwoStageCT!A$10:H$72,3,FALSE)/10000</f>
        <v>2.195627602528684E-5</v>
      </c>
      <c r="H193" s="486">
        <f>VLOOKUP(B193,TwoStageCT!A$10:H$72,6,FALSE)/10000</f>
        <v>5.5507836163637805E-6</v>
      </c>
      <c r="I193" s="19">
        <f>VLOOKUP($A193,'5 A data'!$A$5:$U$650,10,FALSE)</f>
        <v>-0.20399999999999999</v>
      </c>
      <c r="J193" s="32">
        <f>VLOOKUP($A193,'5 A data'!$A$5:$U$650,11,FALSE)</f>
        <v>0.29234264970905022</v>
      </c>
      <c r="K193" s="22">
        <f t="shared" si="386"/>
        <v>-7.5999999999999984E-2</v>
      </c>
      <c r="L193" s="22">
        <f t="shared" si="387"/>
        <v>0.10035643198967398</v>
      </c>
      <c r="M193" s="492">
        <f t="shared" si="388"/>
        <v>-0.20384893192414602</v>
      </c>
      <c r="N193" s="492">
        <f t="shared" si="389"/>
        <v>0.29269381926715327</v>
      </c>
      <c r="O193" s="20"/>
      <c r="P193" s="634">
        <f>VLOOKUP(B193,TwoStageCT!A$10:H$72,4,FALSE)/10000</f>
        <v>2.9709098248278708E-6</v>
      </c>
      <c r="Q193" s="58">
        <f>VLOOKUP($A193,'5 A data'!$A$5:$U$650,7,FALSE)*slidewire_res</f>
        <v>1E-3</v>
      </c>
      <c r="R193" s="347">
        <f t="shared" si="372"/>
        <v>-2.3999999999999968E-3</v>
      </c>
      <c r="S193" s="4">
        <v>0</v>
      </c>
      <c r="T193" s="21">
        <f t="shared" si="390"/>
        <v>-3.7999999999999996E-3</v>
      </c>
      <c r="U193" s="29">
        <f t="shared" si="391"/>
        <v>-8.153957276965841E-4</v>
      </c>
      <c r="V193" s="29">
        <f t="shared" si="373"/>
        <v>5.0000000000000001E-4</v>
      </c>
      <c r="W193" s="23">
        <f>VLOOKUP($D193,Uncertainties!$B$35:$D$41,2,FALSE)</f>
        <v>-1.0000000000000009E-3</v>
      </c>
      <c r="X193" s="23"/>
      <c r="Y193" s="24">
        <f t="shared" si="374"/>
        <v>-1.5819141156619287E-5</v>
      </c>
      <c r="Z193" s="23">
        <f t="shared" si="375"/>
        <v>4.8078195956460287E-3</v>
      </c>
      <c r="AA193" s="25">
        <f t="shared" si="376"/>
        <v>10.967128851005116</v>
      </c>
      <c r="AB193" s="26">
        <f t="shared" si="377"/>
        <v>2.1922518828137001</v>
      </c>
      <c r="AC193" s="14"/>
      <c r="AD193" s="635">
        <f>VLOOKUP(B193,TwoStageCT!A$10:H$72,7,FALSE)/10000</f>
        <v>1.6017059195029239E-6</v>
      </c>
      <c r="AE193" s="366">
        <f>IF(ABS(VLOOKUP($A193,'5 A data'!$A$5:$U$1148,6,FALSE))&lt;4.5,IF(ABS(VLOOKUP($A193,'5 A data'!$A$5:$U$1148,6,FALSE))&lt;1.25,0.0008,0.002),0.004)*VLOOKUP($A193,'5 A data'!$A$5:$U$1148,7,FALSE)*25*RADIANS(1/60)*100</f>
        <v>2.9088820866572159E-3</v>
      </c>
      <c r="AF193" s="23">
        <f t="shared" si="392"/>
        <v>4.6542113386515488E-3</v>
      </c>
      <c r="AG193" s="29">
        <f t="shared" si="378"/>
        <v>2.9269381926715326E-4</v>
      </c>
      <c r="AH193" s="4">
        <f t="shared" si="393"/>
        <v>5.0178215994836992E-3</v>
      </c>
      <c r="AI193" s="4">
        <f t="shared" si="379"/>
        <v>1.170775277068613E-3</v>
      </c>
      <c r="AJ193" s="4">
        <f t="shared" si="380"/>
        <v>5.0000000000000001E-4</v>
      </c>
      <c r="AK193" s="21">
        <f>VLOOKUP($D193,Uncertainties!$B$35:$D$41,3,FALSE)</f>
        <v>-2.908882086657183E-3</v>
      </c>
      <c r="AL193" s="21"/>
      <c r="AM193" s="369">
        <f>SQRT((VLOOKUP($A193,'5 A data'!$A$5:$U$1148,7,FALSE)*mutual_ind)^2+(aux_CT_phase*J193)^2)</f>
        <v>1.702911525399126E-3</v>
      </c>
      <c r="AN193" s="29">
        <f t="shared" si="381"/>
        <v>8.2685973071168119E-3</v>
      </c>
      <c r="AO193" s="14">
        <f t="shared" si="382"/>
        <v>19.255563255137872</v>
      </c>
      <c r="AP193" s="27">
        <f t="shared" si="383"/>
        <v>2.0876143329025929</v>
      </c>
      <c r="AS193" s="27">
        <f>VLOOKUP($B193,TwoStageCT!$A$10:$H$72,5,FALSE)</f>
        <v>42.291164682130272</v>
      </c>
      <c r="AT193" s="27">
        <f>VLOOKUP($B193,TwoStageCT!$A$10:$H$72,8,FALSE)</f>
        <v>48.978667479860043</v>
      </c>
    </row>
    <row r="194" spans="1:46" x14ac:dyDescent="0.2">
      <c r="A194" s="409">
        <v>302</v>
      </c>
      <c r="B194" s="5" t="str">
        <f>B187&amp;D194</f>
        <v>120/200100</v>
      </c>
      <c r="C194" s="19">
        <f>VLOOKUP($A194,'5 A data'!$A$5:$U$650,3,FALSE)</f>
        <v>0.21600059637204713</v>
      </c>
      <c r="D194" s="164">
        <f>ROUND(VLOOKUP($A194,'5 A data'!$A$5:$U$650,9,FALSE)/10,0)*10</f>
        <v>100</v>
      </c>
      <c r="E194" s="23">
        <f t="shared" si="384"/>
        <v>0.99936709902044762</v>
      </c>
      <c r="F194" s="23">
        <f t="shared" si="385"/>
        <v>1.0011822386327505</v>
      </c>
      <c r="G194" s="486">
        <f>VLOOKUP(B194,TwoStageCT!A$10:H$72,3,FALSE)/10000</f>
        <v>1.6881396356939836E-5</v>
      </c>
      <c r="H194" s="486">
        <f>VLOOKUP(B194,TwoStageCT!A$10:H$72,6,FALSE)/10000</f>
        <v>7.3590724152435355E-6</v>
      </c>
      <c r="I194" s="19">
        <f>VLOOKUP($A194,'5 A data'!$A$5:$U$650,10,FALSE)</f>
        <v>-0.192</v>
      </c>
      <c r="J194" s="32">
        <f>VLOOKUP($A194,'5 A data'!$A$5:$U$650,11,FALSE)</f>
        <v>0.26907159301579248</v>
      </c>
      <c r="K194" s="22">
        <f t="shared" si="386"/>
        <v>-7.2000000000000008E-2</v>
      </c>
      <c r="L194" s="22">
        <f t="shared" si="387"/>
        <v>9.3084226773030937E-2</v>
      </c>
      <c r="M194" s="492">
        <f t="shared" si="388"/>
        <v>-0.19186160161556901</v>
      </c>
      <c r="N194" s="492">
        <f t="shared" si="389"/>
        <v>0.26939705892044669</v>
      </c>
      <c r="O194" s="20"/>
      <c r="P194" s="634">
        <f>VLOOKUP(B194,TwoStageCT!A$10:H$72,4,FALSE)/10000</f>
        <v>2.4131313466023584E-6</v>
      </c>
      <c r="Q194" s="58">
        <f>VLOOKUP($A194,'5 A data'!$A$5:$U$650,7,FALSE)*slidewire_res</f>
        <v>1E-3</v>
      </c>
      <c r="R194" s="347">
        <f t="shared" si="372"/>
        <v>-6.000000000000006E-4</v>
      </c>
      <c r="S194" s="4">
        <v>0</v>
      </c>
      <c r="T194" s="21">
        <f t="shared" si="390"/>
        <v>-3.6000000000000008E-3</v>
      </c>
      <c r="U194" s="29">
        <f t="shared" si="391"/>
        <v>-7.6744640646227602E-4</v>
      </c>
      <c r="V194" s="29">
        <f t="shared" si="373"/>
        <v>5.0000000000000001E-4</v>
      </c>
      <c r="W194" s="23">
        <f>VLOOKUP($D194,Uncertainties!$B$35:$D$41,2,FALSE)</f>
        <v>1.999999999999974E-3</v>
      </c>
      <c r="X194" s="23"/>
      <c r="Y194" s="24">
        <f t="shared" si="374"/>
        <v>-1.4888603441524037E-5</v>
      </c>
      <c r="Z194" s="23">
        <f t="shared" si="375"/>
        <v>4.3771225114802416E-3</v>
      </c>
      <c r="AA194" s="25">
        <f t="shared" si="376"/>
        <v>10.434160582487683</v>
      </c>
      <c r="AB194" s="26">
        <f t="shared" si="377"/>
        <v>2.205276047041179</v>
      </c>
      <c r="AC194" s="14"/>
      <c r="AD194" s="635">
        <f>VLOOKUP(B194,TwoStageCT!A$10:H$72,7,FALSE)/10000</f>
        <v>1.6933288916776063E-6</v>
      </c>
      <c r="AE194" s="366">
        <f>IF(ABS(VLOOKUP($A194,'5 A data'!$A$5:$U$1148,6,FALSE))&lt;4.5,IF(ABS(VLOOKUP($A194,'5 A data'!$A$5:$U$1148,6,FALSE))&lt;1.25,0.0008,0.002),0.004)*VLOOKUP($A194,'5 A data'!$A$5:$U$1148,7,FALSE)*25*RADIANS(1/60)*100</f>
        <v>2.9088820866572159E-3</v>
      </c>
      <c r="AF194" s="23">
        <f t="shared" si="392"/>
        <v>1.4544410433286138E-3</v>
      </c>
      <c r="AG194" s="29">
        <f t="shared" si="378"/>
        <v>2.693970589204467E-4</v>
      </c>
      <c r="AH194" s="4">
        <f t="shared" si="393"/>
        <v>4.654211338651547E-3</v>
      </c>
      <c r="AI194" s="4">
        <f t="shared" si="379"/>
        <v>1.0775882356817868E-3</v>
      </c>
      <c r="AJ194" s="4">
        <f t="shared" si="380"/>
        <v>5.0000000000000001E-4</v>
      </c>
      <c r="AK194" s="21">
        <f>VLOOKUP($D194,Uncertainties!$B$35:$D$41,3,FALSE)</f>
        <v>-2.9088820866572385E-3</v>
      </c>
      <c r="AL194" s="21"/>
      <c r="AM194" s="369">
        <f>SQRT((VLOOKUP($A194,'5 A data'!$A$5:$U$1148,7,FALSE)*mutual_ind)^2+(aux_CT_phase*J194)^2)</f>
        <v>1.7025012697660803E-3</v>
      </c>
      <c r="AN194" s="29">
        <f t="shared" si="381"/>
        <v>6.7143545142816733E-3</v>
      </c>
      <c r="AO194" s="14">
        <f t="shared" si="382"/>
        <v>17.408185831748902</v>
      </c>
      <c r="AP194" s="27">
        <f t="shared" si="383"/>
        <v>2.1018058769248804</v>
      </c>
      <c r="AS194" s="27">
        <f>VLOOKUP($B194,TwoStageCT!$A$10:$H$72,5,FALSE)</f>
        <v>59.567261398457461</v>
      </c>
      <c r="AT194" s="27">
        <f>VLOOKUP($B194,TwoStageCT!$A$10:$H$72,8,FALSE)</f>
        <v>45.732629829898706</v>
      </c>
    </row>
    <row r="195" spans="1:46" x14ac:dyDescent="0.2">
      <c r="A195" s="409">
        <v>303</v>
      </c>
      <c r="B195" s="5" t="str">
        <f>B187&amp;D195</f>
        <v>120/200120</v>
      </c>
      <c r="C195" s="19">
        <f>VLOOKUP($A195,'5 A data'!$A$5:$U$650,3,FALSE)</f>
        <v>0.21600059637204713</v>
      </c>
      <c r="D195" s="164">
        <f>ROUND(VLOOKUP($A195,'5 A data'!$A$5:$U$650,9,FALSE)/10,0)*10</f>
        <v>120</v>
      </c>
      <c r="E195" s="23">
        <f t="shared" si="384"/>
        <v>0.99936709902044762</v>
      </c>
      <c r="F195" s="23">
        <f t="shared" si="385"/>
        <v>1.0011822386327505</v>
      </c>
      <c r="G195" s="486">
        <f>VLOOKUP(B195,TwoStageCT!A$10:H$72,3,FALSE)/10000</f>
        <v>1.5213305302217845E-5</v>
      </c>
      <c r="H195" s="486">
        <f>VLOOKUP(B195,TwoStageCT!A$10:H$72,6,FALSE)/10000</f>
        <v>7.5885012454326174E-6</v>
      </c>
      <c r="I195" s="19">
        <f>VLOOKUP($A195,'5 A data'!$A$5:$U$650,10,FALSE)</f>
        <v>-0.189</v>
      </c>
      <c r="J195" s="32">
        <f>VLOOKUP($A195,'5 A data'!$A$5:$U$650,11,FALSE)</f>
        <v>0.26179938779914941</v>
      </c>
      <c r="K195" s="22">
        <f t="shared" si="386"/>
        <v>-7.1000000000000008E-2</v>
      </c>
      <c r="L195" s="22">
        <f t="shared" si="387"/>
        <v>9.0175344686373643E-2</v>
      </c>
      <c r="M195" s="492">
        <f t="shared" si="388"/>
        <v>-0.18886516840956238</v>
      </c>
      <c r="N195" s="492">
        <f t="shared" si="389"/>
        <v>0.26211648565068141</v>
      </c>
      <c r="O195" s="20"/>
      <c r="P195" s="634">
        <f>VLOOKUP(B195,TwoStageCT!A$10:H$72,4,FALSE)/10000</f>
        <v>2.2681305202526645E-6</v>
      </c>
      <c r="Q195" s="58">
        <f>VLOOKUP($A195,'5 A data'!$A$5:$U$650,7,FALSE)*slidewire_res</f>
        <v>1E-3</v>
      </c>
      <c r="R195" s="347">
        <f t="shared" si="372"/>
        <v>0</v>
      </c>
      <c r="S195" s="4">
        <v>0</v>
      </c>
      <c r="T195" s="21">
        <f t="shared" si="390"/>
        <v>-3.5500000000000006E-3</v>
      </c>
      <c r="U195" s="29">
        <f t="shared" si="391"/>
        <v>-7.5546067363824957E-4</v>
      </c>
      <c r="V195" s="29">
        <f t="shared" si="373"/>
        <v>5.0000000000000001E-4</v>
      </c>
      <c r="W195" s="23">
        <f>VLOOKUP($D195,Uncertainties!$B$35:$D$41,2,FALSE)</f>
        <v>-1.0000000000000009E-3</v>
      </c>
      <c r="X195" s="23"/>
      <c r="Y195" s="24">
        <f t="shared" si="374"/>
        <v>-1.4655969012750223E-5</v>
      </c>
      <c r="Z195" s="23">
        <f t="shared" si="375"/>
        <v>3.9272688692344104E-3</v>
      </c>
      <c r="AA195" s="25">
        <f t="shared" si="376"/>
        <v>7.4055384344982906</v>
      </c>
      <c r="AB195" s="26">
        <f t="shared" si="377"/>
        <v>2.3209982516569978</v>
      </c>
      <c r="AC195" s="14"/>
      <c r="AD195" s="635">
        <f>VLOOKUP(B195,TwoStageCT!A$10:H$72,7,FALSE)/10000</f>
        <v>1.7092397901526349E-6</v>
      </c>
      <c r="AE195" s="366">
        <f>IF(ABS(VLOOKUP($A195,'5 A data'!$A$5:$U$1148,6,FALSE))&lt;4.5,IF(ABS(VLOOKUP($A195,'5 A data'!$A$5:$U$1148,6,FALSE))&lt;1.25,0.0008,0.002),0.004)*VLOOKUP($A195,'5 A data'!$A$5:$U$1148,7,FALSE)*25*RADIANS(1/60)*100</f>
        <v>2.9088820866572159E-3</v>
      </c>
      <c r="AF195" s="23">
        <f t="shared" si="392"/>
        <v>0</v>
      </c>
      <c r="AG195" s="29">
        <f t="shared" si="378"/>
        <v>2.6211648565068141E-4</v>
      </c>
      <c r="AH195" s="4">
        <f t="shared" si="393"/>
        <v>4.508767234318682E-3</v>
      </c>
      <c r="AI195" s="4">
        <f t="shared" si="379"/>
        <v>1.0484659426027256E-3</v>
      </c>
      <c r="AJ195" s="4">
        <f t="shared" si="380"/>
        <v>5.0000000000000001E-4</v>
      </c>
      <c r="AK195" s="21">
        <f>VLOOKUP($D195,Uncertainties!$B$35:$D$41,3,FALSE)</f>
        <v>1.4544410433285915E-3</v>
      </c>
      <c r="AL195" s="21"/>
      <c r="AM195" s="369">
        <f>SQRT((VLOOKUP($A195,'5 A data'!$A$5:$U$1148,7,FALSE)*mutual_ind)^2+(aux_CT_phase*J195)^2)</f>
        <v>1.7023800208338378E-3</v>
      </c>
      <c r="AN195" s="29">
        <f t="shared" si="381"/>
        <v>5.934817794805692E-3</v>
      </c>
      <c r="AO195" s="14">
        <f t="shared" si="382"/>
        <v>12.497652673612807</v>
      </c>
      <c r="AP195" s="27">
        <f t="shared" si="383"/>
        <v>2.1615856853855728</v>
      </c>
      <c r="AS195" s="27">
        <f>VLOOKUP($B195,TwoStageCT!$A$10:$H$72,5,FALSE)</f>
        <v>68.00069900375496</v>
      </c>
      <c r="AT195" s="27">
        <f>VLOOKUP($B195,TwoStageCT!$A$10:$H$72,8,FALSE)</f>
        <v>47.345132453902309</v>
      </c>
    </row>
    <row r="196" spans="1:46" x14ac:dyDescent="0.2">
      <c r="A196" s="409">
        <v>304</v>
      </c>
      <c r="B196" s="5"/>
      <c r="C196" s="19"/>
      <c r="D196" s="19"/>
      <c r="E196" s="23"/>
      <c r="F196" s="23"/>
      <c r="G196" s="347"/>
      <c r="H196" s="347"/>
      <c r="I196" s="19"/>
      <c r="J196" s="32"/>
      <c r="K196" s="31"/>
      <c r="L196" s="31"/>
      <c r="M196" s="638" t="s">
        <v>93</v>
      </c>
      <c r="N196" s="638"/>
      <c r="O196" s="20"/>
      <c r="P196" s="634"/>
      <c r="Q196" s="58"/>
      <c r="R196" s="347"/>
      <c r="S196" s="4"/>
      <c r="T196" s="4"/>
      <c r="U196" s="29"/>
      <c r="V196" s="29"/>
      <c r="W196" s="29"/>
      <c r="X196" s="29"/>
      <c r="Y196" s="24"/>
      <c r="Z196" s="29"/>
      <c r="AA196" s="25"/>
      <c r="AB196" s="26"/>
      <c r="AC196" s="14"/>
      <c r="AD196" s="635"/>
      <c r="AE196" s="35"/>
      <c r="AF196" s="28"/>
      <c r="AG196" s="29"/>
      <c r="AH196" s="4"/>
      <c r="AI196" s="4"/>
      <c r="AJ196" s="4"/>
      <c r="AK196" s="4"/>
      <c r="AL196" s="4"/>
      <c r="AM196" s="24"/>
      <c r="AN196" s="29"/>
      <c r="AO196" s="14"/>
      <c r="AP196" s="27"/>
    </row>
    <row r="197" spans="1:46" x14ac:dyDescent="0.2">
      <c r="A197" s="409">
        <v>305</v>
      </c>
      <c r="B197" s="5" t="str">
        <f>B187&amp;D197</f>
        <v>120/2005</v>
      </c>
      <c r="C197" s="19">
        <f>VLOOKUP($A197,'5 A data'!$A$5:$U$650,3,FALSE)</f>
        <v>2.1000057980615688E-2</v>
      </c>
      <c r="D197" s="19">
        <f>ROUND(VLOOKUP($A197,'5 A data'!$A$5:$U$650,9,FALSE),0)</f>
        <v>5</v>
      </c>
      <c r="E197" s="23">
        <f t="shared" si="384"/>
        <v>0.99936709902044762</v>
      </c>
      <c r="F197" s="23">
        <f t="shared" si="385"/>
        <v>1.0011822386327505</v>
      </c>
      <c r="G197" s="486">
        <f>VLOOKUP(B197,TwoStageCT!A$10:H$72,3,FALSE)/10000</f>
        <v>3.6805932694608759E-5</v>
      </c>
      <c r="H197" s="486">
        <f>VLOOKUP(B197,TwoStageCT!A$10:H$72,6,FALSE)/10000</f>
        <v>4.6965346060309593E-6</v>
      </c>
      <c r="I197" s="19">
        <f>VLOOKUP($A197,'5 A data'!$A$5:$U$650,10,FALSE)</f>
        <v>-0.21199999999999999</v>
      </c>
      <c r="J197" s="32">
        <f>VLOOKUP($A197,'5 A data'!$A$5:$U$650,11,FALSE)</f>
        <v>0.37815467126543806</v>
      </c>
      <c r="K197" s="31"/>
      <c r="L197" s="31"/>
      <c r="M197" s="31">
        <f>I197*E197+G197</f>
        <v>-0.21182901905964027</v>
      </c>
      <c r="N197" s="31">
        <f>J197*F197+H197</f>
        <v>0.37860643686156914</v>
      </c>
      <c r="O197" s="20"/>
      <c r="P197" s="634">
        <f>VLOOKUP(B197,TwoStageCT!A$10:H$72,4,FALSE)/10000</f>
        <v>6.4429594675743464E-6</v>
      </c>
      <c r="Q197" s="58">
        <f>VLOOKUP($A197,'5 A data'!$A$5:$U$650,7,FALSE)*slidewire_res</f>
        <v>1E-3</v>
      </c>
      <c r="R197" s="347">
        <f t="shared" ref="R197:R203" si="394">current_coef*(I197-I198)*IF(I198=0,0,1)</f>
        <v>-6.2000000000000006E-3</v>
      </c>
      <c r="S197" s="4">
        <v>0</v>
      </c>
      <c r="T197" s="4">
        <f>BurdenUnc*K189</f>
        <v>-5.3500000000000006E-3</v>
      </c>
      <c r="U197" s="29">
        <f t="shared" ref="U197:U203" si="395">0.004*M197</f>
        <v>-8.4731607623856112E-4</v>
      </c>
      <c r="V197" s="29">
        <f t="shared" si="373"/>
        <v>5.0000000000000001E-4</v>
      </c>
      <c r="W197" s="23">
        <f>VLOOKUP($D197,Uncertainties!$B$35:$D$41,2,FALSE)</f>
        <v>5.0000000000000044E-3</v>
      </c>
      <c r="X197" s="23"/>
      <c r="Y197" s="24">
        <f t="shared" ref="Y197:Y203" si="396">I197*aux_CT_ratio</f>
        <v>-1.6439499633349457E-5</v>
      </c>
      <c r="Z197" s="23">
        <f t="shared" ref="Z197:Z203" si="397">SQRT(SUMSQ(P197:Y197))</f>
        <v>9.6969457202733308E-3</v>
      </c>
      <c r="AA197" s="25">
        <f t="shared" ref="AA197:AA203" si="398">DoF_A(P197:Y197,$P$7:$Y$7)</f>
        <v>17.347312542391805</v>
      </c>
      <c r="AB197" s="26">
        <f t="shared" ref="AB197:AB203" si="399">CoverFactor(AA197)</f>
        <v>2.1023277772022451</v>
      </c>
      <c r="AC197" s="14"/>
      <c r="AD197" s="635">
        <f>VLOOKUP(B197,TwoStageCT!A$10:H$72,7,FALSE)/10000</f>
        <v>4.6788986298833412E-6</v>
      </c>
      <c r="AE197" s="366">
        <f>IF(ABS(VLOOKUP($A197,'5 A data'!$A$5:$U$1148,6,FALSE))&lt;4.5,IF(ABS(VLOOKUP($A197,'5 A data'!$A$5:$U$1148,6,FALSE))&lt;1.25,0.0008,0.002),0.004)*VLOOKUP($A197,'5 A data'!$A$5:$U$1148,7,FALSE)*25*RADIANS(1/60)*100</f>
        <v>2.9088820866572159E-3</v>
      </c>
      <c r="AF197" s="23">
        <f t="shared" ref="AF197:AF203" si="400">current_coef*(J197-J198)*IF(J198=0,0,1)</f>
        <v>1.5126186850617519E-2</v>
      </c>
      <c r="AG197" s="29">
        <f t="shared" ref="AG197:AG203" si="401">0.001*N197</f>
        <v>3.7860643686156914E-4</v>
      </c>
      <c r="AH197" s="4">
        <f>BurdenUnc*L189</f>
        <v>7.1267611123101739E-3</v>
      </c>
      <c r="AI197" s="4">
        <f t="shared" ref="AI197:AI203" si="402">0.004*N197</f>
        <v>1.5144257474462765E-3</v>
      </c>
      <c r="AJ197" s="4">
        <f t="shared" si="380"/>
        <v>5.0000000000000001E-4</v>
      </c>
      <c r="AK197" s="21">
        <f>VLOOKUP($D197,Uncertainties!$B$35:$D$41,3,FALSE)</f>
        <v>-1.1635528346628732E-2</v>
      </c>
      <c r="AL197" s="21"/>
      <c r="AM197" s="369">
        <f>SQRT((VLOOKUP($A197,'5 A data'!$A$5:$U$1148,7,FALSE)*mutual_ind)^2+(aux_CT_phase*J197)^2)</f>
        <v>1.7047171094381783E-3</v>
      </c>
      <c r="AN197" s="29">
        <f t="shared" ref="AN197:AN203" si="403">SQRT(SUMSQ(AD197:AM197))</f>
        <v>2.0713094360449182E-2</v>
      </c>
      <c r="AO197" s="14">
        <f t="shared" ref="AO197:AO203" si="404">DoF_A(AD197:AM197,$AD$7:$AM$7)</f>
        <v>14.761651144593502</v>
      </c>
      <c r="AP197" s="27">
        <f t="shared" ref="AP197:AP203" si="405">CoverFactor(AO197)</f>
        <v>2.1287378822238856</v>
      </c>
      <c r="AS197" s="27">
        <f>VLOOKUP($B197,TwoStageCT!$A$10:$H$72,5,FALSE)</f>
        <v>26.31606241070681</v>
      </c>
      <c r="AT197" s="27">
        <f>VLOOKUP($B197,TwoStageCT!$A$10:$H$72,8,FALSE)</f>
        <v>9.9413455012810044</v>
      </c>
    </row>
    <row r="198" spans="1:46" x14ac:dyDescent="0.2">
      <c r="A198" s="409">
        <v>306</v>
      </c>
      <c r="B198" s="5" t="str">
        <f>B187&amp;D198</f>
        <v>120/20010</v>
      </c>
      <c r="C198" s="19">
        <f>VLOOKUP($A198,'5 A data'!$A$5:$U$650,3,FALSE)</f>
        <v>2.1000057980615688E-2</v>
      </c>
      <c r="D198" s="163">
        <f>ROUND(VLOOKUP($A198,'5 A data'!$A$5:$U$650,9,FALSE)/10,0)*10</f>
        <v>10</v>
      </c>
      <c r="E198" s="23">
        <f t="shared" si="384"/>
        <v>0.99936709902044762</v>
      </c>
      <c r="F198" s="23">
        <f t="shared" si="385"/>
        <v>1.0011822386327505</v>
      </c>
      <c r="G198" s="486">
        <f>VLOOKUP(B198,TwoStageCT!A$10:H$72,3,FALSE)/10000</f>
        <v>3.4690340839935311E-5</v>
      </c>
      <c r="H198" s="486">
        <f>VLOOKUP(B198,TwoStageCT!A$10:H$72,6,FALSE)/10000</f>
        <v>2.6036797087866982E-6</v>
      </c>
      <c r="I198" s="19">
        <f>VLOOKUP($A198,'5 A data'!$A$5:$U$650,10,FALSE)</f>
        <v>-0.18099999999999999</v>
      </c>
      <c r="J198" s="32">
        <f>VLOOKUP($A198,'5 A data'!$A$5:$U$650,11,FALSE)</f>
        <v>0.30252373701235047</v>
      </c>
      <c r="K198" s="31"/>
      <c r="L198" s="31"/>
      <c r="M198" s="31">
        <f t="shared" ref="M198:M203" si="406">I198*E198+G198</f>
        <v>-0.18085075458186106</v>
      </c>
      <c r="N198" s="31">
        <f t="shared" ref="N198:N203" si="407">J198*F198+H198</f>
        <v>0.30288399594127929</v>
      </c>
      <c r="O198" s="20"/>
      <c r="P198" s="634">
        <f>VLOOKUP(B198,TwoStageCT!A$10:H$72,4,FALSE)/10000</f>
        <v>5.0170517941146892E-6</v>
      </c>
      <c r="Q198" s="58">
        <f>VLOOKUP($A198,'5 A data'!$A$5:$U$650,7,FALSE)*slidewire_res</f>
        <v>1E-3</v>
      </c>
      <c r="R198" s="347">
        <f t="shared" si="394"/>
        <v>-5.5999999999999999E-3</v>
      </c>
      <c r="S198" s="4">
        <v>0</v>
      </c>
      <c r="T198" s="4">
        <f t="shared" ref="T198:T203" si="408">BurdenUnc*K190</f>
        <v>-4.6000000000000017E-3</v>
      </c>
      <c r="U198" s="29">
        <f t="shared" si="395"/>
        <v>-7.2340301832744423E-4</v>
      </c>
      <c r="V198" s="29">
        <f t="shared" si="373"/>
        <v>5.0000000000000001E-4</v>
      </c>
      <c r="W198" s="23">
        <f>VLOOKUP($D198,Uncertainties!$B$35:$D$41,2,FALSE)</f>
        <v>2.5000000000000022E-3</v>
      </c>
      <c r="X198" s="23"/>
      <c r="Y198" s="24">
        <f t="shared" si="396"/>
        <v>-1.4035610536020054E-5</v>
      </c>
      <c r="Z198" s="23">
        <f t="shared" si="397"/>
        <v>7.7809725674941885E-3</v>
      </c>
      <c r="AA198" s="25">
        <f t="shared" si="398"/>
        <v>12.655812339995784</v>
      </c>
      <c r="AB198" s="26">
        <f t="shared" si="399"/>
        <v>2.1588766685728258</v>
      </c>
      <c r="AC198" s="14"/>
      <c r="AD198" s="635">
        <f>VLOOKUP(B198,TwoStageCT!A$10:H$72,7,FALSE)/10000</f>
        <v>2.600738521505678E-6</v>
      </c>
      <c r="AE198" s="366">
        <f>IF(ABS(VLOOKUP($A198,'5 A data'!$A$5:$U$1148,6,FALSE))&lt;4.5,IF(ABS(VLOOKUP($A198,'5 A data'!$A$5:$U$1148,6,FALSE))&lt;1.25,0.0008,0.002),0.004)*VLOOKUP($A198,'5 A data'!$A$5:$U$1148,7,FALSE)*25*RADIANS(1/60)*100</f>
        <v>2.9088820866572159E-3</v>
      </c>
      <c r="AF198" s="23">
        <f t="shared" si="400"/>
        <v>1.1635528346628865E-2</v>
      </c>
      <c r="AG198" s="29">
        <f t="shared" si="401"/>
        <v>3.0288399594127931E-4</v>
      </c>
      <c r="AH198" s="4">
        <f t="shared" ref="AH198:AH203" si="409">BurdenUnc*L190</f>
        <v>6.2540964863130157E-3</v>
      </c>
      <c r="AI198" s="4">
        <f t="shared" si="402"/>
        <v>1.2115359837651172E-3</v>
      </c>
      <c r="AJ198" s="4">
        <f t="shared" si="380"/>
        <v>5.0000000000000001E-4</v>
      </c>
      <c r="AK198" s="21">
        <f>VLOOKUP($D198,Uncertainties!$B$35:$D$41,3,FALSE)</f>
        <v>4.363323129985941E-3</v>
      </c>
      <c r="AL198" s="21"/>
      <c r="AM198" s="369">
        <f>SQRT((VLOOKUP($A198,'5 A data'!$A$5:$U$1148,7,FALSE)*mutual_ind)^2+(aux_CT_phase*J198)^2)</f>
        <v>1.7031016735255E-3</v>
      </c>
      <c r="AN198" s="29">
        <f t="shared" si="403"/>
        <v>1.437739707753888E-2</v>
      </c>
      <c r="AO198" s="14">
        <f t="shared" si="404"/>
        <v>10.636288765044359</v>
      </c>
      <c r="AP198" s="27">
        <f t="shared" si="405"/>
        <v>2.200166112941393</v>
      </c>
      <c r="AS198" s="27">
        <f>VLOOKUP($B198,TwoStageCT!$A$10:$H$72,5,FALSE)</f>
        <v>38.265350164989712</v>
      </c>
      <c r="AT198" s="27">
        <f>VLOOKUP($B198,TwoStageCT!$A$10:$H$72,8,FALSE)</f>
        <v>16.586629386739094</v>
      </c>
    </row>
    <row r="199" spans="1:46" x14ac:dyDescent="0.2">
      <c r="A199" s="409">
        <v>307</v>
      </c>
      <c r="B199" s="5" t="str">
        <f>B187&amp;D199</f>
        <v>120/20020</v>
      </c>
      <c r="C199" s="19">
        <f>VLOOKUP($A199,'5 A data'!$A$5:$U$650,3,FALSE)</f>
        <v>2.1000057980615688E-2</v>
      </c>
      <c r="D199" s="163">
        <f>ROUND(VLOOKUP($A199,'5 A data'!$A$5:$U$650,9,FALSE)/10,0)*10</f>
        <v>20</v>
      </c>
      <c r="E199" s="23">
        <f t="shared" si="384"/>
        <v>0.99936709902044762</v>
      </c>
      <c r="F199" s="23">
        <f t="shared" si="385"/>
        <v>1.0011822386327505</v>
      </c>
      <c r="G199" s="486">
        <f>VLOOKUP(B199,TwoStageCT!A$10:H$72,3,FALSE)/10000</f>
        <v>3.1280516301103777E-5</v>
      </c>
      <c r="H199" s="486">
        <f>VLOOKUP(B199,TwoStageCT!A$10:H$72,6,FALSE)/10000</f>
        <v>4.5493238991726806E-6</v>
      </c>
      <c r="I199" s="19">
        <f>VLOOKUP($A199,'5 A data'!$A$5:$U$650,10,FALSE)</f>
        <v>-0.153</v>
      </c>
      <c r="J199" s="32">
        <f>VLOOKUP($A199,'5 A data'!$A$5:$U$650,11,FALSE)</f>
        <v>0.24434609527920614</v>
      </c>
      <c r="K199" s="31"/>
      <c r="L199" s="31"/>
      <c r="M199" s="31">
        <f t="shared" si="406"/>
        <v>-0.15287188563382736</v>
      </c>
      <c r="N199" s="31">
        <f t="shared" si="407"/>
        <v>0.24463951999670613</v>
      </c>
      <c r="O199" s="20"/>
      <c r="P199" s="634">
        <f>VLOOKUP(B199,TwoStageCT!A$10:H$72,4,FALSE)/10000</f>
        <v>4.17832023036102E-6</v>
      </c>
      <c r="Q199" s="58">
        <f>VLOOKUP($A199,'5 A data'!$A$5:$U$650,7,FALSE)*slidewire_res</f>
        <v>1E-3</v>
      </c>
      <c r="R199" s="347">
        <f t="shared" si="394"/>
        <v>-3.5999999999999977E-3</v>
      </c>
      <c r="S199" s="4">
        <v>0</v>
      </c>
      <c r="T199" s="4">
        <f t="shared" si="408"/>
        <v>-4.2499999999999994E-3</v>
      </c>
      <c r="U199" s="29">
        <f t="shared" si="395"/>
        <v>-6.1148754253530951E-4</v>
      </c>
      <c r="V199" s="29">
        <f t="shared" si="373"/>
        <v>5.0000000000000001E-4</v>
      </c>
      <c r="W199" s="23">
        <f>VLOOKUP($D199,Uncertainties!$B$35:$D$41,2,FALSE)</f>
        <v>-1.0000000000000009E-3</v>
      </c>
      <c r="X199" s="23"/>
      <c r="Y199" s="24">
        <f t="shared" si="396"/>
        <v>-1.1864355867464466E-5</v>
      </c>
      <c r="Z199" s="23">
        <f t="shared" si="397"/>
        <v>5.8005668029922682E-3</v>
      </c>
      <c r="AA199" s="25">
        <f t="shared" si="398"/>
        <v>11.416411219800475</v>
      </c>
      <c r="AB199" s="26">
        <f t="shared" si="399"/>
        <v>2.1823127297899538</v>
      </c>
      <c r="AC199" s="14"/>
      <c r="AD199" s="635">
        <f>VLOOKUP(B199,TwoStageCT!A$10:H$72,7,FALSE)/10000</f>
        <v>1.9770475075939077E-6</v>
      </c>
      <c r="AE199" s="366">
        <f>IF(ABS(VLOOKUP($A199,'5 A data'!$A$5:$U$1148,6,FALSE))&lt;4.5,IF(ABS(VLOOKUP($A199,'5 A data'!$A$5:$U$1148,6,FALSE))&lt;1.25,0.0008,0.002),0.004)*VLOOKUP($A199,'5 A data'!$A$5:$U$1148,7,FALSE)*25*RADIANS(1/60)*100</f>
        <v>2.9088820866572159E-3</v>
      </c>
      <c r="AF199" s="23">
        <f t="shared" si="400"/>
        <v>7.5630934253087595E-3</v>
      </c>
      <c r="AG199" s="29">
        <f t="shared" si="401"/>
        <v>2.4463951999670612E-4</v>
      </c>
      <c r="AH199" s="4">
        <f t="shared" si="409"/>
        <v>5.6723200689815737E-3</v>
      </c>
      <c r="AI199" s="4">
        <f t="shared" si="402"/>
        <v>9.7855807998682449E-4</v>
      </c>
      <c r="AJ199" s="4">
        <f t="shared" si="380"/>
        <v>5.0000000000000001E-4</v>
      </c>
      <c r="AK199" s="21">
        <f>VLOOKUP($D199,Uncertainties!$B$35:$D$41,3,FALSE)</f>
        <v>-1.454441043328647E-3</v>
      </c>
      <c r="AL199" s="21"/>
      <c r="AM199" s="369">
        <f>SQRT((VLOOKUP($A199,'5 A data'!$A$5:$U$1148,7,FALSE)*mutual_ind)^2+(aux_CT_phase*J199)^2)</f>
        <v>1.7021025442081081E-3</v>
      </c>
      <c r="AN199" s="29">
        <f t="shared" si="403"/>
        <v>1.0203782252570964E-2</v>
      </c>
      <c r="AO199" s="14">
        <f t="shared" si="404"/>
        <v>12.346980796341077</v>
      </c>
      <c r="AP199" s="27">
        <f t="shared" si="405"/>
        <v>2.1642367454206575</v>
      </c>
      <c r="AS199" s="27">
        <f>VLOOKUP($B199,TwoStageCT!$A$10:$H$72,5,FALSE)</f>
        <v>36.657700403051521</v>
      </c>
      <c r="AT199" s="27">
        <f>VLOOKUP($B199,TwoStageCT!$A$10:$H$72,8,FALSE)</f>
        <v>53.09445811850042</v>
      </c>
    </row>
    <row r="200" spans="1:46" x14ac:dyDescent="0.2">
      <c r="A200" s="409">
        <v>308</v>
      </c>
      <c r="B200" s="5" t="str">
        <f>B187&amp;D200</f>
        <v>120/20040</v>
      </c>
      <c r="C200" s="19">
        <f>VLOOKUP($A200,'5 A data'!$A$5:$U$650,3,FALSE)</f>
        <v>2.1000057980615688E-2</v>
      </c>
      <c r="D200" s="163">
        <f>ROUND(VLOOKUP($A200,'5 A data'!$A$5:$U$650,9,FALSE)/10,0)*10</f>
        <v>40</v>
      </c>
      <c r="E200" s="23">
        <f t="shared" si="384"/>
        <v>0.99936709902044762</v>
      </c>
      <c r="F200" s="23">
        <f t="shared" si="385"/>
        <v>1.0011822386327505</v>
      </c>
      <c r="G200" s="486">
        <f>VLOOKUP(B200,TwoStageCT!A$10:H$72,3,FALSE)/10000</f>
        <v>2.5200167333853628E-5</v>
      </c>
      <c r="H200" s="486">
        <f>VLOOKUP(B200,TwoStageCT!A$10:H$72,6,FALSE)/10000</f>
        <v>5.7416420558101514E-6</v>
      </c>
      <c r="I200" s="19">
        <f>VLOOKUP($A200,'5 A data'!$A$5:$U$650,10,FALSE)</f>
        <v>-0.13500000000000001</v>
      </c>
      <c r="J200" s="32">
        <f>VLOOKUP($A200,'5 A data'!$A$5:$U$650,11,FALSE)</f>
        <v>0.20653062815266235</v>
      </c>
      <c r="K200" s="31"/>
      <c r="L200" s="31"/>
      <c r="M200" s="31">
        <f t="shared" si="406"/>
        <v>-0.13488935820042661</v>
      </c>
      <c r="N200" s="31">
        <f t="shared" si="407"/>
        <v>0.20678053828216644</v>
      </c>
      <c r="O200" s="20"/>
      <c r="P200" s="634">
        <f>VLOOKUP(B200,TwoStageCT!A$10:H$72,4,FALSE)/10000</f>
        <v>3.3964590328801363E-6</v>
      </c>
      <c r="Q200" s="58">
        <f>VLOOKUP($A200,'5 A data'!$A$5:$U$650,7,FALSE)*slidewire_res</f>
        <v>1E-3</v>
      </c>
      <c r="R200" s="347">
        <f t="shared" si="394"/>
        <v>-1.4000000000000013E-3</v>
      </c>
      <c r="S200" s="4">
        <v>0</v>
      </c>
      <c r="T200" s="4">
        <f t="shared" si="408"/>
        <v>-4.0499999999999998E-3</v>
      </c>
      <c r="U200" s="29">
        <f t="shared" si="395"/>
        <v>-5.3955743280170645E-4</v>
      </c>
      <c r="V200" s="29">
        <f t="shared" si="373"/>
        <v>5.0000000000000001E-4</v>
      </c>
      <c r="W200" s="23">
        <f>VLOOKUP($D200,Uncertainties!$B$35:$D$41,2,FALSE)</f>
        <v>-1.0000000000000009E-3</v>
      </c>
      <c r="X200" s="23"/>
      <c r="Y200" s="24">
        <f t="shared" si="396"/>
        <v>-1.0468549294821588E-5</v>
      </c>
      <c r="Z200" s="23">
        <f t="shared" si="397"/>
        <v>4.5720611708232719E-3</v>
      </c>
      <c r="AA200" s="25">
        <f t="shared" si="398"/>
        <v>7.9613219985979686</v>
      </c>
      <c r="AB200" s="26">
        <f t="shared" si="399"/>
        <v>2.2920986237625098</v>
      </c>
      <c r="AC200" s="14"/>
      <c r="AD200" s="635">
        <f>VLOOKUP(B200,TwoStageCT!A$10:H$72,7,FALSE)/10000</f>
        <v>1.6849048737447556E-6</v>
      </c>
      <c r="AE200" s="366">
        <f>IF(ABS(VLOOKUP($A200,'5 A data'!$A$5:$U$1148,6,FALSE))&lt;4.5,IF(ABS(VLOOKUP($A200,'5 A data'!$A$5:$U$1148,6,FALSE))&lt;1.25,0.0008,0.002),0.004)*VLOOKUP($A200,'5 A data'!$A$5:$U$1148,7,FALSE)*25*RADIANS(1/60)*100</f>
        <v>2.9088820866572159E-3</v>
      </c>
      <c r="AF200" s="23">
        <f t="shared" si="400"/>
        <v>2.908882086657222E-3</v>
      </c>
      <c r="AG200" s="29">
        <f t="shared" si="401"/>
        <v>2.0678053828216645E-4</v>
      </c>
      <c r="AH200" s="4">
        <f t="shared" si="409"/>
        <v>5.3814318603158514E-3</v>
      </c>
      <c r="AI200" s="4">
        <f t="shared" si="402"/>
        <v>8.2712215312866579E-4</v>
      </c>
      <c r="AJ200" s="4">
        <f t="shared" si="380"/>
        <v>5.0000000000000001E-4</v>
      </c>
      <c r="AK200" s="21">
        <f>VLOOKUP($D200,Uncertainties!$B$35:$D$41,3,FALSE)</f>
        <v>-2.908882086657183E-3</v>
      </c>
      <c r="AL200" s="21"/>
      <c r="AM200" s="369">
        <f>SQRT((VLOOKUP($A200,'5 A data'!$A$5:$U$1148,7,FALSE)*mutual_ind)^2+(aux_CT_phase*J200)^2)</f>
        <v>1.7015668651116978E-3</v>
      </c>
      <c r="AN200" s="29">
        <f t="shared" si="403"/>
        <v>7.6299944778490522E-3</v>
      </c>
      <c r="AO200" s="14">
        <f t="shared" si="404"/>
        <v>16.62312643675499</v>
      </c>
      <c r="AP200" s="27">
        <f t="shared" si="405"/>
        <v>2.1088469992818939</v>
      </c>
      <c r="AS200" s="27">
        <f>VLOOKUP($B200,TwoStageCT!$A$10:$H$72,5,FALSE)</f>
        <v>38.659909732018328</v>
      </c>
      <c r="AT200" s="27">
        <f>VLOOKUP($B200,TwoStageCT!$A$10:$H$72,8,FALSE)</f>
        <v>52.499330597885681</v>
      </c>
    </row>
    <row r="201" spans="1:46" x14ac:dyDescent="0.2">
      <c r="A201" s="409">
        <v>309</v>
      </c>
      <c r="B201" s="5" t="str">
        <f>B187&amp;D201</f>
        <v>120/20060</v>
      </c>
      <c r="C201" s="19">
        <f>VLOOKUP($A201,'5 A data'!$A$5:$U$650,3,FALSE)</f>
        <v>2.1000057980615688E-2</v>
      </c>
      <c r="D201" s="163">
        <f>ROUND(VLOOKUP($A201,'5 A data'!$A$5:$U$650,9,FALSE)/10,0)*10</f>
        <v>60</v>
      </c>
      <c r="E201" s="23">
        <f t="shared" si="384"/>
        <v>0.99936709902044762</v>
      </c>
      <c r="F201" s="23">
        <f t="shared" si="385"/>
        <v>1.0011822386327505</v>
      </c>
      <c r="G201" s="486">
        <f>VLOOKUP(B201,TwoStageCT!A$10:H$72,3,FALSE)/10000</f>
        <v>2.195627602528684E-5</v>
      </c>
      <c r="H201" s="486">
        <f>VLOOKUP(B201,TwoStageCT!A$10:H$72,6,FALSE)/10000</f>
        <v>5.5507836163637805E-6</v>
      </c>
      <c r="I201" s="19">
        <f>VLOOKUP($A201,'5 A data'!$A$5:$U$650,10,FALSE)</f>
        <v>-0.128</v>
      </c>
      <c r="J201" s="32">
        <f>VLOOKUP($A201,'5 A data'!$A$5:$U$650,11,FALSE)</f>
        <v>0.19198621771937624</v>
      </c>
      <c r="K201" s="31"/>
      <c r="L201" s="31"/>
      <c r="M201" s="31">
        <f t="shared" si="406"/>
        <v>-0.12789703239859201</v>
      </c>
      <c r="N201" s="31">
        <f t="shared" si="407"/>
        <v>0.19221874202653608</v>
      </c>
      <c r="O201" s="20"/>
      <c r="P201" s="634">
        <f>VLOOKUP(B201,TwoStageCT!A$10:H$72,4,FALSE)/10000</f>
        <v>2.9709098248278708E-6</v>
      </c>
      <c r="Q201" s="58">
        <f>VLOOKUP($A201,'5 A data'!$A$5:$U$650,7,FALSE)*slidewire_res</f>
        <v>1E-3</v>
      </c>
      <c r="R201" s="347">
        <f t="shared" si="394"/>
        <v>-1.6000000000000016E-3</v>
      </c>
      <c r="S201" s="4">
        <v>0</v>
      </c>
      <c r="T201" s="4">
        <f t="shared" si="408"/>
        <v>-3.7999999999999996E-3</v>
      </c>
      <c r="U201" s="29">
        <f t="shared" si="395"/>
        <v>-5.1158812959436811E-4</v>
      </c>
      <c r="V201" s="29">
        <f t="shared" si="373"/>
        <v>5.0000000000000001E-4</v>
      </c>
      <c r="W201" s="23">
        <f>VLOOKUP($D201,Uncertainties!$B$35:$D$41,2,FALSE)</f>
        <v>-1.0000000000000009E-3</v>
      </c>
      <c r="X201" s="23"/>
      <c r="Y201" s="24">
        <f t="shared" si="396"/>
        <v>-9.925735627682691E-6</v>
      </c>
      <c r="Z201" s="23">
        <f t="shared" si="397"/>
        <v>4.4172196867344965E-3</v>
      </c>
      <c r="AA201" s="25">
        <f t="shared" si="398"/>
        <v>8.788427212739224</v>
      </c>
      <c r="AB201" s="26">
        <f t="shared" si="399"/>
        <v>2.2568455531797773</v>
      </c>
      <c r="AC201" s="14"/>
      <c r="AD201" s="635">
        <f>VLOOKUP(B201,TwoStageCT!A$10:H$72,7,FALSE)/10000</f>
        <v>1.6017059195029239E-6</v>
      </c>
      <c r="AE201" s="366">
        <f>IF(ABS(VLOOKUP($A201,'5 A data'!$A$5:$U$1148,6,FALSE))&lt;4.5,IF(ABS(VLOOKUP($A201,'5 A data'!$A$5:$U$1148,6,FALSE))&lt;1.25,0.0008,0.002),0.004)*VLOOKUP($A201,'5 A data'!$A$5:$U$1148,7,FALSE)*25*RADIANS(1/60)*100</f>
        <v>2.9088820866572159E-3</v>
      </c>
      <c r="AF201" s="23">
        <f t="shared" si="400"/>
        <v>3.1997702953229404E-3</v>
      </c>
      <c r="AG201" s="29">
        <f t="shared" si="401"/>
        <v>1.9221874202653608E-4</v>
      </c>
      <c r="AH201" s="4">
        <f t="shared" si="409"/>
        <v>5.0178215994836992E-3</v>
      </c>
      <c r="AI201" s="4">
        <f t="shared" si="402"/>
        <v>7.6887496810614431E-4</v>
      </c>
      <c r="AJ201" s="4">
        <f t="shared" si="380"/>
        <v>5.0000000000000001E-4</v>
      </c>
      <c r="AK201" s="21">
        <f>VLOOKUP($D201,Uncertainties!$B$35:$D$41,3,FALSE)</f>
        <v>-2.908882086657183E-3</v>
      </c>
      <c r="AL201" s="21"/>
      <c r="AM201" s="369">
        <f>SQRT((VLOOKUP($A201,'5 A data'!$A$5:$U$1148,7,FALSE)*mutual_ind)^2+(aux_CT_phase*J201)^2)</f>
        <v>1.7013847223902342E-3</v>
      </c>
      <c r="AN201" s="29">
        <f t="shared" si="403"/>
        <v>7.4908666278100102E-3</v>
      </c>
      <c r="AO201" s="14">
        <f t="shared" si="404"/>
        <v>18.569331178672037</v>
      </c>
      <c r="AP201" s="27">
        <f t="shared" si="405"/>
        <v>2.0925395620397289</v>
      </c>
      <c r="AS201" s="27">
        <f>VLOOKUP($B201,TwoStageCT!$A$10:$H$72,5,FALSE)</f>
        <v>42.291164682130272</v>
      </c>
      <c r="AT201" s="27">
        <f>VLOOKUP($B201,TwoStageCT!$A$10:$H$72,8,FALSE)</f>
        <v>48.978667479860043</v>
      </c>
    </row>
    <row r="202" spans="1:46" x14ac:dyDescent="0.2">
      <c r="A202" s="409">
        <v>310</v>
      </c>
      <c r="B202" s="5" t="str">
        <f>B187&amp;D202</f>
        <v>120/200100</v>
      </c>
      <c r="C202" s="19">
        <f>VLOOKUP($A202,'5 A data'!$A$5:$U$650,3,FALSE)</f>
        <v>2.1000057980615688E-2</v>
      </c>
      <c r="D202" s="164">
        <f>ROUND(VLOOKUP($A202,'5 A data'!$A$5:$U$650,9,FALSE)/10,0)*10</f>
        <v>100</v>
      </c>
      <c r="E202" s="23">
        <f t="shared" si="384"/>
        <v>0.99936709902044762</v>
      </c>
      <c r="F202" s="23">
        <f t="shared" si="385"/>
        <v>1.0011822386327505</v>
      </c>
      <c r="G202" s="486">
        <f>VLOOKUP(B202,TwoStageCT!A$10:H$72,3,FALSE)/10000</f>
        <v>1.6881396356939836E-5</v>
      </c>
      <c r="H202" s="486">
        <f>VLOOKUP(B202,TwoStageCT!A$10:H$72,6,FALSE)/10000</f>
        <v>7.3590724152435355E-6</v>
      </c>
      <c r="I202" s="19">
        <f>VLOOKUP($A202,'5 A data'!$A$5:$U$650,10,FALSE)</f>
        <v>-0.12</v>
      </c>
      <c r="J202" s="32">
        <f>VLOOKUP($A202,'5 A data'!$A$5:$U$650,11,FALSE)</f>
        <v>0.17598736624276154</v>
      </c>
      <c r="K202" s="31"/>
      <c r="L202" s="31"/>
      <c r="M202" s="31">
        <f t="shared" si="406"/>
        <v>-0.11990717048609677</v>
      </c>
      <c r="N202" s="31">
        <f t="shared" si="407"/>
        <v>0.17620278437842499</v>
      </c>
      <c r="O202" s="20"/>
      <c r="P202" s="634">
        <f>VLOOKUP(B202,TwoStageCT!A$10:H$72,4,FALSE)/10000</f>
        <v>2.4131313466023584E-6</v>
      </c>
      <c r="Q202" s="58">
        <f>VLOOKUP($A202,'5 A data'!$A$5:$U$650,7,FALSE)*slidewire_res</f>
        <v>1E-3</v>
      </c>
      <c r="R202" s="347">
        <f t="shared" si="394"/>
        <v>-4.000000000000004E-4</v>
      </c>
      <c r="S202" s="4">
        <v>0</v>
      </c>
      <c r="T202" s="4">
        <f t="shared" si="408"/>
        <v>-3.6000000000000008E-3</v>
      </c>
      <c r="U202" s="29">
        <f t="shared" si="395"/>
        <v>-4.7962868194438709E-4</v>
      </c>
      <c r="V202" s="29">
        <f t="shared" si="373"/>
        <v>5.0000000000000001E-4</v>
      </c>
      <c r="W202" s="23">
        <f>VLOOKUP($D202,Uncertainties!$B$35:$D$41,2,FALSE)</f>
        <v>1.999999999999974E-3</v>
      </c>
      <c r="X202" s="23"/>
      <c r="Y202" s="24">
        <f t="shared" si="396"/>
        <v>-9.3053771509525226E-6</v>
      </c>
      <c r="Z202" s="23">
        <f t="shared" si="397"/>
        <v>4.3127875076092526E-3</v>
      </c>
      <c r="AA202" s="25">
        <f t="shared" si="398"/>
        <v>9.8564073349787336</v>
      </c>
      <c r="AB202" s="26">
        <f t="shared" si="399"/>
        <v>2.2211773409978721</v>
      </c>
      <c r="AC202" s="14"/>
      <c r="AD202" s="635">
        <f>VLOOKUP(B202,TwoStageCT!A$10:H$72,7,FALSE)/10000</f>
        <v>1.6933288916776063E-6</v>
      </c>
      <c r="AE202" s="366">
        <f>IF(ABS(VLOOKUP($A202,'5 A data'!$A$5:$U$1148,6,FALSE))&lt;4.5,IF(ABS(VLOOKUP($A202,'5 A data'!$A$5:$U$1148,6,FALSE))&lt;1.25,0.0008,0.002),0.004)*VLOOKUP($A202,'5 A data'!$A$5:$U$1148,7,FALSE)*25*RADIANS(1/60)*100</f>
        <v>2.9088820866572159E-3</v>
      </c>
      <c r="AF202" s="23">
        <f t="shared" si="400"/>
        <v>8.7266462599715493E-4</v>
      </c>
      <c r="AG202" s="29">
        <f t="shared" si="401"/>
        <v>1.7620278437842498E-4</v>
      </c>
      <c r="AH202" s="4">
        <f t="shared" si="409"/>
        <v>4.654211338651547E-3</v>
      </c>
      <c r="AI202" s="4">
        <f t="shared" si="402"/>
        <v>7.0481113751369993E-4</v>
      </c>
      <c r="AJ202" s="4">
        <f t="shared" si="380"/>
        <v>5.0000000000000001E-4</v>
      </c>
      <c r="AK202" s="21">
        <f>VLOOKUP($D202,Uncertainties!$B$35:$D$41,3,FALSE)</f>
        <v>-2.9088820866572385E-3</v>
      </c>
      <c r="AL202" s="21"/>
      <c r="AM202" s="369">
        <f>SQRT((VLOOKUP($A202,'5 A data'!$A$5:$U$1148,7,FALSE)*mutual_ind)^2+(aux_CT_phase*J202)^2)</f>
        <v>1.7011997012616174E-3</v>
      </c>
      <c r="AN202" s="29">
        <f t="shared" si="403"/>
        <v>6.5588342084681025E-3</v>
      </c>
      <c r="AO202" s="14">
        <f t="shared" si="404"/>
        <v>15.988171548163779</v>
      </c>
      <c r="AP202" s="27">
        <f t="shared" si="405"/>
        <v>2.1150787529940498</v>
      </c>
      <c r="AS202" s="27">
        <f>VLOOKUP($B202,TwoStageCT!$A$10:$H$72,5,FALSE)</f>
        <v>59.567261398457461</v>
      </c>
      <c r="AT202" s="27">
        <f>VLOOKUP($B202,TwoStageCT!$A$10:$H$72,8,FALSE)</f>
        <v>45.732629829898706</v>
      </c>
    </row>
    <row r="203" spans="1:46" x14ac:dyDescent="0.2">
      <c r="A203" s="409">
        <v>311</v>
      </c>
      <c r="B203" s="5" t="str">
        <f>B187&amp;D203</f>
        <v>120/200120</v>
      </c>
      <c r="C203" s="19">
        <f>VLOOKUP($A203,'5 A data'!$A$5:$U$650,3,FALSE)</f>
        <v>2.1000057980615688E-2</v>
      </c>
      <c r="D203" s="164">
        <f>ROUND(VLOOKUP($A203,'5 A data'!$A$5:$U$650,9,FALSE)/10,0)*10</f>
        <v>120</v>
      </c>
      <c r="E203" s="23">
        <f t="shared" si="384"/>
        <v>0.99936709902044762</v>
      </c>
      <c r="F203" s="23">
        <f t="shared" si="385"/>
        <v>1.0011822386327505</v>
      </c>
      <c r="G203" s="486">
        <f>VLOOKUP(B203,TwoStageCT!A$10:H$72,3,FALSE)/10000</f>
        <v>1.5213305302217845E-5</v>
      </c>
      <c r="H203" s="486">
        <f>VLOOKUP(B203,TwoStageCT!A$10:H$72,6,FALSE)/10000</f>
        <v>7.5885012454326174E-6</v>
      </c>
      <c r="I203" s="19">
        <f>VLOOKUP($A203,'5 A data'!$A$5:$U$650,10,FALSE)</f>
        <v>-0.11799999999999999</v>
      </c>
      <c r="J203" s="32">
        <f>VLOOKUP($A203,'5 A data'!$A$5:$U$650,11,FALSE)</f>
        <v>0.17162404311277576</v>
      </c>
      <c r="K203" s="31"/>
      <c r="L203" s="31"/>
      <c r="M203" s="31">
        <f t="shared" si="406"/>
        <v>-0.11791010437911061</v>
      </c>
      <c r="N203" s="31">
        <f t="shared" si="407"/>
        <v>0.17183453218809797</v>
      </c>
      <c r="O203" s="20"/>
      <c r="P203" s="634">
        <f>VLOOKUP(B203,TwoStageCT!A$10:H$72,4,FALSE)/10000</f>
        <v>2.2681305202526645E-6</v>
      </c>
      <c r="Q203" s="58">
        <f>VLOOKUP($A203,'5 A data'!$A$5:$U$650,7,FALSE)*slidewire_res</f>
        <v>1E-3</v>
      </c>
      <c r="R203" s="347">
        <f t="shared" si="394"/>
        <v>0</v>
      </c>
      <c r="S203" s="4">
        <v>0</v>
      </c>
      <c r="T203" s="4">
        <f t="shared" si="408"/>
        <v>-3.5500000000000006E-3</v>
      </c>
      <c r="U203" s="29">
        <f t="shared" si="395"/>
        <v>-4.7164041751644243E-4</v>
      </c>
      <c r="V203" s="29">
        <f t="shared" si="373"/>
        <v>5.0000000000000001E-4</v>
      </c>
      <c r="W203" s="23">
        <f>VLOOKUP($D203,Uncertainties!$B$35:$D$41,2,FALSE)</f>
        <v>-1.0000000000000009E-3</v>
      </c>
      <c r="X203" s="23"/>
      <c r="Y203" s="24">
        <f t="shared" si="396"/>
        <v>-9.1502875317699801E-6</v>
      </c>
      <c r="Z203" s="23">
        <f t="shared" si="397"/>
        <v>3.882658052882466E-3</v>
      </c>
      <c r="AA203" s="25">
        <f t="shared" si="398"/>
        <v>7.0869321689416163</v>
      </c>
      <c r="AB203" s="26">
        <f t="shared" si="399"/>
        <v>2.3399972118141106</v>
      </c>
      <c r="AC203" s="14"/>
      <c r="AD203" s="635">
        <f>VLOOKUP(B203,TwoStageCT!A$10:H$72,7,FALSE)/10000</f>
        <v>1.7092397901526349E-6</v>
      </c>
      <c r="AE203" s="366">
        <f>IF(ABS(VLOOKUP($A203,'5 A data'!$A$5:$U$1148,6,FALSE))&lt;4.5,IF(ABS(VLOOKUP($A203,'5 A data'!$A$5:$U$1148,6,FALSE))&lt;1.25,0.0008,0.002),0.004)*VLOOKUP($A203,'5 A data'!$A$5:$U$1148,7,FALSE)*25*RADIANS(1/60)*100</f>
        <v>2.9088820866572159E-3</v>
      </c>
      <c r="AF203" s="23">
        <f t="shared" si="400"/>
        <v>0</v>
      </c>
      <c r="AG203" s="29">
        <f t="shared" si="401"/>
        <v>1.7183453218809797E-4</v>
      </c>
      <c r="AH203" s="4">
        <f t="shared" si="409"/>
        <v>4.508767234318682E-3</v>
      </c>
      <c r="AI203" s="4">
        <f t="shared" si="402"/>
        <v>6.873381287523919E-4</v>
      </c>
      <c r="AJ203" s="4">
        <f t="shared" si="380"/>
        <v>5.0000000000000001E-4</v>
      </c>
      <c r="AK203" s="21">
        <f>VLOOKUP($D203,Uncertainties!$B$35:$D$41,3,FALSE)</f>
        <v>1.4544410433285915E-3</v>
      </c>
      <c r="AL203" s="21"/>
      <c r="AM203" s="369">
        <f>SQRT((VLOOKUP($A203,'5 A data'!$A$5:$U$1148,7,FALSE)*mutual_ind)^2+(aux_CT_phase*J203)^2)</f>
        <v>1.7011520299637143E-3</v>
      </c>
      <c r="AN203" s="29">
        <f t="shared" si="403"/>
        <v>5.8780828231745092E-3</v>
      </c>
      <c r="AO203" s="14">
        <f t="shared" si="404"/>
        <v>12.051170531988053</v>
      </c>
      <c r="AP203" s="27">
        <f t="shared" si="405"/>
        <v>2.1696520447923606</v>
      </c>
      <c r="AS203" s="27">
        <f>VLOOKUP($B203,TwoStageCT!$A$10:$H$72,5,FALSE)</f>
        <v>68.00069900375496</v>
      </c>
      <c r="AT203" s="27">
        <f>VLOOKUP($B203,TwoStageCT!$A$10:$H$72,8,FALSE)</f>
        <v>47.345132453902309</v>
      </c>
    </row>
    <row r="204" spans="1:46" x14ac:dyDescent="0.2">
      <c r="A204" s="409">
        <v>312</v>
      </c>
      <c r="P204" s="97"/>
      <c r="R204" s="42"/>
      <c r="AD204" s="250"/>
    </row>
    <row r="205" spans="1:46" x14ac:dyDescent="0.2">
      <c r="A205" s="409">
        <v>313</v>
      </c>
      <c r="B205" s="474" t="str">
        <f>MID(D205,FIND("AT,",D205,1)-4,3)&amp;"/"&amp;MID(D205,FIND("AT,",D205,1)+4,3)</f>
        <v>120/200</v>
      </c>
      <c r="C205" t="s">
        <v>113</v>
      </c>
      <c r="D205" s="59" t="str">
        <f>VLOOKUP($A205,'5 A data'!$A$5:$U$574,2,FALSE)</f>
        <v>200/5 Range, 1 turns @ 5VA burden, vs 120 AT, 200 range, 2 Stage CT</v>
      </c>
      <c r="P205" s="97"/>
      <c r="R205" s="42"/>
      <c r="Z205" s="29"/>
      <c r="AA205" s="25"/>
      <c r="AD205" s="250"/>
      <c r="AN205" s="29"/>
      <c r="AO205" s="14"/>
    </row>
    <row r="206" spans="1:46" x14ac:dyDescent="0.2">
      <c r="A206" s="409">
        <v>314</v>
      </c>
      <c r="C206" s="19"/>
      <c r="M206" s="638" t="s">
        <v>160</v>
      </c>
      <c r="N206" s="638"/>
      <c r="O206" s="19"/>
      <c r="P206" s="97"/>
      <c r="R206" s="42"/>
      <c r="Z206" s="29"/>
      <c r="AA206" s="25"/>
      <c r="AD206" s="250"/>
      <c r="AN206" s="29"/>
      <c r="AO206" s="14"/>
    </row>
    <row r="207" spans="1:46" x14ac:dyDescent="0.2">
      <c r="A207" s="409">
        <v>315</v>
      </c>
      <c r="B207" s="5" t="str">
        <f>B205&amp;D207</f>
        <v>120/2005</v>
      </c>
      <c r="C207" s="19">
        <f>VLOOKUP($A207,'5 A data'!$A$5:$U$574,3,FALSE)</f>
        <v>0.21600059637204713</v>
      </c>
      <c r="D207" s="19">
        <f>ROUND(VLOOKUP($A207,'5 A data'!$A$5:$U$650,9,FALSE),0)</f>
        <v>5</v>
      </c>
      <c r="E207" s="23">
        <f>TestSetRatioCor</f>
        <v>0.99936709902044762</v>
      </c>
      <c r="F207" s="23">
        <f>TestSetPhaseCor</f>
        <v>1.0011822386327505</v>
      </c>
      <c r="G207" s="486">
        <f>VLOOKUP(B207,TwoStageCT!A$10:H$72,3,FALSE)/10000</f>
        <v>3.6805932694608759E-5</v>
      </c>
      <c r="H207" s="486">
        <f>VLOOKUP(B207,TwoStageCT!A$10:H$72,6,FALSE)/10000</f>
        <v>4.6965346060309593E-6</v>
      </c>
      <c r="I207" s="19">
        <f>VLOOKUP($A207,'5 A data'!$A$5:$U$650,10,FALSE)</f>
        <v>-0.68200000000000005</v>
      </c>
      <c r="J207" s="32">
        <f>VLOOKUP($A207,'5 A data'!$A$5:$U$650,11,FALSE)</f>
        <v>1.1024663108430846</v>
      </c>
      <c r="K207" s="22">
        <f>I207-I215</f>
        <v>-0.45700000000000007</v>
      </c>
      <c r="L207" s="22">
        <f>J207-J215</f>
        <v>0.70394946497104594</v>
      </c>
      <c r="M207" s="22">
        <f>I207*E207+G207</f>
        <v>-0.68153155559925072</v>
      </c>
      <c r="N207" s="22">
        <f>J207*F207+H207</f>
        <v>1.1037743856416753</v>
      </c>
      <c r="O207" s="20"/>
      <c r="P207" s="634">
        <f>VLOOKUP(B207,TwoStageCT!A$10:H$72,4,FALSE)/10000</f>
        <v>6.4429594675743464E-6</v>
      </c>
      <c r="Q207" s="58">
        <f>VLOOKUP($A207,'5 A data'!$A$5:$U$650,7,FALSE)*slidewire_res</f>
        <v>2E-3</v>
      </c>
      <c r="R207" s="347">
        <f t="shared" ref="R207:R213" si="410">current_coef*(I207-I208)*IF(I208=0,0,1)</f>
        <v>-1.6000000000000014E-2</v>
      </c>
      <c r="S207" s="4">
        <v>0</v>
      </c>
      <c r="T207" s="21">
        <f>BurdenUnc*K207</f>
        <v>-2.2850000000000006E-2</v>
      </c>
      <c r="U207" s="29">
        <f>0.004*M207</f>
        <v>-2.7261262223970029E-3</v>
      </c>
      <c r="V207" s="29">
        <f t="shared" ref="V207:V221" si="411">earthing_Re</f>
        <v>5.0000000000000001E-4</v>
      </c>
      <c r="W207" s="23">
        <f>VLOOKUP($D207,Uncertainties!$B$35:$D$41,2,FALSE)</f>
        <v>5.0000000000000044E-3</v>
      </c>
      <c r="X207" s="23"/>
      <c r="Y207" s="24">
        <f t="shared" ref="Y207:Y213" si="412">I207*aux_CT_ratio</f>
        <v>-5.2885560141246841E-5</v>
      </c>
      <c r="Z207" s="23">
        <f t="shared" ref="Z207:Z213" si="413">SQRT(SUMSQ(P207:Y207))</f>
        <v>2.8544826196259098E-2</v>
      </c>
      <c r="AA207" s="25">
        <f t="shared" ref="AA207:AA213" si="414">DoF_A(P207:Y207,$P$7:$Y$7)</f>
        <v>9.8075484724702449</v>
      </c>
      <c r="AB207" s="26">
        <f t="shared" ref="AB207:AB213" si="415">CoverFactor(AA207)</f>
        <v>2.2226184956203849</v>
      </c>
      <c r="AC207" s="14"/>
      <c r="AD207" s="635">
        <f>VLOOKUP(B207,TwoStageCT!A$10:H$72,7,FALSE)/10000</f>
        <v>4.6788986298833412E-6</v>
      </c>
      <c r="AE207" s="366">
        <f>IF(ABS(VLOOKUP($A207,'5 A data'!$A$5:$U$1148,6,FALSE))&lt;4.5,IF(ABS(VLOOKUP($A207,'5 A data'!$A$5:$U$1148,6,FALSE))&lt;1.25,0.0008,0.002),0.004)*VLOOKUP($A207,'5 A data'!$A$5:$U$1148,7,FALSE)*25*RADIANS(1/60)*100</f>
        <v>5.8177641733144318E-3</v>
      </c>
      <c r="AF207" s="23">
        <f>current_coef*(J207-J208)*IF(J208=0,0,1)</f>
        <v>2.9670597283903533E-2</v>
      </c>
      <c r="AG207" s="29">
        <f t="shared" ref="AG207:AG213" si="416">0.001*N207</f>
        <v>1.1037743856416754E-3</v>
      </c>
      <c r="AH207" s="4">
        <f>BurdenUnc*L207</f>
        <v>3.5197473248552297E-2</v>
      </c>
      <c r="AI207" s="4">
        <f t="shared" ref="AI207:AI213" si="417">0.004*N207</f>
        <v>4.4150975425667014E-3</v>
      </c>
      <c r="AJ207" s="4">
        <f t="shared" ref="AJ207:AJ221" si="418">earthing_Im</f>
        <v>5.0000000000000001E-4</v>
      </c>
      <c r="AK207" s="21">
        <f>VLOOKUP($D207,Uncertainties!$B$35:$D$41,3,FALSE)</f>
        <v>-1.1635528346628732E-2</v>
      </c>
      <c r="AL207" s="21"/>
      <c r="AM207" s="369">
        <f>SQRT((VLOOKUP($A207,'5 A data'!$A$5:$U$1148,7,FALSE)*mutual_ind)^2+(aux_CT_phase*J207)^2)</f>
        <v>3.4195098274110462E-3</v>
      </c>
      <c r="AN207" s="29">
        <f t="shared" ref="AN207:AN213" si="419">SQRT(SUMSQ(AD207:AM207))</f>
        <v>4.8177721404236935E-2</v>
      </c>
      <c r="AO207" s="14">
        <f t="shared" ref="AO207:AO213" si="420">DoF_A(AD207:AM207,$AD$7:$AM$7)</f>
        <v>11.617034670174252</v>
      </c>
      <c r="AP207" s="27">
        <f t="shared" ref="AP207:AP213" si="421">CoverFactor(AO207)</f>
        <v>2.1781471061352349</v>
      </c>
      <c r="AS207" s="27">
        <f>VLOOKUP($B207,TwoStageCT!$A$10:$H$72,5,FALSE)</f>
        <v>26.31606241070681</v>
      </c>
      <c r="AT207" s="27">
        <f>VLOOKUP($B207,TwoStageCT!$A$10:$H$72,8,FALSE)</f>
        <v>9.9413455012810044</v>
      </c>
    </row>
    <row r="208" spans="1:46" x14ac:dyDescent="0.2">
      <c r="A208" s="409">
        <v>316</v>
      </c>
      <c r="B208" s="5" t="str">
        <f>B205&amp;D208</f>
        <v>120/20010</v>
      </c>
      <c r="C208" s="19">
        <f>VLOOKUP($A208,'5 A data'!$A$5:$U$650,3,FALSE)</f>
        <v>0.21600059637204713</v>
      </c>
      <c r="D208" s="163">
        <f>ROUND(VLOOKUP($A208,'5 A data'!$A$5:$U$650,9,FALSE)/10,0)*10</f>
        <v>10</v>
      </c>
      <c r="E208" s="23">
        <f t="shared" ref="E208:E221" si="422">TestSetRatioCor</f>
        <v>0.99936709902044762</v>
      </c>
      <c r="F208" s="23">
        <f t="shared" ref="F208:F221" si="423">TestSetPhaseCor</f>
        <v>1.0011822386327505</v>
      </c>
      <c r="G208" s="486">
        <f>VLOOKUP(B208,TwoStageCT!A$10:H$72,3,FALSE)/10000</f>
        <v>3.4690340839935311E-5</v>
      </c>
      <c r="H208" s="486">
        <f>VLOOKUP(B208,TwoStageCT!A$10:H$72,6,FALSE)/10000</f>
        <v>2.6036797087866982E-6</v>
      </c>
      <c r="I208" s="19">
        <f>VLOOKUP($A208,'5 A data'!$A$5:$U$650,10,FALSE)</f>
        <v>-0.60199999999999998</v>
      </c>
      <c r="J208" s="32">
        <f>VLOOKUP($A208,'5 A data'!$A$5:$U$650,11,FALSE)</f>
        <v>0.95411332442356689</v>
      </c>
      <c r="K208" s="22">
        <f t="shared" ref="K208:K213" si="424">I208-I216</f>
        <v>-0.41799999999999998</v>
      </c>
      <c r="L208" s="22">
        <f t="shared" ref="L208:L213" si="425">J208-J216</f>
        <v>0.65158958741121642</v>
      </c>
      <c r="M208" s="22">
        <f t="shared" ref="M208:M213" si="426">I208*E208+G208</f>
        <v>-0.60158430326946954</v>
      </c>
      <c r="N208" s="22">
        <f t="shared" ref="N208:N213" si="427">J208*F208+H208</f>
        <v>0.95524391773543127</v>
      </c>
      <c r="O208" s="20"/>
      <c r="P208" s="634">
        <f>VLOOKUP(B208,TwoStageCT!A$10:H$72,4,FALSE)/10000</f>
        <v>5.0170517941146892E-6</v>
      </c>
      <c r="Q208" s="58">
        <f>VLOOKUP($A208,'5 A data'!$A$5:$U$650,7,FALSE)*slidewire_res</f>
        <v>2E-3</v>
      </c>
      <c r="R208" s="347">
        <f t="shared" si="410"/>
        <v>-1.0799999999999988E-2</v>
      </c>
      <c r="S208" s="4">
        <v>0</v>
      </c>
      <c r="T208" s="21">
        <f t="shared" ref="T208:T213" si="428">BurdenUnc*K208</f>
        <v>-2.0900000000000002E-2</v>
      </c>
      <c r="U208" s="29">
        <f t="shared" ref="U208:U213" si="429">0.004*M208</f>
        <v>-2.4063372130778784E-3</v>
      </c>
      <c r="V208" s="29">
        <f t="shared" si="411"/>
        <v>5.0000000000000001E-4</v>
      </c>
      <c r="W208" s="23">
        <f>VLOOKUP($D208,Uncertainties!$B$35:$D$41,2,FALSE)</f>
        <v>2.5000000000000022E-3</v>
      </c>
      <c r="X208" s="23"/>
      <c r="Y208" s="24">
        <f t="shared" si="412"/>
        <v>-4.6681975373945154E-5</v>
      </c>
      <c r="Z208" s="23">
        <f t="shared" si="413"/>
        <v>2.3869282837167036E-2</v>
      </c>
      <c r="AA208" s="25">
        <f t="shared" si="414"/>
        <v>7.9376389808820065</v>
      </c>
      <c r="AB208" s="26">
        <f t="shared" si="415"/>
        <v>2.2932339132637387</v>
      </c>
      <c r="AC208" s="14"/>
      <c r="AD208" s="635">
        <f>VLOOKUP(B208,TwoStageCT!A$10:H$72,7,FALSE)/10000</f>
        <v>2.600738521505678E-6</v>
      </c>
      <c r="AE208" s="366">
        <f>IF(ABS(VLOOKUP($A208,'5 A data'!$A$5:$U$1148,6,FALSE))&lt;4.5,IF(ABS(VLOOKUP($A208,'5 A data'!$A$5:$U$1148,6,FALSE))&lt;1.25,0.0008,0.002),0.004)*VLOOKUP($A208,'5 A data'!$A$5:$U$1148,7,FALSE)*25*RADIANS(1/60)*100</f>
        <v>5.8177641733144318E-3</v>
      </c>
      <c r="AF208" s="23">
        <f t="shared" ref="AF208:AF213" si="430">current_coef*(J208-J209)*IF(J209=0,0,1)</f>
        <v>2.5598162362583499E-2</v>
      </c>
      <c r="AG208" s="29">
        <f t="shared" si="416"/>
        <v>9.5524391773543131E-4</v>
      </c>
      <c r="AH208" s="4">
        <f t="shared" ref="AH208:AH213" si="431">BurdenUnc*L208</f>
        <v>3.257947937056082E-2</v>
      </c>
      <c r="AI208" s="4">
        <f t="shared" si="417"/>
        <v>3.8209756709417252E-3</v>
      </c>
      <c r="AJ208" s="4">
        <f t="shared" si="418"/>
        <v>5.0000000000000001E-4</v>
      </c>
      <c r="AK208" s="21">
        <f>VLOOKUP($D208,Uncertainties!$B$35:$D$41,3,FALSE)</f>
        <v>4.363323129985941E-3</v>
      </c>
      <c r="AL208" s="21"/>
      <c r="AM208" s="369">
        <f>SQRT((VLOOKUP($A208,'5 A data'!$A$5:$U$1148,7,FALSE)*mutual_ind)^2+(aux_CT_phase*J208)^2)</f>
        <v>3.4147358976991827E-3</v>
      </c>
      <c r="AN208" s="29">
        <f t="shared" si="419"/>
        <v>4.2390991202685163E-2</v>
      </c>
      <c r="AO208" s="14">
        <f t="shared" si="420"/>
        <v>10.365721120591274</v>
      </c>
      <c r="AP208" s="27">
        <f t="shared" si="421"/>
        <v>2.2070565367907644</v>
      </c>
      <c r="AS208" s="27">
        <f>VLOOKUP($B208,TwoStageCT!$A$10:$H$72,5,FALSE)</f>
        <v>38.265350164989712</v>
      </c>
      <c r="AT208" s="27">
        <f>VLOOKUP($B208,TwoStageCT!$A$10:$H$72,8,FALSE)</f>
        <v>16.586629386739094</v>
      </c>
    </row>
    <row r="209" spans="1:46" x14ac:dyDescent="0.2">
      <c r="A209" s="409">
        <v>317</v>
      </c>
      <c r="B209" s="5" t="str">
        <f>B205&amp;D209</f>
        <v>120/20020</v>
      </c>
      <c r="C209" s="19">
        <f>VLOOKUP($A209,'5 A data'!$A$5:$U$650,3,FALSE)</f>
        <v>0.21600059637204713</v>
      </c>
      <c r="D209" s="163">
        <f>ROUND(VLOOKUP($A209,'5 A data'!$A$5:$U$650,9,FALSE)/10,0)*10</f>
        <v>20</v>
      </c>
      <c r="E209" s="23">
        <f t="shared" si="422"/>
        <v>0.99936709902044762</v>
      </c>
      <c r="F209" s="23">
        <f t="shared" si="423"/>
        <v>1.0011822386327505</v>
      </c>
      <c r="G209" s="486">
        <f>VLOOKUP(B209,TwoStageCT!A$10:H$72,3,FALSE)/10000</f>
        <v>3.1280516301103777E-5</v>
      </c>
      <c r="H209" s="486">
        <f>VLOOKUP(B209,TwoStageCT!A$10:H$72,6,FALSE)/10000</f>
        <v>4.5493238991726806E-6</v>
      </c>
      <c r="I209" s="19">
        <f>VLOOKUP($A209,'5 A data'!$A$5:$U$650,10,FALSE)</f>
        <v>-0.54800000000000004</v>
      </c>
      <c r="J209" s="32">
        <f>VLOOKUP($A209,'5 A data'!$A$5:$U$650,11,FALSE)</f>
        <v>0.8261225126106494</v>
      </c>
      <c r="K209" s="22">
        <f t="shared" si="424"/>
        <v>-0.39100000000000001</v>
      </c>
      <c r="L209" s="22">
        <f t="shared" si="425"/>
        <v>0.58177641733144325</v>
      </c>
      <c r="M209" s="22">
        <f t="shared" si="426"/>
        <v>-0.54762188974690429</v>
      </c>
      <c r="N209" s="22">
        <f t="shared" si="427"/>
        <v>0.82710373588434172</v>
      </c>
      <c r="O209" s="20"/>
      <c r="P209" s="634">
        <f>VLOOKUP(B209,TwoStageCT!A$10:H$72,4,FALSE)/10000</f>
        <v>4.17832023036102E-6</v>
      </c>
      <c r="Q209" s="364">
        <f>VLOOKUP($A209,'5 A data'!$A$5:$U$650,7,FALSE)*slidewire_res</f>
        <v>2E-3</v>
      </c>
      <c r="R209" s="347">
        <f t="shared" si="410"/>
        <v>-7.6000000000000069E-3</v>
      </c>
      <c r="S209" s="4">
        <v>0</v>
      </c>
      <c r="T209" s="21">
        <f t="shared" si="428"/>
        <v>-1.9550000000000001E-2</v>
      </c>
      <c r="U209" s="29">
        <f t="shared" si="429"/>
        <v>-2.1904875589876171E-3</v>
      </c>
      <c r="V209" s="29">
        <f t="shared" si="411"/>
        <v>5.0000000000000001E-4</v>
      </c>
      <c r="W209" s="23">
        <f>VLOOKUP($D209,Uncertainties!$B$35:$D$41,2,FALSE)</f>
        <v>-1.0000000000000009E-3</v>
      </c>
      <c r="X209" s="23"/>
      <c r="Y209" s="24">
        <f t="shared" si="412"/>
        <v>-4.2494555656016523E-5</v>
      </c>
      <c r="Z209" s="23">
        <f t="shared" si="413"/>
        <v>2.1213499451804271E-2</v>
      </c>
      <c r="AA209" s="25">
        <f t="shared" si="414"/>
        <v>6.7750173244106788</v>
      </c>
      <c r="AB209" s="26">
        <f t="shared" si="415"/>
        <v>2.3606776367809008</v>
      </c>
      <c r="AC209" s="14"/>
      <c r="AD209" s="635">
        <f>VLOOKUP(B209,TwoStageCT!A$10:H$72,7,FALSE)/10000</f>
        <v>1.9770475075939077E-6</v>
      </c>
      <c r="AE209" s="366">
        <f>IF(ABS(VLOOKUP($A209,'5 A data'!$A$5:$U$1148,6,FALSE))&lt;4.5,IF(ABS(VLOOKUP($A209,'5 A data'!$A$5:$U$1148,6,FALSE))&lt;1.25,0.0008,0.002),0.004)*VLOOKUP($A209,'5 A data'!$A$5:$U$1148,7,FALSE)*25*RADIANS(1/60)*100</f>
        <v>5.8177641733144318E-3</v>
      </c>
      <c r="AF209" s="23">
        <f t="shared" si="430"/>
        <v>2.0943951023931963E-2</v>
      </c>
      <c r="AG209" s="29">
        <f t="shared" si="416"/>
        <v>8.2710373588434178E-4</v>
      </c>
      <c r="AH209" s="4">
        <f t="shared" si="431"/>
        <v>2.9088820866572163E-2</v>
      </c>
      <c r="AI209" s="4">
        <f t="shared" si="417"/>
        <v>3.3084149435373671E-3</v>
      </c>
      <c r="AJ209" s="4">
        <f t="shared" si="418"/>
        <v>5.0000000000000001E-4</v>
      </c>
      <c r="AK209" s="21">
        <f>VLOOKUP($D209,Uncertainties!$B$35:$D$41,3,FALSE)</f>
        <v>-1.454441043328647E-3</v>
      </c>
      <c r="AL209" s="21"/>
      <c r="AM209" s="369">
        <f>SQRT((VLOOKUP($A209,'5 A data'!$A$5:$U$1148,7,FALSE)*mutual_ind)^2+(aux_CT_phase*J209)^2)</f>
        <v>3.4111662853240823E-3</v>
      </c>
      <c r="AN209" s="29">
        <f t="shared" si="419"/>
        <v>3.6664507796895195E-2</v>
      </c>
      <c r="AO209" s="14">
        <f t="shared" si="420"/>
        <v>9.9313101383901561</v>
      </c>
      <c r="AP209" s="27">
        <f t="shared" si="421"/>
        <v>2.2189988560988092</v>
      </c>
      <c r="AS209" s="27">
        <f>VLOOKUP($B209,TwoStageCT!$A$10:$H$72,5,FALSE)</f>
        <v>36.657700403051521</v>
      </c>
      <c r="AT209" s="27">
        <f>VLOOKUP($B209,TwoStageCT!$A$10:$H$72,8,FALSE)</f>
        <v>53.09445811850042</v>
      </c>
    </row>
    <row r="210" spans="1:46" x14ac:dyDescent="0.2">
      <c r="A210" s="409">
        <v>318</v>
      </c>
      <c r="B210" s="5" t="str">
        <f>B205&amp;D210</f>
        <v>120/20040</v>
      </c>
      <c r="C210" s="19">
        <f>VLOOKUP($A210,'5 A data'!$A$5:$U$650,3,FALSE)</f>
        <v>0.21600059637204713</v>
      </c>
      <c r="D210" s="163">
        <f>ROUND(VLOOKUP($A210,'5 A data'!$A$5:$U$650,9,FALSE)/10,0)*10</f>
        <v>40</v>
      </c>
      <c r="E210" s="23">
        <f t="shared" si="422"/>
        <v>0.99936709902044762</v>
      </c>
      <c r="F210" s="23">
        <f t="shared" si="423"/>
        <v>1.0011822386327505</v>
      </c>
      <c r="G210" s="486">
        <f>VLOOKUP(B210,TwoStageCT!A$10:H$72,3,FALSE)/10000</f>
        <v>2.5200167333853628E-5</v>
      </c>
      <c r="H210" s="486">
        <f>VLOOKUP(B210,TwoStageCT!A$10:H$72,6,FALSE)/10000</f>
        <v>5.7416420558101514E-6</v>
      </c>
      <c r="I210" s="19">
        <f>VLOOKUP($A210,'5 A data'!$A$5:$U$650,10,FALSE)</f>
        <v>-0.51</v>
      </c>
      <c r="J210" s="32">
        <f>VLOOKUP($A210,'5 A data'!$A$5:$U$650,11,FALSE)</f>
        <v>0.72140275749098959</v>
      </c>
      <c r="K210" s="22">
        <f t="shared" si="424"/>
        <v>-0.371</v>
      </c>
      <c r="L210" s="22">
        <f t="shared" si="425"/>
        <v>0.51487212933832727</v>
      </c>
      <c r="M210" s="22">
        <f t="shared" si="426"/>
        <v>-0.50965202033309442</v>
      </c>
      <c r="N210" s="22">
        <f t="shared" si="427"/>
        <v>0.722261369342724</v>
      </c>
      <c r="O210" s="20"/>
      <c r="P210" s="634">
        <f>VLOOKUP(B210,TwoStageCT!A$10:H$72,4,FALSE)/10000</f>
        <v>3.3964590328801363E-6</v>
      </c>
      <c r="Q210" s="58">
        <f>VLOOKUP($A210,'5 A data'!$A$5:$U$650,7,FALSE)*slidewire_res</f>
        <v>2E-3</v>
      </c>
      <c r="R210" s="347">
        <f t="shared" si="410"/>
        <v>-2.4000000000000024E-3</v>
      </c>
      <c r="S210" s="4">
        <v>0</v>
      </c>
      <c r="T210" s="21">
        <f t="shared" si="428"/>
        <v>-1.8550000000000001E-2</v>
      </c>
      <c r="U210" s="29">
        <f t="shared" si="429"/>
        <v>-2.0386080813323778E-3</v>
      </c>
      <c r="V210" s="29">
        <f t="shared" si="411"/>
        <v>5.0000000000000001E-4</v>
      </c>
      <c r="W210" s="23">
        <f>VLOOKUP($D210,Uncertainties!$B$35:$D$41,2,FALSE)</f>
        <v>-1.0000000000000009E-3</v>
      </c>
      <c r="X210" s="23"/>
      <c r="Y210" s="24">
        <f t="shared" si="412"/>
        <v>-3.9547852891548218E-5</v>
      </c>
      <c r="Z210" s="23">
        <f t="shared" si="413"/>
        <v>1.8954418969672374E-2</v>
      </c>
      <c r="AA210" s="25">
        <f t="shared" si="414"/>
        <v>5.447420506073108</v>
      </c>
      <c r="AB210" s="26">
        <f t="shared" si="415"/>
        <v>2.4822568333874395</v>
      </c>
      <c r="AC210" s="14"/>
      <c r="AD210" s="635">
        <f>VLOOKUP(B210,TwoStageCT!A$10:H$72,7,FALSE)/10000</f>
        <v>1.6849048737447556E-6</v>
      </c>
      <c r="AE210" s="366">
        <f>IF(ABS(VLOOKUP($A210,'5 A data'!$A$5:$U$1148,6,FALSE))&lt;4.5,IF(ABS(VLOOKUP($A210,'5 A data'!$A$5:$U$1148,6,FALSE))&lt;1.25,0.0008,0.002),0.004)*VLOOKUP($A210,'5 A data'!$A$5:$U$1148,7,FALSE)*25*RADIANS(1/60)*100</f>
        <v>5.8177641733144318E-3</v>
      </c>
      <c r="AF210" s="23">
        <f t="shared" si="430"/>
        <v>1.5126186850617529E-2</v>
      </c>
      <c r="AG210" s="29">
        <f t="shared" si="416"/>
        <v>7.2226136934272402E-4</v>
      </c>
      <c r="AH210" s="4">
        <f t="shared" si="431"/>
        <v>2.5743606466916365E-2</v>
      </c>
      <c r="AI210" s="4">
        <f t="shared" si="417"/>
        <v>2.8890454773708961E-3</v>
      </c>
      <c r="AJ210" s="4">
        <f t="shared" si="418"/>
        <v>5.0000000000000001E-4</v>
      </c>
      <c r="AK210" s="21">
        <f>VLOOKUP($D210,Uncertainties!$B$35:$D$41,3,FALSE)</f>
        <v>-2.908882086657183E-3</v>
      </c>
      <c r="AL210" s="21"/>
      <c r="AM210" s="369">
        <f>SQRT((VLOOKUP($A210,'5 A data'!$A$5:$U$1148,7,FALSE)*mutual_ind)^2+(aux_CT_phase*J210)^2)</f>
        <v>3.4086251952639779E-3</v>
      </c>
      <c r="AN210" s="29">
        <f t="shared" si="419"/>
        <v>3.0896274069056994E-2</v>
      </c>
      <c r="AO210" s="14">
        <f t="shared" si="420"/>
        <v>9.2426434551906844</v>
      </c>
      <c r="AP210" s="27">
        <f t="shared" si="421"/>
        <v>2.2405339023694304</v>
      </c>
      <c r="AS210" s="27">
        <f>VLOOKUP($B210,TwoStageCT!$A$10:$H$72,5,FALSE)</f>
        <v>38.659909732018328</v>
      </c>
      <c r="AT210" s="27">
        <f>VLOOKUP($B210,TwoStageCT!$A$10:$H$72,8,FALSE)</f>
        <v>52.499330597885681</v>
      </c>
    </row>
    <row r="211" spans="1:46" x14ac:dyDescent="0.2">
      <c r="A211" s="409">
        <v>319</v>
      </c>
      <c r="B211" s="5" t="str">
        <f>B205&amp;D211</f>
        <v>120/20060</v>
      </c>
      <c r="C211" s="19">
        <f>VLOOKUP($A211,'5 A data'!$A$5:$U$650,3,FALSE)</f>
        <v>0.21600059637204713</v>
      </c>
      <c r="D211" s="163">
        <f>ROUND(VLOOKUP($A211,'5 A data'!$A$5:$U$650,9,FALSE)/10,0)*10</f>
        <v>60</v>
      </c>
      <c r="E211" s="23">
        <f t="shared" si="422"/>
        <v>0.99936709902044762</v>
      </c>
      <c r="F211" s="23">
        <f t="shared" si="423"/>
        <v>1.0011822386327505</v>
      </c>
      <c r="G211" s="486">
        <f>VLOOKUP(B211,TwoStageCT!A$10:H$72,3,FALSE)/10000</f>
        <v>2.195627602528684E-5</v>
      </c>
      <c r="H211" s="486">
        <f>VLOOKUP(B211,TwoStageCT!A$10:H$72,6,FALSE)/10000</f>
        <v>5.5507836163637805E-6</v>
      </c>
      <c r="I211" s="19">
        <f>VLOOKUP($A211,'5 A data'!$A$5:$U$650,10,FALSE)</f>
        <v>-0.498</v>
      </c>
      <c r="J211" s="32">
        <f>VLOOKUP($A211,'5 A data'!$A$5:$U$650,11,FALSE)</f>
        <v>0.64577182323790194</v>
      </c>
      <c r="K211" s="22">
        <f t="shared" si="424"/>
        <v>-0.36699999999999999</v>
      </c>
      <c r="L211" s="22">
        <f t="shared" si="425"/>
        <v>0.4537856055185257</v>
      </c>
      <c r="M211" s="22">
        <f t="shared" si="426"/>
        <v>-0.49766285903615759</v>
      </c>
      <c r="N211" s="22">
        <f t="shared" si="427"/>
        <v>0.64654083041889188</v>
      </c>
      <c r="O211" s="20"/>
      <c r="P211" s="634">
        <f>VLOOKUP(B211,TwoStageCT!A$10:H$72,4,FALSE)/10000</f>
        <v>2.9709098248278708E-6</v>
      </c>
      <c r="Q211" s="58">
        <f>VLOOKUP($A211,'5 A data'!$A$5:$U$650,7,FALSE)*slidewire_res</f>
        <v>2E-3</v>
      </c>
      <c r="R211" s="347">
        <f t="shared" si="410"/>
        <v>-4.0000000000000036E-3</v>
      </c>
      <c r="S211" s="4">
        <v>0</v>
      </c>
      <c r="T211" s="21">
        <f t="shared" si="428"/>
        <v>-1.8350000000000002E-2</v>
      </c>
      <c r="U211" s="29">
        <f t="shared" si="429"/>
        <v>-1.9906514361446304E-3</v>
      </c>
      <c r="V211" s="29">
        <f t="shared" si="411"/>
        <v>5.0000000000000001E-4</v>
      </c>
      <c r="W211" s="23">
        <f>VLOOKUP($D211,Uncertainties!$B$35:$D$41,2,FALSE)</f>
        <v>-1.0000000000000009E-3</v>
      </c>
      <c r="X211" s="23"/>
      <c r="Y211" s="24">
        <f t="shared" si="412"/>
        <v>-3.861731517645297E-5</v>
      </c>
      <c r="Z211" s="23">
        <f t="shared" si="413"/>
        <v>1.9024633853600478E-2</v>
      </c>
      <c r="AA211" s="25">
        <f t="shared" si="414"/>
        <v>5.7622033457397954</v>
      </c>
      <c r="AB211" s="26">
        <f t="shared" si="415"/>
        <v>2.4470993753080807</v>
      </c>
      <c r="AC211" s="14"/>
      <c r="AD211" s="635">
        <f>VLOOKUP(B211,TwoStageCT!A$10:H$72,7,FALSE)/10000</f>
        <v>1.6017059195029239E-6</v>
      </c>
      <c r="AE211" s="366">
        <f>IF(ABS(VLOOKUP($A211,'5 A data'!$A$5:$U$1148,6,FALSE))&lt;4.5,IF(ABS(VLOOKUP($A211,'5 A data'!$A$5:$U$1148,6,FALSE))&lt;1.25,0.0008,0.002),0.004)*VLOOKUP($A211,'5 A data'!$A$5:$U$1148,7,FALSE)*25*RADIANS(1/60)*100</f>
        <v>5.8177641733144318E-3</v>
      </c>
      <c r="AF211" s="23">
        <f t="shared" si="430"/>
        <v>2.3271056693257731E-2</v>
      </c>
      <c r="AG211" s="29">
        <f t="shared" si="416"/>
        <v>6.4654083041889188E-4</v>
      </c>
      <c r="AH211" s="4">
        <f t="shared" si="431"/>
        <v>2.2689280275926288E-2</v>
      </c>
      <c r="AI211" s="4">
        <f t="shared" si="417"/>
        <v>2.5861633216755675E-3</v>
      </c>
      <c r="AJ211" s="4">
        <f t="shared" si="418"/>
        <v>5.0000000000000001E-4</v>
      </c>
      <c r="AK211" s="21">
        <f>VLOOKUP($D211,Uncertainties!$B$35:$D$41,3,FALSE)</f>
        <v>-2.908882086657183E-3</v>
      </c>
      <c r="AL211" s="21"/>
      <c r="AM211" s="369">
        <f>SQRT((VLOOKUP($A211,'5 A data'!$A$5:$U$1148,7,FALSE)*mutual_ind)^2+(aux_CT_phase*J211)^2)</f>
        <v>3.4070028535136345E-3</v>
      </c>
      <c r="AN211" s="29">
        <f t="shared" si="419"/>
        <v>3.3430785524899344E-2</v>
      </c>
      <c r="AO211" s="14">
        <f t="shared" si="420"/>
        <v>11.1594867719491</v>
      </c>
      <c r="AP211" s="27">
        <f t="shared" si="421"/>
        <v>2.187888440383007</v>
      </c>
      <c r="AS211" s="27">
        <f>VLOOKUP($B211,TwoStageCT!$A$10:$H$72,5,FALSE)</f>
        <v>42.291164682130272</v>
      </c>
      <c r="AT211" s="27">
        <f>VLOOKUP($B211,TwoStageCT!$A$10:$H$72,8,FALSE)</f>
        <v>48.978667479860043</v>
      </c>
    </row>
    <row r="212" spans="1:46" x14ac:dyDescent="0.2">
      <c r="A212" s="409">
        <v>320</v>
      </c>
      <c r="B212" s="5" t="str">
        <f>B205&amp;D212</f>
        <v>120/200100</v>
      </c>
      <c r="C212" s="19">
        <f>VLOOKUP($A212,'5 A data'!$A$5:$U$650,3,FALSE)</f>
        <v>0.21600059637204713</v>
      </c>
      <c r="D212" s="164">
        <f>ROUND(VLOOKUP($A212,'5 A data'!$A$5:$U$650,9,FALSE)/10,0)*10</f>
        <v>100</v>
      </c>
      <c r="E212" s="23">
        <f t="shared" si="422"/>
        <v>0.99936709902044762</v>
      </c>
      <c r="F212" s="23">
        <f t="shared" si="423"/>
        <v>1.0011822386327505</v>
      </c>
      <c r="G212" s="486">
        <f>VLOOKUP(B212,TwoStageCT!A$10:H$72,3,FALSE)/10000</f>
        <v>1.6881396356939836E-5</v>
      </c>
      <c r="H212" s="486">
        <f>VLOOKUP(B212,TwoStageCT!A$10:H$72,6,FALSE)/10000</f>
        <v>7.3590724152435355E-6</v>
      </c>
      <c r="I212" s="19">
        <f>VLOOKUP($A212,'5 A data'!$A$5:$U$650,10,FALSE)</f>
        <v>-0.47799999999999998</v>
      </c>
      <c r="J212" s="32">
        <f>VLOOKUP($A212,'5 A data'!$A$5:$U$650,11,FALSE)</f>
        <v>0.52941653977161329</v>
      </c>
      <c r="K212" s="22">
        <f t="shared" si="424"/>
        <v>-0.35599999999999998</v>
      </c>
      <c r="L212" s="22">
        <f t="shared" si="425"/>
        <v>0.35197473248552313</v>
      </c>
      <c r="M212" s="22">
        <f t="shared" si="426"/>
        <v>-0.47768059193541701</v>
      </c>
      <c r="N212" s="22">
        <f t="shared" si="427"/>
        <v>0.53004979553016363</v>
      </c>
      <c r="O212" s="20"/>
      <c r="P212" s="634">
        <f>VLOOKUP(B212,TwoStageCT!A$10:H$72,4,FALSE)/10000</f>
        <v>2.4131313466023584E-6</v>
      </c>
      <c r="Q212" s="58">
        <f>VLOOKUP($A212,'5 A data'!$A$5:$U$650,7,FALSE)*slidewire_res</f>
        <v>2E-3</v>
      </c>
      <c r="R212" s="347">
        <f t="shared" si="410"/>
        <v>-2.7999999999999917E-3</v>
      </c>
      <c r="S212" s="4">
        <v>0</v>
      </c>
      <c r="T212" s="21">
        <f t="shared" si="428"/>
        <v>-1.78E-2</v>
      </c>
      <c r="U212" s="29">
        <f t="shared" si="429"/>
        <v>-1.9107223677416682E-3</v>
      </c>
      <c r="V212" s="29">
        <f t="shared" si="411"/>
        <v>5.0000000000000001E-4</v>
      </c>
      <c r="W212" s="23">
        <f>VLOOKUP($D212,Uncertainties!$B$35:$D$41,2,FALSE)</f>
        <v>1.999999999999974E-3</v>
      </c>
      <c r="X212" s="23"/>
      <c r="Y212" s="24">
        <f t="shared" si="412"/>
        <v>-3.7066418984627545E-5</v>
      </c>
      <c r="Z212" s="23">
        <f t="shared" si="413"/>
        <v>1.8346177795639271E-2</v>
      </c>
      <c r="AA212" s="25">
        <f t="shared" si="414"/>
        <v>5.6370493942796616</v>
      </c>
      <c r="AB212" s="26">
        <f t="shared" si="415"/>
        <v>2.4604867866775311</v>
      </c>
      <c r="AC212" s="14"/>
      <c r="AD212" s="635">
        <f>VLOOKUP(B212,TwoStageCT!A$10:H$72,7,FALSE)/10000</f>
        <v>1.6933288916776063E-6</v>
      </c>
      <c r="AE212" s="366">
        <f>IF(ABS(VLOOKUP($A212,'5 A data'!$A$5:$U$1148,6,FALSE))&lt;4.5,IF(ABS(VLOOKUP($A212,'5 A data'!$A$5:$U$1148,6,FALSE))&lt;1.25,0.0008,0.002),0.004)*VLOOKUP($A212,'5 A data'!$A$5:$U$1148,7,FALSE)*25*RADIANS(1/60)*100</f>
        <v>5.8177641733144318E-3</v>
      </c>
      <c r="AF212" s="23">
        <f t="shared" si="430"/>
        <v>9.3084226773030854E-3</v>
      </c>
      <c r="AG212" s="29">
        <f t="shared" si="416"/>
        <v>5.3004979553016366E-4</v>
      </c>
      <c r="AH212" s="4">
        <f t="shared" si="431"/>
        <v>1.7598736624276159E-2</v>
      </c>
      <c r="AI212" s="4">
        <f t="shared" si="417"/>
        <v>2.1201991821206546E-3</v>
      </c>
      <c r="AJ212" s="4">
        <f t="shared" si="418"/>
        <v>5.0000000000000001E-4</v>
      </c>
      <c r="AK212" s="21">
        <f>VLOOKUP($D212,Uncertainties!$B$35:$D$41,3,FALSE)</f>
        <v>-2.9088820866572385E-3</v>
      </c>
      <c r="AL212" s="21"/>
      <c r="AM212" s="369">
        <f>SQRT((VLOOKUP($A212,'5 A data'!$A$5:$U$1148,7,FALSE)*mutual_ind)^2+(aux_CT_phase*J212)^2)</f>
        <v>3.4048562456269627E-3</v>
      </c>
      <c r="AN212" s="29">
        <f t="shared" si="419"/>
        <v>2.133751355614566E-2</v>
      </c>
      <c r="AO212" s="14">
        <f t="shared" si="420"/>
        <v>9.8934641508201207</v>
      </c>
      <c r="AP212" s="27">
        <f t="shared" si="421"/>
        <v>2.2200949505109735</v>
      </c>
      <c r="AS212" s="27">
        <f>VLOOKUP($B212,TwoStageCT!$A$10:$H$72,5,FALSE)</f>
        <v>59.567261398457461</v>
      </c>
      <c r="AT212" s="27">
        <f>VLOOKUP($B212,TwoStageCT!$A$10:$H$72,8,FALSE)</f>
        <v>45.732629829898706</v>
      </c>
    </row>
    <row r="213" spans="1:46" x14ac:dyDescent="0.2">
      <c r="A213" s="409">
        <v>321</v>
      </c>
      <c r="B213" s="5" t="str">
        <f>B205&amp;D213</f>
        <v>120/200120</v>
      </c>
      <c r="C213" s="19">
        <f>VLOOKUP($A213,'5 A data'!$A$5:$U$650,3,FALSE)</f>
        <v>0.21600059637204713</v>
      </c>
      <c r="D213" s="164">
        <f>ROUND(VLOOKUP($A213,'5 A data'!$A$5:$U$650,9,FALSE)/10,0)*10</f>
        <v>120</v>
      </c>
      <c r="E213" s="23">
        <f t="shared" si="422"/>
        <v>0.99936709902044762</v>
      </c>
      <c r="F213" s="23">
        <f t="shared" si="423"/>
        <v>1.0011822386327505</v>
      </c>
      <c r="G213" s="486">
        <f>VLOOKUP(B213,TwoStageCT!A$10:H$72,3,FALSE)/10000</f>
        <v>1.5213305302217845E-5</v>
      </c>
      <c r="H213" s="486">
        <f>VLOOKUP(B213,TwoStageCT!A$10:H$72,6,FALSE)/10000</f>
        <v>7.5885012454326174E-6</v>
      </c>
      <c r="I213" s="19">
        <f>VLOOKUP($A213,'5 A data'!$A$5:$U$650,10,FALSE)</f>
        <v>-0.46400000000000002</v>
      </c>
      <c r="J213" s="32">
        <f>VLOOKUP($A213,'5 A data'!$A$5:$U$650,11,FALSE)</f>
        <v>0.48287442638509787</v>
      </c>
      <c r="K213" s="22">
        <f t="shared" si="424"/>
        <v>-0.34400000000000003</v>
      </c>
      <c r="L213" s="22">
        <f t="shared" si="425"/>
        <v>0.30834150118566495</v>
      </c>
      <c r="M213" s="22">
        <f t="shared" si="426"/>
        <v>-0.46369112064018547</v>
      </c>
      <c r="N213" s="22">
        <f t="shared" si="427"/>
        <v>0.483452887687983</v>
      </c>
      <c r="O213" s="20"/>
      <c r="P213" s="634">
        <f>VLOOKUP(B213,TwoStageCT!A$10:H$72,4,FALSE)/10000</f>
        <v>2.2681305202526645E-6</v>
      </c>
      <c r="Q213" s="58">
        <f>VLOOKUP($A213,'5 A data'!$A$5:$U$650,7,FALSE)*slidewire_res</f>
        <v>2E-3</v>
      </c>
      <c r="R213" s="347">
        <f t="shared" si="410"/>
        <v>0</v>
      </c>
      <c r="S213" s="4">
        <v>0</v>
      </c>
      <c r="T213" s="21">
        <f t="shared" si="428"/>
        <v>-1.7200000000000003E-2</v>
      </c>
      <c r="U213" s="29">
        <f t="shared" si="429"/>
        <v>-1.8547644825607419E-3</v>
      </c>
      <c r="V213" s="29">
        <f t="shared" si="411"/>
        <v>5.0000000000000001E-4</v>
      </c>
      <c r="W213" s="23">
        <f>VLOOKUP($D213,Uncertainties!$B$35:$D$41,2,FALSE)</f>
        <v>-1.0000000000000009E-3</v>
      </c>
      <c r="X213" s="23"/>
      <c r="Y213" s="24">
        <f t="shared" si="412"/>
        <v>-3.5980791650349757E-5</v>
      </c>
      <c r="Z213" s="23">
        <f t="shared" si="413"/>
        <v>1.745082952319324E-2</v>
      </c>
      <c r="AA213" s="25">
        <f t="shared" si="414"/>
        <v>5.2963920892847725</v>
      </c>
      <c r="AB213" s="26">
        <f t="shared" si="415"/>
        <v>2.5010197008396475</v>
      </c>
      <c r="AC213" s="14"/>
      <c r="AD213" s="635">
        <f>VLOOKUP(B213,TwoStageCT!A$10:H$72,7,FALSE)/10000</f>
        <v>1.7092397901526349E-6</v>
      </c>
      <c r="AE213" s="366">
        <f>IF(ABS(VLOOKUP($A213,'5 A data'!$A$5:$U$1148,6,FALSE))&lt;4.5,IF(ABS(VLOOKUP($A213,'5 A data'!$A$5:$U$1148,6,FALSE))&lt;1.25,0.0008,0.002),0.004)*VLOOKUP($A213,'5 A data'!$A$5:$U$1148,7,FALSE)*25*RADIANS(1/60)*100</f>
        <v>5.8177641733144318E-3</v>
      </c>
      <c r="AF213" s="23">
        <f t="shared" si="430"/>
        <v>0</v>
      </c>
      <c r="AG213" s="29">
        <f t="shared" si="416"/>
        <v>4.8345288768798301E-4</v>
      </c>
      <c r="AH213" s="4">
        <f t="shared" si="431"/>
        <v>1.5417075059283247E-2</v>
      </c>
      <c r="AI213" s="4">
        <f t="shared" si="417"/>
        <v>1.933811550751932E-3</v>
      </c>
      <c r="AJ213" s="4">
        <f t="shared" si="418"/>
        <v>5.0000000000000001E-4</v>
      </c>
      <c r="AK213" s="21">
        <f>VLOOKUP($D213,Uncertainties!$B$35:$D$41,3,FALSE)</f>
        <v>1.4544410433285915E-3</v>
      </c>
      <c r="AL213" s="21"/>
      <c r="AM213" s="369">
        <f>SQRT((VLOOKUP($A213,'5 A data'!$A$5:$U$1148,7,FALSE)*mutual_ind)^2+(aux_CT_phase*J213)^2)</f>
        <v>3.4041163087651571E-3</v>
      </c>
      <c r="AN213" s="29">
        <f t="shared" si="419"/>
        <v>1.7013504832395065E-2</v>
      </c>
      <c r="AO213" s="14">
        <f t="shared" si="420"/>
        <v>7.2491792497814629</v>
      </c>
      <c r="AP213" s="27">
        <f t="shared" si="421"/>
        <v>2.3300747523528984</v>
      </c>
      <c r="AS213" s="27">
        <f>VLOOKUP($B213,TwoStageCT!$A$10:$H$72,5,FALSE)</f>
        <v>68.00069900375496</v>
      </c>
      <c r="AT213" s="27">
        <f>VLOOKUP($B213,TwoStageCT!$A$10:$H$72,8,FALSE)</f>
        <v>47.345132453902309</v>
      </c>
    </row>
    <row r="214" spans="1:46" x14ac:dyDescent="0.2">
      <c r="A214" s="409">
        <v>322</v>
      </c>
      <c r="B214" s="5"/>
      <c r="C214" s="19"/>
      <c r="D214" s="19"/>
      <c r="E214" s="23"/>
      <c r="F214" s="23"/>
      <c r="G214" s="347"/>
      <c r="H214" s="347"/>
      <c r="I214" s="19"/>
      <c r="J214" s="32"/>
      <c r="K214" s="31"/>
      <c r="L214" s="31"/>
      <c r="M214" s="638" t="s">
        <v>93</v>
      </c>
      <c r="N214" s="638"/>
      <c r="O214" s="20"/>
      <c r="P214" s="634"/>
      <c r="Q214" s="58"/>
      <c r="R214" s="347"/>
      <c r="S214" s="4"/>
      <c r="T214" s="4"/>
      <c r="U214" s="29"/>
      <c r="V214" s="29"/>
      <c r="W214" s="29"/>
      <c r="X214" s="29"/>
      <c r="Y214" s="24"/>
      <c r="Z214" s="29"/>
      <c r="AA214" s="25"/>
      <c r="AB214" s="26"/>
      <c r="AC214" s="14"/>
      <c r="AD214" s="635"/>
      <c r="AE214" s="35"/>
      <c r="AF214" s="28"/>
      <c r="AG214" s="29"/>
      <c r="AH214" s="4"/>
      <c r="AI214" s="4"/>
      <c r="AJ214" s="4"/>
      <c r="AK214" s="4"/>
      <c r="AL214" s="4"/>
      <c r="AM214" s="24"/>
      <c r="AN214" s="29"/>
      <c r="AO214" s="14"/>
      <c r="AP214" s="27"/>
    </row>
    <row r="215" spans="1:46" x14ac:dyDescent="0.2">
      <c r="A215" s="409">
        <v>323</v>
      </c>
      <c r="B215" s="5" t="str">
        <f>B205&amp;D215</f>
        <v>120/2005</v>
      </c>
      <c r="C215" s="19">
        <f>VLOOKUP($A215,'5 A data'!$A$5:$U$650,3,FALSE)</f>
        <v>2.1000057980615688E-2</v>
      </c>
      <c r="D215" s="19">
        <f>ROUND(VLOOKUP($A215,'5 A data'!$A$5:$U$650,9,FALSE),0)</f>
        <v>5</v>
      </c>
      <c r="E215" s="23">
        <f t="shared" si="422"/>
        <v>0.99936709902044762</v>
      </c>
      <c r="F215" s="23">
        <f t="shared" si="423"/>
        <v>1.0011822386327505</v>
      </c>
      <c r="G215" s="486">
        <f>VLOOKUP(B215,TwoStageCT!A$10:H$72,3,FALSE)/10000</f>
        <v>3.6805932694608759E-5</v>
      </c>
      <c r="H215" s="486">
        <f>VLOOKUP(B215,TwoStageCT!A$10:H$72,6,FALSE)/10000</f>
        <v>4.6965346060309593E-6</v>
      </c>
      <c r="I215" s="19">
        <f>VLOOKUP($A215,'5 A data'!$A$5:$U$650,10,FALSE)</f>
        <v>-0.22500000000000001</v>
      </c>
      <c r="J215" s="32">
        <f>VLOOKUP($A215,'5 A data'!$A$5:$U$650,11,FALSE)</f>
        <v>0.39851684587203862</v>
      </c>
      <c r="K215" s="31"/>
      <c r="L215" s="31"/>
      <c r="M215" s="31">
        <f>I215*E215+G215</f>
        <v>-0.22482079134690611</v>
      </c>
      <c r="N215" s="31">
        <f>J215*F215+H215</f>
        <v>0.39899268441763647</v>
      </c>
      <c r="O215" s="20"/>
      <c r="P215" s="634">
        <f>VLOOKUP(B215,TwoStageCT!A$10:H$72,4,FALSE)/10000</f>
        <v>6.4429594675743464E-6</v>
      </c>
      <c r="Q215" s="58">
        <f>VLOOKUP($A215,'5 A data'!$A$5:$U$650,7,FALSE)*slidewire_res</f>
        <v>1E-3</v>
      </c>
      <c r="R215" s="347">
        <f t="shared" ref="R215:R221" si="432">current_coef*(I215-I216)*IF(I216=0,0,1)</f>
        <v>-8.2000000000000024E-3</v>
      </c>
      <c r="S215" s="4">
        <v>0</v>
      </c>
      <c r="T215" s="4">
        <f>BurdenUnc*K207</f>
        <v>-2.2850000000000006E-2</v>
      </c>
      <c r="U215" s="29">
        <f t="shared" ref="U215:U221" si="433">0.004*M215</f>
        <v>-8.9928316538762446E-4</v>
      </c>
      <c r="V215" s="29">
        <f t="shared" si="411"/>
        <v>5.0000000000000001E-4</v>
      </c>
      <c r="W215" s="23">
        <f>VLOOKUP($D215,Uncertainties!$B$35:$D$41,2,FALSE)</f>
        <v>5.0000000000000044E-3</v>
      </c>
      <c r="X215" s="23"/>
      <c r="Y215" s="24">
        <f t="shared" ref="Y215:Y221" si="434">I215*aux_CT_ratio</f>
        <v>-1.7447582158035978E-5</v>
      </c>
      <c r="Z215" s="23">
        <f t="shared" ref="Z215:Z221" si="435">SQRT(SUMSQ(P215:Y215))</f>
        <v>2.4827838330015763E-2</v>
      </c>
      <c r="AA215" s="25">
        <f t="shared" ref="AA215:AA221" si="436">DoF_A(P215:Y215,$P$7:$Y$7)</f>
        <v>6.849248431948185</v>
      </c>
      <c r="AB215" s="26">
        <f t="shared" ref="AB215:AB221" si="437">CoverFactor(AA215)</f>
        <v>2.3555510708395948</v>
      </c>
      <c r="AC215" s="14"/>
      <c r="AD215" s="635">
        <f>VLOOKUP(B215,TwoStageCT!A$10:H$72,7,FALSE)/10000</f>
        <v>4.6788986298833412E-6</v>
      </c>
      <c r="AE215" s="366">
        <f>IF(ABS(VLOOKUP($A215,'5 A data'!$A$5:$U$1148,6,FALSE))&lt;4.5,IF(ABS(VLOOKUP($A215,'5 A data'!$A$5:$U$1148,6,FALSE))&lt;1.25,0.0008,0.002),0.004)*VLOOKUP($A215,'5 A data'!$A$5:$U$1148,7,FALSE)*25*RADIANS(1/60)*100</f>
        <v>2.9088820866572159E-3</v>
      </c>
      <c r="AF215" s="23">
        <f t="shared" ref="AF215:AF221" si="438">current_coef*(J215-J216)*IF(J216=0,0,1)</f>
        <v>1.9198621771937631E-2</v>
      </c>
      <c r="AG215" s="29">
        <f t="shared" ref="AG215:AG221" si="439">0.001*N215</f>
        <v>3.9899268441763647E-4</v>
      </c>
      <c r="AH215" s="4">
        <f>BurdenUnc*L207</f>
        <v>3.5197473248552297E-2</v>
      </c>
      <c r="AI215" s="4">
        <f t="shared" ref="AI215:AI221" si="440">0.004*N215</f>
        <v>1.5959707376705459E-3</v>
      </c>
      <c r="AJ215" s="4">
        <f t="shared" si="418"/>
        <v>5.0000000000000001E-4</v>
      </c>
      <c r="AK215" s="21">
        <f>VLOOKUP($D215,Uncertainties!$B$35:$D$41,3,FALSE)</f>
        <v>-1.1635528346628732E-2</v>
      </c>
      <c r="AL215" s="21"/>
      <c r="AM215" s="369">
        <f>SQRT((VLOOKUP($A215,'5 A data'!$A$5:$U$1148,7,FALSE)*mutual_ind)^2+(aux_CT_phase*J215)^2)</f>
        <v>1.7052130627972079E-3</v>
      </c>
      <c r="AN215" s="29">
        <f t="shared" ref="AN215:AN221" si="441">SQRT(SUMSQ(AD215:AM215))</f>
        <v>4.1918497195904986E-2</v>
      </c>
      <c r="AO215" s="14">
        <f t="shared" ref="AO215:AO221" si="442">DoF_A(AD215:AM215,$AD$7:$AM$7)</f>
        <v>9.1999794931777981</v>
      </c>
      <c r="AP215" s="27">
        <f t="shared" ref="AP215:AP221" si="443">CoverFactor(AO215)</f>
        <v>2.2419882510079518</v>
      </c>
      <c r="AS215" s="27">
        <f>VLOOKUP($B215,TwoStageCT!$A$10:$H$72,5,FALSE)</f>
        <v>26.31606241070681</v>
      </c>
      <c r="AT215" s="27">
        <f>VLOOKUP($B215,TwoStageCT!$A$10:$H$72,8,FALSE)</f>
        <v>9.9413455012810044</v>
      </c>
    </row>
    <row r="216" spans="1:46" x14ac:dyDescent="0.2">
      <c r="A216" s="409">
        <v>324</v>
      </c>
      <c r="B216" s="5" t="str">
        <f>B205&amp;D216</f>
        <v>120/20010</v>
      </c>
      <c r="C216" s="19">
        <f>VLOOKUP($A216,'5 A data'!$A$5:$U$650,3,FALSE)</f>
        <v>2.1000057980615688E-2</v>
      </c>
      <c r="D216" s="163">
        <f>ROUND(VLOOKUP($A216,'5 A data'!$A$5:$U$650,9,FALSE)/10,0)*10</f>
        <v>10</v>
      </c>
      <c r="E216" s="23">
        <f t="shared" si="422"/>
        <v>0.99936709902044762</v>
      </c>
      <c r="F216" s="23">
        <f t="shared" si="423"/>
        <v>1.0011822386327505</v>
      </c>
      <c r="G216" s="486">
        <f>VLOOKUP(B216,TwoStageCT!A$10:H$72,3,FALSE)/10000</f>
        <v>3.4690340839935311E-5</v>
      </c>
      <c r="H216" s="486">
        <f>VLOOKUP(B216,TwoStageCT!A$10:H$72,6,FALSE)/10000</f>
        <v>2.6036797087866982E-6</v>
      </c>
      <c r="I216" s="19">
        <f>VLOOKUP($A216,'5 A data'!$A$5:$U$650,10,FALSE)</f>
        <v>-0.184</v>
      </c>
      <c r="J216" s="32">
        <f>VLOOKUP($A216,'5 A data'!$A$5:$U$650,11,FALSE)</f>
        <v>0.30252373701235047</v>
      </c>
      <c r="K216" s="31"/>
      <c r="L216" s="31"/>
      <c r="M216" s="31">
        <f t="shared" ref="M216:M221" si="444">I216*E216+G216</f>
        <v>-0.18384885587892241</v>
      </c>
      <c r="N216" s="31">
        <f t="shared" ref="N216:N221" si="445">J216*F216+H216</f>
        <v>0.30288399594127929</v>
      </c>
      <c r="O216" s="20"/>
      <c r="P216" s="634">
        <f>VLOOKUP(B216,TwoStageCT!A$10:H$72,4,FALSE)/10000</f>
        <v>5.0170517941146892E-6</v>
      </c>
      <c r="Q216" s="58">
        <f>VLOOKUP($A216,'5 A data'!$A$5:$U$650,7,FALSE)*slidewire_res</f>
        <v>1E-3</v>
      </c>
      <c r="R216" s="347">
        <f t="shared" si="432"/>
        <v>-5.3999999999999994E-3</v>
      </c>
      <c r="S216" s="4">
        <v>0</v>
      </c>
      <c r="T216" s="4">
        <f t="shared" ref="T216:T221" si="446">BurdenUnc*K208</f>
        <v>-2.0900000000000002E-2</v>
      </c>
      <c r="U216" s="29">
        <f t="shared" si="433"/>
        <v>-7.3539542351568966E-4</v>
      </c>
      <c r="V216" s="29">
        <f t="shared" si="411"/>
        <v>5.0000000000000001E-4</v>
      </c>
      <c r="W216" s="23">
        <f>VLOOKUP($D216,Uncertainties!$B$35:$D$41,2,FALSE)</f>
        <v>2.5000000000000022E-3</v>
      </c>
      <c r="X216" s="23"/>
      <c r="Y216" s="24">
        <f t="shared" si="434"/>
        <v>-1.4268244964793866E-5</v>
      </c>
      <c r="Z216" s="23">
        <f t="shared" si="435"/>
        <v>2.1771794486962967E-2</v>
      </c>
      <c r="AA216" s="25">
        <f t="shared" si="436"/>
        <v>5.861276014214476</v>
      </c>
      <c r="AB216" s="26">
        <f t="shared" si="437"/>
        <v>2.437006265589023</v>
      </c>
      <c r="AC216" s="14"/>
      <c r="AD216" s="635">
        <f>VLOOKUP(B216,TwoStageCT!A$10:H$72,7,FALSE)/10000</f>
        <v>2.600738521505678E-6</v>
      </c>
      <c r="AE216" s="366">
        <f>IF(ABS(VLOOKUP($A216,'5 A data'!$A$5:$U$1148,6,FALSE))&lt;4.5,IF(ABS(VLOOKUP($A216,'5 A data'!$A$5:$U$1148,6,FALSE))&lt;1.25,0.0008,0.002),0.004)*VLOOKUP($A216,'5 A data'!$A$5:$U$1148,7,FALSE)*25*RADIANS(1/60)*100</f>
        <v>2.9088820866572159E-3</v>
      </c>
      <c r="AF216" s="23">
        <f t="shared" si="438"/>
        <v>1.1635528346628865E-2</v>
      </c>
      <c r="AG216" s="29">
        <f t="shared" si="439"/>
        <v>3.0288399594127931E-4</v>
      </c>
      <c r="AH216" s="4">
        <f t="shared" ref="AH216:AH221" si="447">BurdenUnc*L208</f>
        <v>3.257947937056082E-2</v>
      </c>
      <c r="AI216" s="4">
        <f t="shared" si="440"/>
        <v>1.2115359837651172E-3</v>
      </c>
      <c r="AJ216" s="4">
        <f t="shared" si="418"/>
        <v>5.0000000000000001E-4</v>
      </c>
      <c r="AK216" s="21">
        <f>VLOOKUP($D216,Uncertainties!$B$35:$D$41,3,FALSE)</f>
        <v>4.363323129985941E-3</v>
      </c>
      <c r="AL216" s="21"/>
      <c r="AM216" s="369">
        <f>SQRT((VLOOKUP($A216,'5 A data'!$A$5:$U$1148,7,FALSE)*mutual_ind)^2+(aux_CT_phase*J216)^2)</f>
        <v>1.7031016735255E-3</v>
      </c>
      <c r="AN216" s="29">
        <f t="shared" si="441"/>
        <v>3.505735728662257E-2</v>
      </c>
      <c r="AO216" s="14">
        <f t="shared" si="442"/>
        <v>6.5950056589695993</v>
      </c>
      <c r="AP216" s="27">
        <f t="shared" si="443"/>
        <v>2.3736894340924959</v>
      </c>
      <c r="AS216" s="27">
        <f>VLOOKUP($B216,TwoStageCT!$A$10:$H$72,5,FALSE)</f>
        <v>38.265350164989712</v>
      </c>
      <c r="AT216" s="27">
        <f>VLOOKUP($B216,TwoStageCT!$A$10:$H$72,8,FALSE)</f>
        <v>16.586629386739094</v>
      </c>
    </row>
    <row r="217" spans="1:46" x14ac:dyDescent="0.2">
      <c r="A217" s="409">
        <v>325</v>
      </c>
      <c r="B217" s="5" t="str">
        <f>B205&amp;D217</f>
        <v>120/20020</v>
      </c>
      <c r="C217" s="19">
        <f>VLOOKUP($A217,'5 A data'!$A$5:$U$650,3,FALSE)</f>
        <v>2.1000057980615688E-2</v>
      </c>
      <c r="D217" s="163">
        <f>ROUND(VLOOKUP($A217,'5 A data'!$A$5:$U$650,9,FALSE)/10,0)*10</f>
        <v>20</v>
      </c>
      <c r="E217" s="23">
        <f t="shared" si="422"/>
        <v>0.99936709902044762</v>
      </c>
      <c r="F217" s="23">
        <f t="shared" si="423"/>
        <v>1.0011822386327505</v>
      </c>
      <c r="G217" s="486">
        <f>VLOOKUP(B217,TwoStageCT!A$10:H$72,3,FALSE)/10000</f>
        <v>3.1280516301103777E-5</v>
      </c>
      <c r="H217" s="486">
        <f>VLOOKUP(B217,TwoStageCT!A$10:H$72,6,FALSE)/10000</f>
        <v>4.5493238991726806E-6</v>
      </c>
      <c r="I217" s="19">
        <f>VLOOKUP($A217,'5 A data'!$A$5:$U$650,10,FALSE)</f>
        <v>-0.157</v>
      </c>
      <c r="J217" s="32">
        <f>VLOOKUP($A217,'5 A data'!$A$5:$U$650,11,FALSE)</f>
        <v>0.24434609527920614</v>
      </c>
      <c r="K217" s="31"/>
      <c r="L217" s="31"/>
      <c r="M217" s="31">
        <f t="shared" si="444"/>
        <v>-0.15686935402990917</v>
      </c>
      <c r="N217" s="31">
        <f t="shared" si="445"/>
        <v>0.24463951999670613</v>
      </c>
      <c r="O217" s="20"/>
      <c r="P217" s="634">
        <f>VLOOKUP(B217,TwoStageCT!A$10:H$72,4,FALSE)/10000</f>
        <v>4.17832023036102E-6</v>
      </c>
      <c r="Q217" s="58">
        <f>VLOOKUP($A217,'5 A data'!$A$5:$U$650,7,FALSE)*slidewire_res</f>
        <v>1E-3</v>
      </c>
      <c r="R217" s="347">
        <f t="shared" si="432"/>
        <v>-3.5999999999999977E-3</v>
      </c>
      <c r="S217" s="4">
        <v>0</v>
      </c>
      <c r="T217" s="4">
        <f t="shared" si="446"/>
        <v>-1.9550000000000001E-2</v>
      </c>
      <c r="U217" s="29">
        <f t="shared" si="433"/>
        <v>-6.2747741611963667E-4</v>
      </c>
      <c r="V217" s="29">
        <f t="shared" si="411"/>
        <v>5.0000000000000001E-4</v>
      </c>
      <c r="W217" s="23">
        <f>VLOOKUP($D217,Uncertainties!$B$35:$D$41,2,FALSE)</f>
        <v>-1.0000000000000009E-3</v>
      </c>
      <c r="X217" s="23"/>
      <c r="Y217" s="24">
        <f t="shared" si="434"/>
        <v>-1.2174535105829549E-5</v>
      </c>
      <c r="Z217" s="23">
        <f t="shared" si="435"/>
        <v>1.9945084446685232E-2</v>
      </c>
      <c r="AA217" s="25">
        <f t="shared" si="436"/>
        <v>5.4103156815188935</v>
      </c>
      <c r="AB217" s="26">
        <f t="shared" si="437"/>
        <v>2.4867432835348753</v>
      </c>
      <c r="AC217" s="14"/>
      <c r="AD217" s="635">
        <f>VLOOKUP(B217,TwoStageCT!A$10:H$72,7,FALSE)/10000</f>
        <v>1.9770475075939077E-6</v>
      </c>
      <c r="AE217" s="366">
        <f>IF(ABS(VLOOKUP($A217,'5 A data'!$A$5:$U$1148,6,FALSE))&lt;4.5,IF(ABS(VLOOKUP($A217,'5 A data'!$A$5:$U$1148,6,FALSE))&lt;1.25,0.0008,0.002),0.004)*VLOOKUP($A217,'5 A data'!$A$5:$U$1148,7,FALSE)*25*RADIANS(1/60)*100</f>
        <v>2.9088820866572159E-3</v>
      </c>
      <c r="AF217" s="23">
        <f t="shared" si="438"/>
        <v>7.5630934253087595E-3</v>
      </c>
      <c r="AG217" s="29">
        <f t="shared" si="439"/>
        <v>2.4463951999670612E-4</v>
      </c>
      <c r="AH217" s="4">
        <f t="shared" si="447"/>
        <v>2.9088820866572163E-2</v>
      </c>
      <c r="AI217" s="4">
        <f t="shared" si="440"/>
        <v>9.7855807998682449E-4</v>
      </c>
      <c r="AJ217" s="4">
        <f t="shared" si="418"/>
        <v>5.0000000000000001E-4</v>
      </c>
      <c r="AK217" s="21">
        <f>VLOOKUP($D217,Uncertainties!$B$35:$D$41,3,FALSE)</f>
        <v>-1.454441043328647E-3</v>
      </c>
      <c r="AL217" s="21"/>
      <c r="AM217" s="369">
        <f>SQRT((VLOOKUP($A217,'5 A data'!$A$5:$U$1148,7,FALSE)*mutual_ind)^2+(aux_CT_phase*J217)^2)</f>
        <v>1.7021025442081081E-3</v>
      </c>
      <c r="AN217" s="29">
        <f t="shared" si="441"/>
        <v>3.0300189053872835E-2</v>
      </c>
      <c r="AO217" s="14">
        <f t="shared" si="442"/>
        <v>5.8589098586797226</v>
      </c>
      <c r="AP217" s="27">
        <f t="shared" si="443"/>
        <v>2.4372423683564453</v>
      </c>
      <c r="AS217" s="27">
        <f>VLOOKUP($B217,TwoStageCT!$A$10:$H$72,5,FALSE)</f>
        <v>36.657700403051521</v>
      </c>
      <c r="AT217" s="27">
        <f>VLOOKUP($B217,TwoStageCT!$A$10:$H$72,8,FALSE)</f>
        <v>53.09445811850042</v>
      </c>
    </row>
    <row r="218" spans="1:46" x14ac:dyDescent="0.2">
      <c r="A218" s="409">
        <v>326</v>
      </c>
      <c r="B218" s="5" t="str">
        <f>B205&amp;D218</f>
        <v>120/20040</v>
      </c>
      <c r="C218" s="19">
        <f>VLOOKUP($A218,'5 A data'!$A$5:$U$650,3,FALSE)</f>
        <v>2.1000057980615688E-2</v>
      </c>
      <c r="D218" s="163">
        <f>ROUND(VLOOKUP($A218,'5 A data'!$A$5:$U$650,9,FALSE)/10,0)*10</f>
        <v>40</v>
      </c>
      <c r="E218" s="23">
        <f t="shared" si="422"/>
        <v>0.99936709902044762</v>
      </c>
      <c r="F218" s="23">
        <f t="shared" si="423"/>
        <v>1.0011822386327505</v>
      </c>
      <c r="G218" s="486">
        <f>VLOOKUP(B218,TwoStageCT!A$10:H$72,3,FALSE)/10000</f>
        <v>2.5200167333853628E-5</v>
      </c>
      <c r="H218" s="486">
        <f>VLOOKUP(B218,TwoStageCT!A$10:H$72,6,FALSE)/10000</f>
        <v>5.7416420558101514E-6</v>
      </c>
      <c r="I218" s="19">
        <f>VLOOKUP($A218,'5 A data'!$A$5:$U$650,10,FALSE)</f>
        <v>-0.13900000000000001</v>
      </c>
      <c r="J218" s="32">
        <f>VLOOKUP($A218,'5 A data'!$A$5:$U$650,11,FALSE)</f>
        <v>0.20653062815266235</v>
      </c>
      <c r="K218" s="31"/>
      <c r="L218" s="31"/>
      <c r="M218" s="31">
        <f t="shared" si="444"/>
        <v>-0.13888682659650839</v>
      </c>
      <c r="N218" s="31">
        <f t="shared" si="445"/>
        <v>0.20678053828216644</v>
      </c>
      <c r="O218" s="20"/>
      <c r="P218" s="634">
        <f>VLOOKUP(B218,TwoStageCT!A$10:H$72,4,FALSE)/10000</f>
        <v>3.3964590328801363E-6</v>
      </c>
      <c r="Q218" s="58">
        <f>VLOOKUP($A218,'5 A data'!$A$5:$U$650,7,FALSE)*slidewire_res</f>
        <v>1E-3</v>
      </c>
      <c r="R218" s="347">
        <f t="shared" si="432"/>
        <v>-1.6000000000000016E-3</v>
      </c>
      <c r="S218" s="4">
        <v>0</v>
      </c>
      <c r="T218" s="4">
        <f t="shared" si="446"/>
        <v>-1.8550000000000001E-2</v>
      </c>
      <c r="U218" s="29">
        <f t="shared" si="433"/>
        <v>-5.5554730638603361E-4</v>
      </c>
      <c r="V218" s="29">
        <f t="shared" si="411"/>
        <v>5.0000000000000001E-4</v>
      </c>
      <c r="W218" s="23">
        <f>VLOOKUP($D218,Uncertainties!$B$35:$D$41,2,FALSE)</f>
        <v>-1.0000000000000009E-3</v>
      </c>
      <c r="X218" s="23"/>
      <c r="Y218" s="24">
        <f t="shared" si="434"/>
        <v>-1.0778728533186673E-5</v>
      </c>
      <c r="Z218" s="23">
        <f t="shared" si="435"/>
        <v>1.8687462656191599E-2</v>
      </c>
      <c r="AA218" s="25">
        <f t="shared" si="436"/>
        <v>5.1495105203060021</v>
      </c>
      <c r="AB218" s="26">
        <f t="shared" si="437"/>
        <v>2.520625852817322</v>
      </c>
      <c r="AC218" s="14"/>
      <c r="AD218" s="635">
        <f>VLOOKUP(B218,TwoStageCT!A$10:H$72,7,FALSE)/10000</f>
        <v>1.6849048737447556E-6</v>
      </c>
      <c r="AE218" s="366">
        <f>IF(ABS(VLOOKUP($A218,'5 A data'!$A$5:$U$1148,6,FALSE))&lt;4.5,IF(ABS(VLOOKUP($A218,'5 A data'!$A$5:$U$1148,6,FALSE))&lt;1.25,0.0008,0.002),0.004)*VLOOKUP($A218,'5 A data'!$A$5:$U$1148,7,FALSE)*25*RADIANS(1/60)*100</f>
        <v>2.9088820866572159E-3</v>
      </c>
      <c r="AF218" s="23">
        <f t="shared" si="438"/>
        <v>2.908882086657222E-3</v>
      </c>
      <c r="AG218" s="29">
        <f t="shared" si="439"/>
        <v>2.0678053828216645E-4</v>
      </c>
      <c r="AH218" s="4">
        <f t="shared" si="447"/>
        <v>2.5743606466916365E-2</v>
      </c>
      <c r="AI218" s="4">
        <f t="shared" si="440"/>
        <v>8.2712215312866579E-4</v>
      </c>
      <c r="AJ218" s="4">
        <f t="shared" si="418"/>
        <v>5.0000000000000001E-4</v>
      </c>
      <c r="AK218" s="21">
        <f>VLOOKUP($D218,Uncertainties!$B$35:$D$41,3,FALSE)</f>
        <v>-2.908882086657183E-3</v>
      </c>
      <c r="AL218" s="21"/>
      <c r="AM218" s="369">
        <f>SQRT((VLOOKUP($A218,'5 A data'!$A$5:$U$1148,7,FALSE)*mutual_ind)^2+(aux_CT_phase*J218)^2)</f>
        <v>1.7015668651116978E-3</v>
      </c>
      <c r="AN218" s="29">
        <f t="shared" si="441"/>
        <v>2.6305708140786529E-2</v>
      </c>
      <c r="AO218" s="14">
        <f t="shared" si="442"/>
        <v>5.4489616595406671</v>
      </c>
      <c r="AP218" s="27">
        <f t="shared" si="443"/>
        <v>2.4820721630183162</v>
      </c>
      <c r="AS218" s="27">
        <f>VLOOKUP($B218,TwoStageCT!$A$10:$H$72,5,FALSE)</f>
        <v>38.659909732018328</v>
      </c>
      <c r="AT218" s="27">
        <f>VLOOKUP($B218,TwoStageCT!$A$10:$H$72,8,FALSE)</f>
        <v>52.499330597885681</v>
      </c>
    </row>
    <row r="219" spans="1:46" x14ac:dyDescent="0.2">
      <c r="A219" s="409">
        <v>327</v>
      </c>
      <c r="B219" s="5" t="str">
        <f>B205&amp;D219</f>
        <v>120/20060</v>
      </c>
      <c r="C219" s="19">
        <f>VLOOKUP($A219,'5 A data'!$A$5:$U$650,3,FALSE)</f>
        <v>2.1000057980615688E-2</v>
      </c>
      <c r="D219" s="163">
        <f>ROUND(VLOOKUP($A219,'5 A data'!$A$5:$U$650,9,FALSE)/10,0)*10</f>
        <v>60</v>
      </c>
      <c r="E219" s="23">
        <f t="shared" si="422"/>
        <v>0.99936709902044762</v>
      </c>
      <c r="F219" s="23">
        <f t="shared" si="423"/>
        <v>1.0011822386327505</v>
      </c>
      <c r="G219" s="486">
        <f>VLOOKUP(B219,TwoStageCT!A$10:H$72,3,FALSE)/10000</f>
        <v>2.195627602528684E-5</v>
      </c>
      <c r="H219" s="486">
        <f>VLOOKUP(B219,TwoStageCT!A$10:H$72,6,FALSE)/10000</f>
        <v>5.5507836163637805E-6</v>
      </c>
      <c r="I219" s="19">
        <f>VLOOKUP($A219,'5 A data'!$A$5:$U$650,10,FALSE)</f>
        <v>-0.13100000000000001</v>
      </c>
      <c r="J219" s="32">
        <f>VLOOKUP($A219,'5 A data'!$A$5:$U$650,11,FALSE)</f>
        <v>0.19198621771937624</v>
      </c>
      <c r="K219" s="31"/>
      <c r="L219" s="31"/>
      <c r="M219" s="31">
        <f t="shared" si="444"/>
        <v>-0.13089513369565337</v>
      </c>
      <c r="N219" s="31">
        <f t="shared" si="445"/>
        <v>0.19221874202653608</v>
      </c>
      <c r="O219" s="20"/>
      <c r="P219" s="634">
        <f>VLOOKUP(B219,TwoStageCT!A$10:H$72,4,FALSE)/10000</f>
        <v>2.9709098248278708E-6</v>
      </c>
      <c r="Q219" s="58">
        <f>VLOOKUP($A219,'5 A data'!$A$5:$U$650,7,FALSE)*slidewire_res</f>
        <v>1E-3</v>
      </c>
      <c r="R219" s="347">
        <f t="shared" si="432"/>
        <v>-1.8000000000000017E-3</v>
      </c>
      <c r="S219" s="4">
        <v>0</v>
      </c>
      <c r="T219" s="4">
        <f t="shared" si="446"/>
        <v>-1.8350000000000002E-2</v>
      </c>
      <c r="U219" s="29">
        <f t="shared" si="433"/>
        <v>-5.2358053478261343E-4</v>
      </c>
      <c r="V219" s="29">
        <f t="shared" si="411"/>
        <v>5.0000000000000001E-4</v>
      </c>
      <c r="W219" s="23">
        <f>VLOOKUP($D219,Uncertainties!$B$35:$D$41,2,FALSE)</f>
        <v>-1.0000000000000009E-3</v>
      </c>
      <c r="X219" s="23"/>
      <c r="Y219" s="24">
        <f t="shared" si="434"/>
        <v>-1.0158370056456503E-5</v>
      </c>
      <c r="Z219" s="23">
        <f t="shared" si="435"/>
        <v>1.8506397504516939E-2</v>
      </c>
      <c r="AA219" s="25">
        <f t="shared" si="436"/>
        <v>5.1721031556759298</v>
      </c>
      <c r="AB219" s="26">
        <f t="shared" si="437"/>
        <v>2.5175170134819886</v>
      </c>
      <c r="AC219" s="14"/>
      <c r="AD219" s="635">
        <f>VLOOKUP(B219,TwoStageCT!A$10:H$72,7,FALSE)/10000</f>
        <v>1.6017059195029239E-6</v>
      </c>
      <c r="AE219" s="366">
        <f>IF(ABS(VLOOKUP($A219,'5 A data'!$A$5:$U$1148,6,FALSE))&lt;4.5,IF(ABS(VLOOKUP($A219,'5 A data'!$A$5:$U$1148,6,FALSE))&lt;1.25,0.0008,0.002),0.004)*VLOOKUP($A219,'5 A data'!$A$5:$U$1148,7,FALSE)*25*RADIANS(1/60)*100</f>
        <v>2.9088820866572159E-3</v>
      </c>
      <c r="AF219" s="23">
        <f t="shared" si="438"/>
        <v>2.9088820866572163E-3</v>
      </c>
      <c r="AG219" s="29">
        <f t="shared" si="439"/>
        <v>1.9221874202653608E-4</v>
      </c>
      <c r="AH219" s="4">
        <f t="shared" si="447"/>
        <v>2.2689280275926288E-2</v>
      </c>
      <c r="AI219" s="4">
        <f t="shared" si="440"/>
        <v>7.6887496810614431E-4</v>
      </c>
      <c r="AJ219" s="4">
        <f t="shared" si="418"/>
        <v>5.0000000000000001E-4</v>
      </c>
      <c r="AK219" s="21">
        <f>VLOOKUP($D219,Uncertainties!$B$35:$D$41,3,FALSE)</f>
        <v>-2.908882086657183E-3</v>
      </c>
      <c r="AL219" s="21"/>
      <c r="AM219" s="369">
        <f>SQRT((VLOOKUP($A219,'5 A data'!$A$5:$U$1148,7,FALSE)*mutual_ind)^2+(aux_CT_phase*J219)^2)</f>
        <v>1.7013847223902342E-3</v>
      </c>
      <c r="AN219" s="29">
        <f t="shared" si="441"/>
        <v>2.3322972660494511E-2</v>
      </c>
      <c r="AO219" s="14">
        <f t="shared" si="442"/>
        <v>5.5786207741454792</v>
      </c>
      <c r="AP219" s="27">
        <f t="shared" si="443"/>
        <v>2.4669958671042229</v>
      </c>
      <c r="AS219" s="27">
        <f>VLOOKUP($B219,TwoStageCT!$A$10:$H$72,5,FALSE)</f>
        <v>42.291164682130272</v>
      </c>
      <c r="AT219" s="27">
        <f>VLOOKUP($B219,TwoStageCT!$A$10:$H$72,8,FALSE)</f>
        <v>48.978667479860043</v>
      </c>
    </row>
    <row r="220" spans="1:46" x14ac:dyDescent="0.2">
      <c r="A220" s="409">
        <v>328</v>
      </c>
      <c r="B220" s="5" t="str">
        <f>B205&amp;D220</f>
        <v>120/200100</v>
      </c>
      <c r="C220" s="19">
        <f>VLOOKUP($A220,'5 A data'!$A$5:$U$650,3,FALSE)</f>
        <v>2.1000057980615688E-2</v>
      </c>
      <c r="D220" s="164">
        <f>ROUND(VLOOKUP($A220,'5 A data'!$A$5:$U$650,9,FALSE)/10,0)*10</f>
        <v>100</v>
      </c>
      <c r="E220" s="23">
        <f t="shared" si="422"/>
        <v>0.99936709902044762</v>
      </c>
      <c r="F220" s="23">
        <f t="shared" si="423"/>
        <v>1.0011822386327505</v>
      </c>
      <c r="G220" s="486">
        <f>VLOOKUP(B220,TwoStageCT!A$10:H$72,3,FALSE)/10000</f>
        <v>1.6881396356939836E-5</v>
      </c>
      <c r="H220" s="486">
        <f>VLOOKUP(B220,TwoStageCT!A$10:H$72,6,FALSE)/10000</f>
        <v>7.3590724152435355E-6</v>
      </c>
      <c r="I220" s="19">
        <f>VLOOKUP($A220,'5 A data'!$A$5:$U$650,10,FALSE)</f>
        <v>-0.122</v>
      </c>
      <c r="J220" s="32">
        <f>VLOOKUP($A220,'5 A data'!$A$5:$U$650,11,FALSE)</f>
        <v>0.17744180728609016</v>
      </c>
      <c r="K220" s="31"/>
      <c r="L220" s="31"/>
      <c r="M220" s="31">
        <f t="shared" si="444"/>
        <v>-0.12190590468413766</v>
      </c>
      <c r="N220" s="31">
        <f t="shared" si="445"/>
        <v>0.1776589449181441</v>
      </c>
      <c r="O220" s="20"/>
      <c r="P220" s="634">
        <f>VLOOKUP(B220,TwoStageCT!A$10:H$72,4,FALSE)/10000</f>
        <v>2.4131313466023584E-6</v>
      </c>
      <c r="Q220" s="58">
        <f>VLOOKUP($A220,'5 A data'!$A$5:$U$650,7,FALSE)*slidewire_res</f>
        <v>1E-3</v>
      </c>
      <c r="R220" s="347">
        <f t="shared" si="432"/>
        <v>-4.000000000000004E-4</v>
      </c>
      <c r="S220" s="4">
        <v>0</v>
      </c>
      <c r="T220" s="4">
        <f t="shared" si="446"/>
        <v>-1.78E-2</v>
      </c>
      <c r="U220" s="29">
        <f t="shared" si="433"/>
        <v>-4.8762361873655062E-4</v>
      </c>
      <c r="V220" s="29">
        <f t="shared" si="411"/>
        <v>5.0000000000000001E-4</v>
      </c>
      <c r="W220" s="23">
        <f>VLOOKUP($D220,Uncertainties!$B$35:$D$41,2,FALSE)</f>
        <v>1.999999999999974E-3</v>
      </c>
      <c r="X220" s="23"/>
      <c r="Y220" s="24">
        <f t="shared" si="434"/>
        <v>-9.4604667701350635E-6</v>
      </c>
      <c r="Z220" s="23">
        <f t="shared" si="435"/>
        <v>1.795794732471348E-2</v>
      </c>
      <c r="AA220" s="25">
        <f t="shared" si="436"/>
        <v>5.1794557871642954</v>
      </c>
      <c r="AB220" s="26">
        <f t="shared" si="437"/>
        <v>2.5165127728435586</v>
      </c>
      <c r="AC220" s="14"/>
      <c r="AD220" s="635">
        <f>VLOOKUP(B220,TwoStageCT!A$10:H$72,7,FALSE)/10000</f>
        <v>1.6933288916776063E-6</v>
      </c>
      <c r="AE220" s="366">
        <f>IF(ABS(VLOOKUP($A220,'5 A data'!$A$5:$U$1148,6,FALSE))&lt;4.5,IF(ABS(VLOOKUP($A220,'5 A data'!$A$5:$U$1148,6,FALSE))&lt;1.25,0.0008,0.002),0.004)*VLOOKUP($A220,'5 A data'!$A$5:$U$1148,7,FALSE)*25*RADIANS(1/60)*100</f>
        <v>2.9088820866572159E-3</v>
      </c>
      <c r="AF220" s="23">
        <f t="shared" si="438"/>
        <v>5.8177641733144219E-4</v>
      </c>
      <c r="AG220" s="29">
        <f t="shared" si="439"/>
        <v>1.7765894491814411E-4</v>
      </c>
      <c r="AH220" s="4">
        <f t="shared" si="447"/>
        <v>1.7598736624276159E-2</v>
      </c>
      <c r="AI220" s="4">
        <f t="shared" si="440"/>
        <v>7.1063577967257644E-4</v>
      </c>
      <c r="AJ220" s="4">
        <f t="shared" si="418"/>
        <v>5.0000000000000001E-4</v>
      </c>
      <c r="AK220" s="21">
        <f>VLOOKUP($D220,Uncertainties!$B$35:$D$41,3,FALSE)</f>
        <v>-2.9088820866572385E-3</v>
      </c>
      <c r="AL220" s="21"/>
      <c r="AM220" s="369">
        <f>SQRT((VLOOKUP($A220,'5 A data'!$A$5:$U$1148,7,FALSE)*mutual_ind)^2+(aux_CT_phase*J220)^2)</f>
        <v>1.7012158573398307E-3</v>
      </c>
      <c r="AN220" s="29">
        <f t="shared" si="441"/>
        <v>1.8184000900001079E-2</v>
      </c>
      <c r="AO220" s="14">
        <f t="shared" si="442"/>
        <v>5.6925700484814747</v>
      </c>
      <c r="AP220" s="27">
        <f t="shared" si="443"/>
        <v>2.454456828057817</v>
      </c>
      <c r="AS220" s="27">
        <f>VLOOKUP($B220,TwoStageCT!$A$10:$H$72,5,FALSE)</f>
        <v>59.567261398457461</v>
      </c>
      <c r="AT220" s="27">
        <f>VLOOKUP($B220,TwoStageCT!$A$10:$H$72,8,FALSE)</f>
        <v>45.732629829898706</v>
      </c>
    </row>
    <row r="221" spans="1:46" x14ac:dyDescent="0.2">
      <c r="A221" s="409">
        <v>329</v>
      </c>
      <c r="B221" s="5" t="str">
        <f>B205&amp;D221</f>
        <v>120/200120</v>
      </c>
      <c r="C221" s="19">
        <f>VLOOKUP($A221,'5 A data'!$A$5:$U$650,3,FALSE)</f>
        <v>2.1000057980615688E-2</v>
      </c>
      <c r="D221" s="164">
        <f>ROUND(VLOOKUP($A221,'5 A data'!$A$5:$U$650,9,FALSE)/10,0)*10</f>
        <v>120</v>
      </c>
      <c r="E221" s="23">
        <f t="shared" si="422"/>
        <v>0.99936709902044762</v>
      </c>
      <c r="F221" s="23">
        <f t="shared" si="423"/>
        <v>1.0011822386327505</v>
      </c>
      <c r="G221" s="486">
        <f>VLOOKUP(B221,TwoStageCT!A$10:H$72,3,FALSE)/10000</f>
        <v>1.5213305302217845E-5</v>
      </c>
      <c r="H221" s="486">
        <f>VLOOKUP(B221,TwoStageCT!A$10:H$72,6,FALSE)/10000</f>
        <v>7.5885012454326174E-6</v>
      </c>
      <c r="I221" s="19">
        <f>VLOOKUP($A221,'5 A data'!$A$5:$U$650,10,FALSE)</f>
        <v>-0.12</v>
      </c>
      <c r="J221" s="32">
        <f>VLOOKUP($A221,'5 A data'!$A$5:$U$650,11,FALSE)</f>
        <v>0.17453292519943295</v>
      </c>
      <c r="K221" s="31"/>
      <c r="L221" s="31"/>
      <c r="M221" s="31">
        <f t="shared" si="444"/>
        <v>-0.1199088385771515</v>
      </c>
      <c r="N221" s="31">
        <f t="shared" si="445"/>
        <v>0.17474685326753611</v>
      </c>
      <c r="O221" s="20"/>
      <c r="P221" s="634">
        <f>VLOOKUP(B221,TwoStageCT!A$10:H$72,4,FALSE)/10000</f>
        <v>2.2681305202526645E-6</v>
      </c>
      <c r="Q221" s="58">
        <f>VLOOKUP($A221,'5 A data'!$A$5:$U$650,7,FALSE)*slidewire_res</f>
        <v>1E-3</v>
      </c>
      <c r="R221" s="347">
        <f t="shared" si="432"/>
        <v>0</v>
      </c>
      <c r="S221" s="4">
        <v>0</v>
      </c>
      <c r="T221" s="4">
        <f t="shared" si="446"/>
        <v>-1.7200000000000003E-2</v>
      </c>
      <c r="U221" s="29">
        <f t="shared" si="433"/>
        <v>-4.7963535430860601E-4</v>
      </c>
      <c r="V221" s="29">
        <f t="shared" si="411"/>
        <v>5.0000000000000001E-4</v>
      </c>
      <c r="W221" s="23">
        <f>VLOOKUP($D221,Uncertainties!$B$35:$D$41,2,FALSE)</f>
        <v>-1.0000000000000009E-3</v>
      </c>
      <c r="X221" s="23"/>
      <c r="Y221" s="24">
        <f t="shared" si="434"/>
        <v>-9.3053771509525226E-6</v>
      </c>
      <c r="Z221" s="23">
        <f t="shared" si="435"/>
        <v>1.7271946671049063E-2</v>
      </c>
      <c r="AA221" s="25">
        <f t="shared" si="436"/>
        <v>5.0840972655950569</v>
      </c>
      <c r="AB221" s="26">
        <f t="shared" si="437"/>
        <v>2.5298281136224894</v>
      </c>
      <c r="AC221" s="14"/>
      <c r="AD221" s="635">
        <f>VLOOKUP(B221,TwoStageCT!A$10:H$72,7,FALSE)/10000</f>
        <v>1.7092397901526349E-6</v>
      </c>
      <c r="AE221" s="366">
        <f>IF(ABS(VLOOKUP($A221,'5 A data'!$A$5:$U$1148,6,FALSE))&lt;4.5,IF(ABS(VLOOKUP($A221,'5 A data'!$A$5:$U$1148,6,FALSE))&lt;1.25,0.0008,0.002),0.004)*VLOOKUP($A221,'5 A data'!$A$5:$U$1148,7,FALSE)*25*RADIANS(1/60)*100</f>
        <v>2.9088820866572159E-3</v>
      </c>
      <c r="AF221" s="23">
        <f t="shared" si="438"/>
        <v>0</v>
      </c>
      <c r="AG221" s="29">
        <f t="shared" si="439"/>
        <v>1.7474685326753612E-4</v>
      </c>
      <c r="AH221" s="4">
        <f t="shared" si="447"/>
        <v>1.5417075059283247E-2</v>
      </c>
      <c r="AI221" s="4">
        <f t="shared" si="440"/>
        <v>6.9898741307014448E-4</v>
      </c>
      <c r="AJ221" s="4">
        <f t="shared" si="418"/>
        <v>5.0000000000000001E-4</v>
      </c>
      <c r="AK221" s="21">
        <f>VLOOKUP($D221,Uncertainties!$B$35:$D$41,3,FALSE)</f>
        <v>1.4544410433285915E-3</v>
      </c>
      <c r="AL221" s="21"/>
      <c r="AM221" s="369">
        <f>SQRT((VLOOKUP($A221,'5 A data'!$A$5:$U$1148,7,FALSE)*mutual_ind)^2+(aux_CT_phase*J221)^2)</f>
        <v>1.7011836780036968E-3</v>
      </c>
      <c r="AN221" s="29">
        <f t="shared" si="441"/>
        <v>1.5872187808249113E-2</v>
      </c>
      <c r="AO221" s="14">
        <f t="shared" si="442"/>
        <v>5.6089144908825181</v>
      </c>
      <c r="AP221" s="27">
        <f t="shared" si="443"/>
        <v>2.4635997825998093</v>
      </c>
      <c r="AS221" s="27">
        <f>VLOOKUP($B221,TwoStageCT!$A$10:$H$72,5,FALSE)</f>
        <v>68.00069900375496</v>
      </c>
      <c r="AT221" s="27">
        <f>VLOOKUP($B221,TwoStageCT!$A$10:$H$72,8,FALSE)</f>
        <v>47.345132453902309</v>
      </c>
    </row>
    <row r="222" spans="1:46" x14ac:dyDescent="0.2">
      <c r="A222" s="409">
        <v>330</v>
      </c>
      <c r="AD222" s="250"/>
    </row>
    <row r="223" spans="1:46" x14ac:dyDescent="0.2">
      <c r="A223" s="409">
        <v>331</v>
      </c>
      <c r="B223" s="474" t="str">
        <f>MID(D223,FIND("AT,",D223,1)-4,3)&amp;"/"&amp;MID(D223,FIND("AT,",D223,1)+4,3)</f>
        <v>120/200</v>
      </c>
      <c r="C223" t="s">
        <v>113</v>
      </c>
      <c r="D223" s="59" t="str">
        <f>VLOOKUP($A223,'5 A data'!$A$5:$U$574,2,FALSE)</f>
        <v>200/5 Range, 1 turns @ 5VA burden, vs 120 AT, 200 range, 2 Stage CT</v>
      </c>
      <c r="P223" s="97"/>
      <c r="R223" s="42"/>
      <c r="Z223" s="29"/>
      <c r="AA223" s="25"/>
      <c r="AD223" s="250"/>
      <c r="AN223" s="29"/>
      <c r="AO223" s="14"/>
    </row>
    <row r="224" spans="1:46" x14ac:dyDescent="0.2">
      <c r="A224" s="409">
        <v>332</v>
      </c>
      <c r="C224" s="19"/>
      <c r="M224" s="638" t="s">
        <v>160</v>
      </c>
      <c r="N224" s="638"/>
      <c r="O224" s="19"/>
      <c r="P224" s="97"/>
      <c r="R224" s="42"/>
      <c r="Z224" s="29"/>
      <c r="AA224" s="25"/>
      <c r="AD224" s="250"/>
      <c r="AN224" s="29"/>
      <c r="AO224" s="14"/>
    </row>
    <row r="225" spans="1:46" x14ac:dyDescent="0.2">
      <c r="A225" s="409">
        <v>333</v>
      </c>
      <c r="B225" s="5" t="str">
        <f>B223&amp;D225</f>
        <v>120/2005</v>
      </c>
      <c r="C225" s="19">
        <f>VLOOKUP($A225,'5 A data'!$A$5:$U$574,3,FALSE)</f>
        <v>0.21600059637204713</v>
      </c>
      <c r="D225" s="19">
        <f>ROUND(VLOOKUP($A225,'5 A data'!$A$5:$U$650,9,FALSE),0)</f>
        <v>5</v>
      </c>
      <c r="E225" s="23">
        <f>TestSetRatioCor</f>
        <v>0.99936709902044762</v>
      </c>
      <c r="F225" s="23">
        <f>TestSetPhaseCor</f>
        <v>1.0011822386327505</v>
      </c>
      <c r="G225" s="486">
        <f>VLOOKUP(B225,TwoStageCT!A$10:H$72,3,FALSE)/10000</f>
        <v>3.6805932694608759E-5</v>
      </c>
      <c r="H225" s="486">
        <f>VLOOKUP(B225,TwoStageCT!A$10:H$72,6,FALSE)/10000</f>
        <v>4.6965346060309593E-6</v>
      </c>
      <c r="I225" s="19">
        <f>VLOOKUP($A225,'5 A data'!$A$5:$U$650,10,FALSE)</f>
        <v>-0.69399999999999995</v>
      </c>
      <c r="J225" s="32">
        <f>VLOOKUP($A225,'5 A data'!$A$5:$U$650,11,FALSE)</f>
        <v>1.0530153153699122</v>
      </c>
      <c r="K225" s="22">
        <f>I225-I233</f>
        <v>-0.46699999999999997</v>
      </c>
      <c r="L225" s="22">
        <f>J225-J233</f>
        <v>0.65886179262785949</v>
      </c>
      <c r="M225" s="22">
        <f>I225*E225+G225</f>
        <v>-0.69352396078749601</v>
      </c>
      <c r="N225" s="22">
        <f>J225*F225+H225</f>
        <v>1.0542649272912266</v>
      </c>
      <c r="O225" s="20"/>
      <c r="P225" s="634">
        <f>VLOOKUP(B225,TwoStageCT!A$10:H$72,4,FALSE)/10000</f>
        <v>6.4429594675743464E-6</v>
      </c>
      <c r="Q225" s="58">
        <f>VLOOKUP($A225,'5 A data'!$A$5:$U$650,7,FALSE)*slidewire_res</f>
        <v>2E-3</v>
      </c>
      <c r="R225" s="347">
        <f t="shared" ref="R225:R231" si="448">current_coef*(I225-I226)*IF(I226=0,0,1)</f>
        <v>-1.5199999999999991E-2</v>
      </c>
      <c r="S225" s="4">
        <v>0</v>
      </c>
      <c r="T225" s="21">
        <f>BurdenUnc*K225</f>
        <v>-2.3349999999999999E-2</v>
      </c>
      <c r="U225" s="29">
        <f>0.004*M225</f>
        <v>-2.7740958431499842E-3</v>
      </c>
      <c r="V225" s="29">
        <f t="shared" ref="V225:V239" si="449">earthing_Re</f>
        <v>5.0000000000000001E-4</v>
      </c>
      <c r="W225" s="23">
        <f>VLOOKUP($D225,Uncertainties!$B$35:$D$41,2,FALSE)</f>
        <v>5.0000000000000044E-3</v>
      </c>
      <c r="X225" s="23"/>
      <c r="Y225" s="24">
        <f t="shared" ref="Y225:Y231" si="450">I225*aux_CT_ratio</f>
        <v>-5.3816097856342083E-5</v>
      </c>
      <c r="Z225" s="23">
        <f t="shared" ref="Z225:Z231" si="451">SQRT(SUMSQ(P225:Y225))</f>
        <v>2.8516855461833392E-2</v>
      </c>
      <c r="AA225" s="25">
        <f t="shared" ref="AA225:AA231" si="452">DoF_A(P225:Y225,$P$7:$Y$7)</f>
        <v>9.4211441639483429</v>
      </c>
      <c r="AB225" s="26">
        <f t="shared" ref="AB225:AB231" si="453">CoverFactor(AA225)</f>
        <v>2.2346105847555555</v>
      </c>
      <c r="AC225" s="14"/>
      <c r="AD225" s="635">
        <f>VLOOKUP(B225,TwoStageCT!A$10:H$72,7,FALSE)/10000</f>
        <v>4.6788986298833412E-6</v>
      </c>
      <c r="AE225" s="366">
        <f>IF(ABS(VLOOKUP($A225,'5 A data'!$A$5:$U$1148,6,FALSE))&lt;4.5,IF(ABS(VLOOKUP($A225,'5 A data'!$A$5:$U$1148,6,FALSE))&lt;1.25,0.0008,0.002),0.004)*VLOOKUP($A225,'5 A data'!$A$5:$U$1148,7,FALSE)*25*RADIANS(1/60)*100</f>
        <v>5.8177641733144318E-3</v>
      </c>
      <c r="AF225" s="23">
        <f>current_coef*(J225-J226)*IF(J226=0,0,1)</f>
        <v>2.7925268031909291E-2</v>
      </c>
      <c r="AG225" s="29">
        <f t="shared" ref="AG225:AG231" si="454">0.001*N225</f>
        <v>1.0542649272912265E-3</v>
      </c>
      <c r="AH225" s="4">
        <f>BurdenUnc*L225</f>
        <v>3.2943089631392974E-2</v>
      </c>
      <c r="AI225" s="4">
        <f t="shared" ref="AI225:AI231" si="455">0.004*N225</f>
        <v>4.2170597091649061E-3</v>
      </c>
      <c r="AJ225" s="4">
        <f t="shared" ref="AJ225:AJ239" si="456">earthing_Im</f>
        <v>5.0000000000000001E-4</v>
      </c>
      <c r="AK225" s="21">
        <f>VLOOKUP($D225,Uncertainties!$B$35:$D$41,3,FALSE)</f>
        <v>-1.1635528346628732E-2</v>
      </c>
      <c r="AL225" s="21"/>
      <c r="AM225" s="369">
        <f>SQRT((VLOOKUP($A225,'5 A data'!$A$5:$U$1148,7,FALSE)*mutual_ind)^2+(aux_CT_phase*J225)^2)</f>
        <v>3.4178427484357612E-3</v>
      </c>
      <c r="AN225" s="29">
        <f t="shared" ref="AN225:AN231" si="457">SQRT(SUMSQ(AD225:AM225))</f>
        <v>4.5443661682023087E-2</v>
      </c>
      <c r="AO225" s="14">
        <f t="shared" ref="AO225:AO231" si="458">DoF_A(AD225:AM225,$AD$7:$AM$7)</f>
        <v>11.880756905414186</v>
      </c>
      <c r="AP225" s="27">
        <f t="shared" ref="AP225:AP231" si="459">CoverFactor(AO225)</f>
        <v>2.1729056525176875</v>
      </c>
      <c r="AS225" s="27">
        <f>VLOOKUP($B225,TwoStageCT!$A$10:$H$72,5,FALSE)</f>
        <v>26.31606241070681</v>
      </c>
      <c r="AT225" s="27">
        <f>VLOOKUP($B225,TwoStageCT!$A$10:$H$72,8,FALSE)</f>
        <v>9.9413455012810044</v>
      </c>
    </row>
    <row r="226" spans="1:46" x14ac:dyDescent="0.2">
      <c r="A226" s="409">
        <v>334</v>
      </c>
      <c r="B226" s="5" t="str">
        <f>B223&amp;D226</f>
        <v>120/20010</v>
      </c>
      <c r="C226" s="19">
        <f>VLOOKUP($A226,'5 A data'!$A$5:$U$650,3,FALSE)</f>
        <v>0.21600059637204713</v>
      </c>
      <c r="D226" s="163">
        <f>ROUND(VLOOKUP($A226,'5 A data'!$A$5:$U$650,9,FALSE)/10,0)*10</f>
        <v>10</v>
      </c>
      <c r="E226" s="23">
        <f t="shared" ref="E226:E239" si="460">TestSetRatioCor</f>
        <v>0.99936709902044762</v>
      </c>
      <c r="F226" s="23">
        <f t="shared" ref="F226:F239" si="461">TestSetPhaseCor</f>
        <v>1.0011822386327505</v>
      </c>
      <c r="G226" s="486">
        <f>VLOOKUP(B226,TwoStageCT!A$10:H$72,3,FALSE)/10000</f>
        <v>3.4690340839935311E-5</v>
      </c>
      <c r="H226" s="486">
        <f>VLOOKUP(B226,TwoStageCT!A$10:H$72,6,FALSE)/10000</f>
        <v>2.6036797087866982E-6</v>
      </c>
      <c r="I226" s="19">
        <f>VLOOKUP($A226,'5 A data'!$A$5:$U$650,10,FALSE)</f>
        <v>-0.61799999999999999</v>
      </c>
      <c r="J226" s="32">
        <f>VLOOKUP($A226,'5 A data'!$A$5:$U$650,11,FALSE)</f>
        <v>0.91338897521036577</v>
      </c>
      <c r="K226" s="22">
        <f t="shared" ref="K226:K231" si="462">I226-I234</f>
        <v>-0.42899999999999999</v>
      </c>
      <c r="L226" s="22">
        <f t="shared" ref="L226:L231" si="463">J226-J234</f>
        <v>0.6108652381980153</v>
      </c>
      <c r="M226" s="22">
        <f t="shared" ref="M226:M231" si="464">I226*E226+G226</f>
        <v>-0.61757417685379667</v>
      </c>
      <c r="N226" s="22">
        <f t="shared" ref="N226:N231" si="465">J226*F226+H226</f>
        <v>0.91447142262329661</v>
      </c>
      <c r="O226" s="20"/>
      <c r="P226" s="634">
        <f>VLOOKUP(B226,TwoStageCT!A$10:H$72,4,FALSE)/10000</f>
        <v>5.0170517941146892E-6</v>
      </c>
      <c r="Q226" s="58">
        <f>VLOOKUP($A226,'5 A data'!$A$5:$U$650,7,FALSE)*slidewire_res</f>
        <v>2E-3</v>
      </c>
      <c r="R226" s="347">
        <f t="shared" si="448"/>
        <v>-1.1799999999999989E-2</v>
      </c>
      <c r="S226" s="4">
        <v>0</v>
      </c>
      <c r="T226" s="21">
        <f t="shared" ref="T226:T231" si="466">BurdenUnc*K226</f>
        <v>-2.145E-2</v>
      </c>
      <c r="U226" s="29">
        <f t="shared" ref="U226:U231" si="467">0.004*M226</f>
        <v>-2.4702967074151866E-3</v>
      </c>
      <c r="V226" s="29">
        <f t="shared" si="449"/>
        <v>5.0000000000000001E-4</v>
      </c>
      <c r="W226" s="23">
        <f>VLOOKUP($D226,Uncertainties!$B$35:$D$41,2,FALSE)</f>
        <v>2.5000000000000022E-3</v>
      </c>
      <c r="X226" s="23"/>
      <c r="Y226" s="24">
        <f t="shared" si="450"/>
        <v>-4.7922692327405487E-5</v>
      </c>
      <c r="Z226" s="23">
        <f t="shared" si="451"/>
        <v>2.4818283332614179E-2</v>
      </c>
      <c r="AA226" s="25">
        <f t="shared" si="452"/>
        <v>8.2065600866681425</v>
      </c>
      <c r="AB226" s="26">
        <f t="shared" si="453"/>
        <v>2.2807887121911588</v>
      </c>
      <c r="AC226" s="14"/>
      <c r="AD226" s="635">
        <f>VLOOKUP(B226,TwoStageCT!A$10:H$72,7,FALSE)/10000</f>
        <v>2.600738521505678E-6</v>
      </c>
      <c r="AE226" s="366">
        <f>IF(ABS(VLOOKUP($A226,'5 A data'!$A$5:$U$1148,6,FALSE))&lt;4.5,IF(ABS(VLOOKUP($A226,'5 A data'!$A$5:$U$1148,6,FALSE))&lt;1.25,0.0008,0.002),0.004)*VLOOKUP($A226,'5 A data'!$A$5:$U$1148,7,FALSE)*25*RADIANS(1/60)*100</f>
        <v>5.8177641733144318E-3</v>
      </c>
      <c r="AF226" s="23">
        <f t="shared" ref="AF226:AF231" si="468">current_coef*(J226-J227)*IF(J227=0,0,1)</f>
        <v>2.2107503858594835E-2</v>
      </c>
      <c r="AG226" s="29">
        <f t="shared" si="454"/>
        <v>9.1447142262329664E-4</v>
      </c>
      <c r="AH226" s="4">
        <f t="shared" ref="AH226:AH231" si="469">BurdenUnc*L226</f>
        <v>3.0543261909900768E-2</v>
      </c>
      <c r="AI226" s="4">
        <f t="shared" si="455"/>
        <v>3.6578856904931865E-3</v>
      </c>
      <c r="AJ226" s="4">
        <f t="shared" si="456"/>
        <v>5.0000000000000001E-4</v>
      </c>
      <c r="AK226" s="21">
        <f>VLOOKUP($D226,Uncertainties!$B$35:$D$41,3,FALSE)</f>
        <v>4.363323129985941E-3</v>
      </c>
      <c r="AL226" s="21"/>
      <c r="AM226" s="369">
        <f>SQRT((VLOOKUP($A226,'5 A data'!$A$5:$U$1148,7,FALSE)*mutual_ind)^2+(aux_CT_phase*J226)^2)</f>
        <v>3.4135448512052861E-3</v>
      </c>
      <c r="AN226" s="29">
        <f t="shared" si="457"/>
        <v>3.8738046215446804E-2</v>
      </c>
      <c r="AO226" s="14">
        <f t="shared" si="458"/>
        <v>10.136794627169241</v>
      </c>
      <c r="AP226" s="27">
        <f t="shared" si="459"/>
        <v>2.2132073433938788</v>
      </c>
      <c r="AS226" s="27">
        <f>VLOOKUP($B226,TwoStageCT!$A$10:$H$72,5,FALSE)</f>
        <v>38.265350164989712</v>
      </c>
      <c r="AT226" s="27">
        <f>VLOOKUP($B226,TwoStageCT!$A$10:$H$72,8,FALSE)</f>
        <v>16.586629386739094</v>
      </c>
    </row>
    <row r="227" spans="1:46" x14ac:dyDescent="0.2">
      <c r="A227" s="409">
        <v>335</v>
      </c>
      <c r="B227" s="5" t="str">
        <f>B223&amp;D227</f>
        <v>120/20020</v>
      </c>
      <c r="C227" s="19">
        <f>VLOOKUP($A227,'5 A data'!$A$5:$U$650,3,FALSE)</f>
        <v>0.21600059637204713</v>
      </c>
      <c r="D227" s="163">
        <f>ROUND(VLOOKUP($A227,'5 A data'!$A$5:$U$650,9,FALSE)/10,0)*10</f>
        <v>20</v>
      </c>
      <c r="E227" s="23">
        <f t="shared" si="460"/>
        <v>0.99936709902044762</v>
      </c>
      <c r="F227" s="23">
        <f t="shared" si="461"/>
        <v>1.0011822386327505</v>
      </c>
      <c r="G227" s="486">
        <f>VLOOKUP(B227,TwoStageCT!A$10:H$72,3,FALSE)/10000</f>
        <v>3.1280516301103777E-5</v>
      </c>
      <c r="H227" s="486">
        <f>VLOOKUP(B227,TwoStageCT!A$10:H$72,6,FALSE)/10000</f>
        <v>4.5493238991726806E-6</v>
      </c>
      <c r="I227" s="19">
        <f>VLOOKUP($A227,'5 A data'!$A$5:$U$650,10,FALSE)</f>
        <v>-0.55900000000000005</v>
      </c>
      <c r="J227" s="32">
        <f>VLOOKUP($A227,'5 A data'!$A$5:$U$650,11,FALSE)</f>
        <v>0.8028514559173916</v>
      </c>
      <c r="K227" s="22">
        <f t="shared" si="462"/>
        <v>-0.4</v>
      </c>
      <c r="L227" s="22">
        <f t="shared" si="463"/>
        <v>0.55850536063818546</v>
      </c>
      <c r="M227" s="22">
        <f t="shared" si="464"/>
        <v>-0.5586149278361292</v>
      </c>
      <c r="N227" s="22">
        <f t="shared" si="465"/>
        <v>0.80380516724883622</v>
      </c>
      <c r="O227" s="20"/>
      <c r="P227" s="634">
        <f>VLOOKUP(B227,TwoStageCT!A$10:H$72,4,FALSE)/10000</f>
        <v>4.17832023036102E-6</v>
      </c>
      <c r="Q227" s="364">
        <f>VLOOKUP($A227,'5 A data'!$A$5:$U$650,7,FALSE)*slidewire_res</f>
        <v>2E-3</v>
      </c>
      <c r="R227" s="347">
        <f t="shared" si="448"/>
        <v>-9.400000000000009E-3</v>
      </c>
      <c r="S227" s="4">
        <v>0</v>
      </c>
      <c r="T227" s="21">
        <f t="shared" si="466"/>
        <v>-2.0000000000000004E-2</v>
      </c>
      <c r="U227" s="29">
        <f t="shared" si="467"/>
        <v>-2.234459711344517E-3</v>
      </c>
      <c r="V227" s="29">
        <f t="shared" si="449"/>
        <v>5.0000000000000001E-4</v>
      </c>
      <c r="W227" s="23">
        <f>VLOOKUP($D227,Uncertainties!$B$35:$D$41,2,FALSE)</f>
        <v>-1.0000000000000009E-3</v>
      </c>
      <c r="X227" s="23"/>
      <c r="Y227" s="24">
        <f t="shared" si="450"/>
        <v>-4.3347548561520505E-5</v>
      </c>
      <c r="Z227" s="23">
        <f t="shared" si="451"/>
        <v>2.2329458270857101E-2</v>
      </c>
      <c r="AA227" s="25">
        <f t="shared" si="452"/>
        <v>7.4056691093922717</v>
      </c>
      <c r="AB227" s="26">
        <f t="shared" si="453"/>
        <v>2.3209908553518308</v>
      </c>
      <c r="AC227" s="14"/>
      <c r="AD227" s="635">
        <f>VLOOKUP(B227,TwoStageCT!A$10:H$72,7,FALSE)/10000</f>
        <v>1.9770475075939077E-6</v>
      </c>
      <c r="AE227" s="366">
        <f>IF(ABS(VLOOKUP($A227,'5 A data'!$A$5:$U$1148,6,FALSE))&lt;4.5,IF(ABS(VLOOKUP($A227,'5 A data'!$A$5:$U$1148,6,FALSE))&lt;1.25,0.0008,0.002),0.004)*VLOOKUP($A227,'5 A data'!$A$5:$U$1148,7,FALSE)*25*RADIANS(1/60)*100</f>
        <v>5.8177641733144318E-3</v>
      </c>
      <c r="AF227" s="23">
        <f t="shared" si="468"/>
        <v>1.8035068937274735E-2</v>
      </c>
      <c r="AG227" s="29">
        <f t="shared" si="454"/>
        <v>8.0380516724883619E-4</v>
      </c>
      <c r="AH227" s="4">
        <f t="shared" si="469"/>
        <v>2.7925268031909273E-2</v>
      </c>
      <c r="AI227" s="4">
        <f t="shared" si="455"/>
        <v>3.2152206689953448E-3</v>
      </c>
      <c r="AJ227" s="4">
        <f t="shared" si="456"/>
        <v>5.0000000000000001E-4</v>
      </c>
      <c r="AK227" s="21">
        <f>VLOOKUP($D227,Uncertainties!$B$35:$D$41,3,FALSE)</f>
        <v>-1.454441043328647E-3</v>
      </c>
      <c r="AL227" s="21"/>
      <c r="AM227" s="369">
        <f>SQRT((VLOOKUP($A227,'5 A data'!$A$5:$U$1148,7,FALSE)*mutual_ind)^2+(aux_CT_phase*J227)^2)</f>
        <v>3.4105720479300195E-3</v>
      </c>
      <c r="AN227" s="29">
        <f t="shared" si="457"/>
        <v>3.4116152146030705E-2</v>
      </c>
      <c r="AO227" s="14">
        <f t="shared" si="458"/>
        <v>9.4693006607374759</v>
      </c>
      <c r="AP227" s="27">
        <f t="shared" si="459"/>
        <v>2.2330557774536817</v>
      </c>
      <c r="AS227" s="27">
        <f>VLOOKUP($B227,TwoStageCT!$A$10:$H$72,5,FALSE)</f>
        <v>36.657700403051521</v>
      </c>
      <c r="AT227" s="27">
        <f>VLOOKUP($B227,TwoStageCT!$A$10:$H$72,8,FALSE)</f>
        <v>53.09445811850042</v>
      </c>
    </row>
    <row r="228" spans="1:46" x14ac:dyDescent="0.2">
      <c r="A228" s="409">
        <v>336</v>
      </c>
      <c r="B228" s="5" t="str">
        <f>B223&amp;D228</f>
        <v>120/20040</v>
      </c>
      <c r="C228" s="19">
        <f>VLOOKUP($A228,'5 A data'!$A$5:$U$650,3,FALSE)</f>
        <v>0.21600059637204713</v>
      </c>
      <c r="D228" s="163">
        <f>ROUND(VLOOKUP($A228,'5 A data'!$A$5:$U$650,9,FALSE)/10,0)*10</f>
        <v>40</v>
      </c>
      <c r="E228" s="23">
        <f t="shared" si="460"/>
        <v>0.99936709902044762</v>
      </c>
      <c r="F228" s="23">
        <f t="shared" si="461"/>
        <v>1.0011822386327505</v>
      </c>
      <c r="G228" s="486">
        <f>VLOOKUP(B228,TwoStageCT!A$10:H$72,3,FALSE)/10000</f>
        <v>2.5200167333853628E-5</v>
      </c>
      <c r="H228" s="486">
        <f>VLOOKUP(B228,TwoStageCT!A$10:H$72,6,FALSE)/10000</f>
        <v>5.7416420558101514E-6</v>
      </c>
      <c r="I228" s="19">
        <f>VLOOKUP($A228,'5 A data'!$A$5:$U$650,10,FALSE)</f>
        <v>-0.51200000000000001</v>
      </c>
      <c r="J228" s="32">
        <f>VLOOKUP($A228,'5 A data'!$A$5:$U$650,11,FALSE)</f>
        <v>0.71267611123101793</v>
      </c>
      <c r="K228" s="22">
        <f t="shared" si="462"/>
        <v>-0.373</v>
      </c>
      <c r="L228" s="22">
        <f t="shared" si="463"/>
        <v>0.50323660099169842</v>
      </c>
      <c r="M228" s="22">
        <f t="shared" si="464"/>
        <v>-0.51165075453113529</v>
      </c>
      <c r="N228" s="22">
        <f t="shared" si="465"/>
        <v>0.71352440610440937</v>
      </c>
      <c r="O228" s="20"/>
      <c r="P228" s="634">
        <f>VLOOKUP(B228,TwoStageCT!A$10:H$72,4,FALSE)/10000</f>
        <v>3.3964590328801363E-6</v>
      </c>
      <c r="Q228" s="58">
        <f>VLOOKUP($A228,'5 A data'!$A$5:$U$650,7,FALSE)*slidewire_res</f>
        <v>2E-3</v>
      </c>
      <c r="R228" s="347">
        <f t="shared" si="448"/>
        <v>-2.8000000000000026E-3</v>
      </c>
      <c r="S228" s="4">
        <v>0</v>
      </c>
      <c r="T228" s="21">
        <f t="shared" si="466"/>
        <v>-1.865E-2</v>
      </c>
      <c r="U228" s="29">
        <f t="shared" si="467"/>
        <v>-2.0466030181245411E-3</v>
      </c>
      <c r="V228" s="29">
        <f t="shared" si="449"/>
        <v>5.0000000000000001E-4</v>
      </c>
      <c r="W228" s="23">
        <f>VLOOKUP($D228,Uncertainties!$B$35:$D$41,2,FALSE)</f>
        <v>-1.0000000000000009E-3</v>
      </c>
      <c r="X228" s="23"/>
      <c r="Y228" s="24">
        <f t="shared" si="450"/>
        <v>-3.9702942510730764E-5</v>
      </c>
      <c r="Z228" s="23">
        <f t="shared" si="451"/>
        <v>1.9107660028726031E-2</v>
      </c>
      <c r="AA228" s="25">
        <f t="shared" si="452"/>
        <v>5.5048069288085495</v>
      </c>
      <c r="AB228" s="26">
        <f t="shared" si="453"/>
        <v>2.475468615755402</v>
      </c>
      <c r="AC228" s="14"/>
      <c r="AD228" s="635">
        <f>VLOOKUP(B228,TwoStageCT!A$10:H$72,7,FALSE)/10000</f>
        <v>1.6849048737447556E-6</v>
      </c>
      <c r="AE228" s="366">
        <f>IF(ABS(VLOOKUP($A228,'5 A data'!$A$5:$U$1148,6,FALSE))&lt;4.5,IF(ABS(VLOOKUP($A228,'5 A data'!$A$5:$U$1148,6,FALSE))&lt;1.25,0.0008,0.002),0.004)*VLOOKUP($A228,'5 A data'!$A$5:$U$1148,7,FALSE)*25*RADIANS(1/60)*100</f>
        <v>5.8177641733144318E-3</v>
      </c>
      <c r="AF228" s="23">
        <f t="shared" si="468"/>
        <v>1.3962634015954635E-2</v>
      </c>
      <c r="AG228" s="29">
        <f t="shared" si="454"/>
        <v>7.1352440610440943E-4</v>
      </c>
      <c r="AH228" s="4">
        <f t="shared" si="469"/>
        <v>2.5161830049584923E-2</v>
      </c>
      <c r="AI228" s="4">
        <f t="shared" si="455"/>
        <v>2.8540976244176377E-3</v>
      </c>
      <c r="AJ228" s="4">
        <f t="shared" si="456"/>
        <v>5.0000000000000001E-4</v>
      </c>
      <c r="AK228" s="21">
        <f>VLOOKUP($D228,Uncertainties!$B$35:$D$41,3,FALSE)</f>
        <v>-2.908882086657183E-3</v>
      </c>
      <c r="AL228" s="21"/>
      <c r="AM228" s="369">
        <f>SQRT((VLOOKUP($A228,'5 A data'!$A$5:$U$1148,7,FALSE)*mutual_ind)^2+(aux_CT_phase*J228)^2)</f>
        <v>3.4084288825373065E-3</v>
      </c>
      <c r="AN228" s="29">
        <f t="shared" si="457"/>
        <v>2.9848001535983881E-2</v>
      </c>
      <c r="AO228" s="14">
        <f t="shared" si="458"/>
        <v>9.01487913185629</v>
      </c>
      <c r="AP228" s="27">
        <f t="shared" si="459"/>
        <v>2.248479418656157</v>
      </c>
      <c r="AS228" s="27">
        <f>VLOOKUP($B228,TwoStageCT!$A$10:$H$72,5,FALSE)</f>
        <v>38.659909732018328</v>
      </c>
      <c r="AT228" s="27">
        <f>VLOOKUP($B228,TwoStageCT!$A$10:$H$72,8,FALSE)</f>
        <v>52.499330597885681</v>
      </c>
    </row>
    <row r="229" spans="1:46" x14ac:dyDescent="0.2">
      <c r="A229" s="409">
        <v>337</v>
      </c>
      <c r="B229" s="5" t="str">
        <f>B223&amp;D229</f>
        <v>120/20060</v>
      </c>
      <c r="C229" s="19">
        <f>VLOOKUP($A229,'5 A data'!$A$5:$U$650,3,FALSE)</f>
        <v>0.21600059637204713</v>
      </c>
      <c r="D229" s="163">
        <f>ROUND(VLOOKUP($A229,'5 A data'!$A$5:$U$650,9,FALSE)/10,0)*10</f>
        <v>60</v>
      </c>
      <c r="E229" s="23">
        <f t="shared" si="460"/>
        <v>0.99936709902044762</v>
      </c>
      <c r="F229" s="23">
        <f t="shared" si="461"/>
        <v>1.0011822386327505</v>
      </c>
      <c r="G229" s="486">
        <f>VLOOKUP(B229,TwoStageCT!A$10:H$72,3,FALSE)/10000</f>
        <v>2.195627602528684E-5</v>
      </c>
      <c r="H229" s="486">
        <f>VLOOKUP(B229,TwoStageCT!A$10:H$72,6,FALSE)/10000</f>
        <v>5.5507836163637805E-6</v>
      </c>
      <c r="I229" s="19">
        <f>VLOOKUP($A229,'5 A data'!$A$5:$U$650,10,FALSE)</f>
        <v>-0.498</v>
      </c>
      <c r="J229" s="32">
        <f>VLOOKUP($A229,'5 A data'!$A$5:$U$650,11,FALSE)</f>
        <v>0.64286294115124476</v>
      </c>
      <c r="K229" s="22">
        <f t="shared" si="462"/>
        <v>-0.36699999999999999</v>
      </c>
      <c r="L229" s="22">
        <f t="shared" si="463"/>
        <v>0.44796784134521128</v>
      </c>
      <c r="M229" s="22">
        <f t="shared" si="464"/>
        <v>-0.49766285903615759</v>
      </c>
      <c r="N229" s="22">
        <f t="shared" si="465"/>
        <v>0.64362850933945381</v>
      </c>
      <c r="O229" s="20"/>
      <c r="P229" s="634">
        <f>VLOOKUP(B229,TwoStageCT!A$10:H$72,4,FALSE)/10000</f>
        <v>2.9709098248278708E-6</v>
      </c>
      <c r="Q229" s="58">
        <f>VLOOKUP($A229,'5 A data'!$A$5:$U$650,7,FALSE)*slidewire_res</f>
        <v>2E-3</v>
      </c>
      <c r="R229" s="347">
        <f t="shared" si="448"/>
        <v>-4.0000000000000036E-3</v>
      </c>
      <c r="S229" s="4">
        <v>0</v>
      </c>
      <c r="T229" s="21">
        <f t="shared" si="466"/>
        <v>-1.8350000000000002E-2</v>
      </c>
      <c r="U229" s="29">
        <f t="shared" si="467"/>
        <v>-1.9906514361446304E-3</v>
      </c>
      <c r="V229" s="29">
        <f t="shared" si="449"/>
        <v>5.0000000000000001E-4</v>
      </c>
      <c r="W229" s="23">
        <f>VLOOKUP($D229,Uncertainties!$B$35:$D$41,2,FALSE)</f>
        <v>-1.0000000000000009E-3</v>
      </c>
      <c r="X229" s="23"/>
      <c r="Y229" s="24">
        <f t="shared" si="450"/>
        <v>-3.861731517645297E-5</v>
      </c>
      <c r="Z229" s="23">
        <f t="shared" si="451"/>
        <v>1.9024633853600478E-2</v>
      </c>
      <c r="AA229" s="25">
        <f t="shared" si="452"/>
        <v>5.7622033457397954</v>
      </c>
      <c r="AB229" s="26">
        <f t="shared" si="453"/>
        <v>2.4470993753080807</v>
      </c>
      <c r="AC229" s="14"/>
      <c r="AD229" s="635">
        <f>VLOOKUP(B229,TwoStageCT!A$10:H$72,7,FALSE)/10000</f>
        <v>1.6017059195029239E-6</v>
      </c>
      <c r="AE229" s="366">
        <f>IF(ABS(VLOOKUP($A229,'5 A data'!$A$5:$U$1148,6,FALSE))&lt;4.5,IF(ABS(VLOOKUP($A229,'5 A data'!$A$5:$U$1148,6,FALSE))&lt;1.25,0.0008,0.002),0.004)*VLOOKUP($A229,'5 A data'!$A$5:$U$1148,7,FALSE)*25*RADIANS(1/60)*100</f>
        <v>5.8177641733144318E-3</v>
      </c>
      <c r="AF229" s="23">
        <f t="shared" si="468"/>
        <v>2.2689280275926295E-2</v>
      </c>
      <c r="AG229" s="29">
        <f t="shared" si="454"/>
        <v>6.4362850933945379E-4</v>
      </c>
      <c r="AH229" s="4">
        <f t="shared" si="469"/>
        <v>2.2398392067260565E-2</v>
      </c>
      <c r="AI229" s="4">
        <f t="shared" si="455"/>
        <v>2.5745140373578152E-3</v>
      </c>
      <c r="AJ229" s="4">
        <f t="shared" si="456"/>
        <v>5.0000000000000001E-4</v>
      </c>
      <c r="AK229" s="21">
        <f>VLOOKUP($D229,Uncertainties!$B$35:$D$41,3,FALSE)</f>
        <v>-2.908882086657183E-3</v>
      </c>
      <c r="AL229" s="21"/>
      <c r="AM229" s="369">
        <f>SQRT((VLOOKUP($A229,'5 A data'!$A$5:$U$1148,7,FALSE)*mutual_ind)^2+(aux_CT_phase*J229)^2)</f>
        <v>3.4069440257954798E-3</v>
      </c>
      <c r="AN229" s="29">
        <f t="shared" si="457"/>
        <v>3.2828326670051082E-2</v>
      </c>
      <c r="AO229" s="14">
        <f t="shared" si="458"/>
        <v>11.209325275158028</v>
      </c>
      <c r="AP229" s="27">
        <f t="shared" si="459"/>
        <v>2.186784835828715</v>
      </c>
      <c r="AS229" s="27">
        <f>VLOOKUP($B229,TwoStageCT!$A$10:$H$72,5,FALSE)</f>
        <v>42.291164682130272</v>
      </c>
      <c r="AT229" s="27">
        <f>VLOOKUP($B229,TwoStageCT!$A$10:$H$72,8,FALSE)</f>
        <v>48.978667479860043</v>
      </c>
    </row>
    <row r="230" spans="1:46" x14ac:dyDescent="0.2">
      <c r="A230" s="409">
        <v>338</v>
      </c>
      <c r="B230" s="5" t="str">
        <f>B223&amp;D230</f>
        <v>120/200100</v>
      </c>
      <c r="C230" s="19">
        <f>VLOOKUP($A230,'5 A data'!$A$5:$U$650,3,FALSE)</f>
        <v>0.21600059637204713</v>
      </c>
      <c r="D230" s="164">
        <f>ROUND(VLOOKUP($A230,'5 A data'!$A$5:$U$650,9,FALSE)/10,0)*10</f>
        <v>100</v>
      </c>
      <c r="E230" s="23">
        <f t="shared" si="460"/>
        <v>0.99936709902044762</v>
      </c>
      <c r="F230" s="23">
        <f t="shared" si="461"/>
        <v>1.0011822386327505</v>
      </c>
      <c r="G230" s="486">
        <f>VLOOKUP(B230,TwoStageCT!A$10:H$72,3,FALSE)/10000</f>
        <v>1.6881396356939836E-5</v>
      </c>
      <c r="H230" s="486">
        <f>VLOOKUP(B230,TwoStageCT!A$10:H$72,6,FALSE)/10000</f>
        <v>7.3590724152435355E-6</v>
      </c>
      <c r="I230" s="19">
        <f>VLOOKUP($A230,'5 A data'!$A$5:$U$650,10,FALSE)</f>
        <v>-0.47799999999999998</v>
      </c>
      <c r="J230" s="32">
        <f>VLOOKUP($A230,'5 A data'!$A$5:$U$650,11,FALSE)</f>
        <v>0.52941653977161329</v>
      </c>
      <c r="K230" s="22">
        <f t="shared" si="462"/>
        <v>-0.35599999999999998</v>
      </c>
      <c r="L230" s="22">
        <f t="shared" si="463"/>
        <v>0.35197473248552313</v>
      </c>
      <c r="M230" s="22">
        <f t="shared" si="464"/>
        <v>-0.47768059193541701</v>
      </c>
      <c r="N230" s="22">
        <f t="shared" si="465"/>
        <v>0.53004979553016363</v>
      </c>
      <c r="O230" s="20"/>
      <c r="P230" s="634">
        <f>VLOOKUP(B230,TwoStageCT!A$10:H$72,4,FALSE)/10000</f>
        <v>2.4131313466023584E-6</v>
      </c>
      <c r="Q230" s="58">
        <f>VLOOKUP($A230,'5 A data'!$A$5:$U$650,7,FALSE)*slidewire_res</f>
        <v>2E-3</v>
      </c>
      <c r="R230" s="347">
        <f t="shared" si="448"/>
        <v>-2.7999999999999917E-3</v>
      </c>
      <c r="S230" s="4">
        <v>0</v>
      </c>
      <c r="T230" s="21">
        <f t="shared" si="466"/>
        <v>-1.78E-2</v>
      </c>
      <c r="U230" s="29">
        <f t="shared" si="467"/>
        <v>-1.9107223677416682E-3</v>
      </c>
      <c r="V230" s="29">
        <f t="shared" si="449"/>
        <v>5.0000000000000001E-4</v>
      </c>
      <c r="W230" s="23">
        <f>VLOOKUP($D230,Uncertainties!$B$35:$D$41,2,FALSE)</f>
        <v>1.999999999999974E-3</v>
      </c>
      <c r="X230" s="23"/>
      <c r="Y230" s="24">
        <f t="shared" si="450"/>
        <v>-3.7066418984627545E-5</v>
      </c>
      <c r="Z230" s="23">
        <f t="shared" si="451"/>
        <v>1.8346177795639271E-2</v>
      </c>
      <c r="AA230" s="25">
        <f t="shared" si="452"/>
        <v>5.6370493942796616</v>
      </c>
      <c r="AB230" s="26">
        <f t="shared" si="453"/>
        <v>2.4604867866775311</v>
      </c>
      <c r="AC230" s="14"/>
      <c r="AD230" s="635">
        <f>VLOOKUP(B230,TwoStageCT!A$10:H$72,7,FALSE)/10000</f>
        <v>1.6933288916776063E-6</v>
      </c>
      <c r="AE230" s="366">
        <f>IF(ABS(VLOOKUP($A230,'5 A data'!$A$5:$U$1148,6,FALSE))&lt;4.5,IF(ABS(VLOOKUP($A230,'5 A data'!$A$5:$U$1148,6,FALSE))&lt;1.25,0.0008,0.002),0.004)*VLOOKUP($A230,'5 A data'!$A$5:$U$1148,7,FALSE)*25*RADIANS(1/60)*100</f>
        <v>5.8177641733144318E-3</v>
      </c>
      <c r="AF230" s="23">
        <f t="shared" si="468"/>
        <v>8.1448698426402014E-3</v>
      </c>
      <c r="AG230" s="29">
        <f t="shared" si="454"/>
        <v>5.3004979553016366E-4</v>
      </c>
      <c r="AH230" s="4">
        <f t="shared" si="469"/>
        <v>1.7598736624276159E-2</v>
      </c>
      <c r="AI230" s="4">
        <f t="shared" si="455"/>
        <v>2.1201991821206546E-3</v>
      </c>
      <c r="AJ230" s="4">
        <f t="shared" si="456"/>
        <v>5.0000000000000001E-4</v>
      </c>
      <c r="AK230" s="21">
        <f>VLOOKUP($D230,Uncertainties!$B$35:$D$41,3,FALSE)</f>
        <v>-2.9088820866572385E-3</v>
      </c>
      <c r="AL230" s="21"/>
      <c r="AM230" s="369">
        <f>SQRT((VLOOKUP($A230,'5 A data'!$A$5:$U$1148,7,FALSE)*mutual_ind)^2+(aux_CT_phase*J230)^2)</f>
        <v>3.4048562456269627E-3</v>
      </c>
      <c r="AN230" s="29">
        <f t="shared" si="457"/>
        <v>2.0856213864767482E-2</v>
      </c>
      <c r="AO230" s="14">
        <f t="shared" si="458"/>
        <v>9.3065657387842968</v>
      </c>
      <c r="AP230" s="27">
        <f t="shared" si="459"/>
        <v>2.2383831536602683</v>
      </c>
      <c r="AS230" s="27">
        <f>VLOOKUP($B230,TwoStageCT!$A$10:$H$72,5,FALSE)</f>
        <v>59.567261398457461</v>
      </c>
      <c r="AT230" s="27">
        <f>VLOOKUP($B230,TwoStageCT!$A$10:$H$72,8,FALSE)</f>
        <v>45.732629829898706</v>
      </c>
    </row>
    <row r="231" spans="1:46" x14ac:dyDescent="0.2">
      <c r="A231" s="409">
        <v>339</v>
      </c>
      <c r="B231" s="5" t="str">
        <f>B223&amp;D231</f>
        <v>120/200120</v>
      </c>
      <c r="C231" s="19">
        <f>VLOOKUP($A231,'5 A data'!$A$5:$U$650,3,FALSE)</f>
        <v>0.21600059637204713</v>
      </c>
      <c r="D231" s="164">
        <f>ROUND(VLOOKUP($A231,'5 A data'!$A$5:$U$650,9,FALSE)/10,0)*10</f>
        <v>120</v>
      </c>
      <c r="E231" s="23">
        <f t="shared" si="460"/>
        <v>0.99936709902044762</v>
      </c>
      <c r="F231" s="23">
        <f t="shared" si="461"/>
        <v>1.0011822386327505</v>
      </c>
      <c r="G231" s="486">
        <f>VLOOKUP(B231,TwoStageCT!A$10:H$72,3,FALSE)/10000</f>
        <v>1.5213305302217845E-5</v>
      </c>
      <c r="H231" s="486">
        <f>VLOOKUP(B231,TwoStageCT!A$10:H$72,6,FALSE)/10000</f>
        <v>7.5885012454326174E-6</v>
      </c>
      <c r="I231" s="19">
        <f>VLOOKUP($A231,'5 A data'!$A$5:$U$650,10,FALSE)</f>
        <v>-0.46400000000000002</v>
      </c>
      <c r="J231" s="32">
        <f>VLOOKUP($A231,'5 A data'!$A$5:$U$650,11,FALSE)</f>
        <v>0.48869219055841229</v>
      </c>
      <c r="K231" s="22">
        <f t="shared" si="462"/>
        <v>-0.34400000000000003</v>
      </c>
      <c r="L231" s="22">
        <f t="shared" si="463"/>
        <v>0.31415926535897931</v>
      </c>
      <c r="M231" s="22">
        <f t="shared" si="464"/>
        <v>-0.46369112064018547</v>
      </c>
      <c r="N231" s="22">
        <f t="shared" si="465"/>
        <v>0.48927752984685935</v>
      </c>
      <c r="O231" s="20"/>
      <c r="P231" s="634">
        <f>VLOOKUP(B231,TwoStageCT!A$10:H$72,4,FALSE)/10000</f>
        <v>2.2681305202526645E-6</v>
      </c>
      <c r="Q231" s="58">
        <f>VLOOKUP($A231,'5 A data'!$A$5:$U$650,7,FALSE)*slidewire_res</f>
        <v>2E-3</v>
      </c>
      <c r="R231" s="347">
        <f t="shared" si="448"/>
        <v>0</v>
      </c>
      <c r="S231" s="4">
        <v>0</v>
      </c>
      <c r="T231" s="21">
        <f t="shared" si="466"/>
        <v>-1.7200000000000003E-2</v>
      </c>
      <c r="U231" s="29">
        <f t="shared" si="467"/>
        <v>-1.8547644825607419E-3</v>
      </c>
      <c r="V231" s="29">
        <f t="shared" si="449"/>
        <v>5.0000000000000001E-4</v>
      </c>
      <c r="W231" s="23">
        <f>VLOOKUP($D231,Uncertainties!$B$35:$D$41,2,FALSE)</f>
        <v>-1.0000000000000009E-3</v>
      </c>
      <c r="X231" s="23"/>
      <c r="Y231" s="24">
        <f t="shared" si="450"/>
        <v>-3.5980791650349757E-5</v>
      </c>
      <c r="Z231" s="23">
        <f t="shared" si="451"/>
        <v>1.745082952319324E-2</v>
      </c>
      <c r="AA231" s="25">
        <f t="shared" si="452"/>
        <v>5.2963920892847725</v>
      </c>
      <c r="AB231" s="26">
        <f t="shared" si="453"/>
        <v>2.5010197008396475</v>
      </c>
      <c r="AC231" s="14"/>
      <c r="AD231" s="635">
        <f>VLOOKUP(B231,TwoStageCT!A$10:H$72,7,FALSE)/10000</f>
        <v>1.7092397901526349E-6</v>
      </c>
      <c r="AE231" s="366">
        <f>IF(ABS(VLOOKUP($A231,'5 A data'!$A$5:$U$1148,6,FALSE))&lt;4.5,IF(ABS(VLOOKUP($A231,'5 A data'!$A$5:$U$1148,6,FALSE))&lt;1.25,0.0008,0.002),0.004)*VLOOKUP($A231,'5 A data'!$A$5:$U$1148,7,FALSE)*25*RADIANS(1/60)*100</f>
        <v>5.8177641733144318E-3</v>
      </c>
      <c r="AF231" s="23">
        <f t="shared" si="468"/>
        <v>0</v>
      </c>
      <c r="AG231" s="29">
        <f t="shared" si="454"/>
        <v>4.8927752984685941E-4</v>
      </c>
      <c r="AH231" s="4">
        <f t="shared" si="469"/>
        <v>1.5707963267948967E-2</v>
      </c>
      <c r="AI231" s="4">
        <f t="shared" si="455"/>
        <v>1.9571101193874376E-3</v>
      </c>
      <c r="AJ231" s="4">
        <f t="shared" si="456"/>
        <v>5.0000000000000001E-4</v>
      </c>
      <c r="AK231" s="21">
        <f>VLOOKUP($D231,Uncertainties!$B$35:$D$41,3,FALSE)</f>
        <v>1.4544410433285915E-3</v>
      </c>
      <c r="AL231" s="21"/>
      <c r="AM231" s="369">
        <f>SQRT((VLOOKUP($A231,'5 A data'!$A$5:$U$1148,7,FALSE)*mutual_ind)^2+(aux_CT_phase*J231)^2)</f>
        <v>3.4042050884162162E-3</v>
      </c>
      <c r="AN231" s="29">
        <f t="shared" si="457"/>
        <v>1.7280340751217118E-2</v>
      </c>
      <c r="AO231" s="14">
        <f t="shared" si="458"/>
        <v>7.170484450394512</v>
      </c>
      <c r="AP231" s="27">
        <f t="shared" si="459"/>
        <v>2.3348208070560967</v>
      </c>
      <c r="AS231" s="27">
        <f>VLOOKUP($B231,TwoStageCT!$A$10:$H$72,5,FALSE)</f>
        <v>68.00069900375496</v>
      </c>
      <c r="AT231" s="27">
        <f>VLOOKUP($B231,TwoStageCT!$A$10:$H$72,8,FALSE)</f>
        <v>47.345132453902309</v>
      </c>
    </row>
    <row r="232" spans="1:46" x14ac:dyDescent="0.2">
      <c r="A232" s="409">
        <v>340</v>
      </c>
      <c r="B232" s="5"/>
      <c r="C232" s="19"/>
      <c r="D232" s="19"/>
      <c r="E232" s="23"/>
      <c r="F232" s="23"/>
      <c r="G232" s="347"/>
      <c r="H232" s="347"/>
      <c r="I232" s="19"/>
      <c r="J232" s="32"/>
      <c r="K232" s="31"/>
      <c r="L232" s="31"/>
      <c r="M232" s="638" t="s">
        <v>93</v>
      </c>
      <c r="N232" s="638"/>
      <c r="O232" s="20"/>
      <c r="P232" s="634"/>
      <c r="Q232" s="58"/>
      <c r="R232" s="347"/>
      <c r="S232" s="4"/>
      <c r="T232" s="4"/>
      <c r="U232" s="29"/>
      <c r="V232" s="29"/>
      <c r="W232" s="29"/>
      <c r="X232" s="29"/>
      <c r="Y232" s="24"/>
      <c r="Z232" s="29"/>
      <c r="AA232" s="25"/>
      <c r="AB232" s="26"/>
      <c r="AC232" s="14"/>
      <c r="AD232" s="635"/>
      <c r="AE232" s="35"/>
      <c r="AF232" s="28"/>
      <c r="AG232" s="29"/>
      <c r="AH232" s="4"/>
      <c r="AI232" s="4"/>
      <c r="AJ232" s="4"/>
      <c r="AK232" s="4"/>
      <c r="AL232" s="4"/>
      <c r="AM232" s="24"/>
      <c r="AN232" s="29"/>
      <c r="AO232" s="14"/>
      <c r="AP232" s="27"/>
    </row>
    <row r="233" spans="1:46" x14ac:dyDescent="0.2">
      <c r="A233" s="409">
        <v>341</v>
      </c>
      <c r="B233" s="5" t="str">
        <f>B223&amp;D233</f>
        <v>120/2005</v>
      </c>
      <c r="C233" s="19">
        <f>VLOOKUP($A233,'5 A data'!$A$5:$U$650,3,FALSE)</f>
        <v>2.1000057980615688E-2</v>
      </c>
      <c r="D233" s="19">
        <f>ROUND(VLOOKUP($A233,'5 A data'!$A$5:$U$650,9,FALSE),0)</f>
        <v>5</v>
      </c>
      <c r="E233" s="23">
        <f t="shared" si="460"/>
        <v>0.99936709902044762</v>
      </c>
      <c r="F233" s="23">
        <f t="shared" si="461"/>
        <v>1.0011822386327505</v>
      </c>
      <c r="G233" s="486">
        <f>VLOOKUP(B233,TwoStageCT!A$10:H$72,3,FALSE)/10000</f>
        <v>3.6805932694608759E-5</v>
      </c>
      <c r="H233" s="486">
        <f>VLOOKUP(B233,TwoStageCT!A$10:H$72,6,FALSE)/10000</f>
        <v>4.6965346060309593E-6</v>
      </c>
      <c r="I233" s="19">
        <f>VLOOKUP($A233,'5 A data'!$A$5:$U$650,10,FALSE)</f>
        <v>-0.22700000000000001</v>
      </c>
      <c r="J233" s="32">
        <f>VLOOKUP($A233,'5 A data'!$A$5:$U$650,11,FALSE)</f>
        <v>0.39415352274205279</v>
      </c>
      <c r="K233" s="31"/>
      <c r="L233" s="31"/>
      <c r="M233" s="31">
        <f>I233*E233+G233</f>
        <v>-0.226819525544947</v>
      </c>
      <c r="N233" s="31">
        <f>J233*F233+H233</f>
        <v>0.39462420279847921</v>
      </c>
      <c r="O233" s="20"/>
      <c r="P233" s="634">
        <f>VLOOKUP(B233,TwoStageCT!A$10:H$72,4,FALSE)/10000</f>
        <v>6.4429594675743464E-6</v>
      </c>
      <c r="Q233" s="58">
        <f>VLOOKUP($A233,'5 A data'!$A$5:$U$650,7,FALSE)*slidewire_res</f>
        <v>1E-3</v>
      </c>
      <c r="R233" s="347">
        <f t="shared" ref="R233:R239" si="470">current_coef*(I233-I234)*IF(I234=0,0,1)</f>
        <v>-7.6000000000000017E-3</v>
      </c>
      <c r="S233" s="4">
        <v>0</v>
      </c>
      <c r="T233" s="4">
        <f>BurdenUnc*K225</f>
        <v>-2.3349999999999999E-2</v>
      </c>
      <c r="U233" s="29">
        <f t="shared" ref="U233:U239" si="471">0.004*M233</f>
        <v>-9.0727810217978804E-4</v>
      </c>
      <c r="V233" s="29">
        <f t="shared" si="449"/>
        <v>5.0000000000000001E-4</v>
      </c>
      <c r="W233" s="23">
        <f>VLOOKUP($D233,Uncertainties!$B$35:$D$41,2,FALSE)</f>
        <v>5.0000000000000044E-3</v>
      </c>
      <c r="X233" s="23"/>
      <c r="Y233" s="24">
        <f t="shared" ref="Y233:Y239" si="472">I233*aux_CT_ratio</f>
        <v>-1.7602671777218521E-5</v>
      </c>
      <c r="Z233" s="23">
        <f t="shared" ref="Z233:Z239" si="473">SQRT(SUMSQ(P233:Y233))</f>
        <v>2.5100916415949349E-2</v>
      </c>
      <c r="AA233" s="25">
        <f t="shared" ref="AA233:AA239" si="474">DoF_A(P233:Y233,$P$7:$Y$7)</f>
        <v>6.5973619705309199</v>
      </c>
      <c r="AB233" s="26">
        <f t="shared" ref="AB233:AB239" si="475">CoverFactor(AA233)</f>
        <v>2.3735135634267168</v>
      </c>
      <c r="AC233" s="14"/>
      <c r="AD233" s="635">
        <f>VLOOKUP(B233,TwoStageCT!A$10:H$72,7,FALSE)/10000</f>
        <v>4.6788986298833412E-6</v>
      </c>
      <c r="AE233" s="366">
        <f>IF(ABS(VLOOKUP($A233,'5 A data'!$A$5:$U$1148,6,FALSE))&lt;4.5,IF(ABS(VLOOKUP($A233,'5 A data'!$A$5:$U$1148,6,FALSE))&lt;1.25,0.0008,0.002),0.004)*VLOOKUP($A233,'5 A data'!$A$5:$U$1148,7,FALSE)*25*RADIANS(1/60)*100</f>
        <v>2.9088820866572159E-3</v>
      </c>
      <c r="AF233" s="23">
        <f t="shared" ref="AF233:AF239" si="476">current_coef*(J233-J234)*IF(J234=0,0,1)</f>
        <v>1.8325957145940465E-2</v>
      </c>
      <c r="AG233" s="29">
        <f t="shared" ref="AG233:AG239" si="477">0.001*N233</f>
        <v>3.9462420279847923E-4</v>
      </c>
      <c r="AH233" s="4">
        <f>BurdenUnc*L225</f>
        <v>3.2943089631392974E-2</v>
      </c>
      <c r="AI233" s="4">
        <f t="shared" ref="AI233:AI239" si="478">0.004*N233</f>
        <v>1.5784968111939169E-3</v>
      </c>
      <c r="AJ233" s="4">
        <f t="shared" si="456"/>
        <v>5.0000000000000001E-4</v>
      </c>
      <c r="AK233" s="21">
        <f>VLOOKUP($D233,Uncertainties!$B$35:$D$41,3,FALSE)</f>
        <v>-1.1635528346628732E-2</v>
      </c>
      <c r="AL233" s="21"/>
      <c r="AM233" s="369">
        <f>SQRT((VLOOKUP($A233,'5 A data'!$A$5:$U$1148,7,FALSE)*mutual_ind)^2+(aux_CT_phase*J233)^2)</f>
        <v>1.7051046102016308E-3</v>
      </c>
      <c r="AN233" s="29">
        <f t="shared" ref="AN233:AN239" si="479">SQRT(SUMSQ(AD233:AM233))</f>
        <v>3.9632559326194423E-2</v>
      </c>
      <c r="AO233" s="14">
        <f t="shared" ref="AO233:AO239" si="480">DoF_A(AD233:AM233,$AD$7:$AM$7)</f>
        <v>9.5041735028378067</v>
      </c>
      <c r="AP233" s="27">
        <f t="shared" ref="AP233:AP239" si="481">CoverFactor(AO233)</f>
        <v>2.2319409555821723</v>
      </c>
      <c r="AS233" s="27">
        <f>VLOOKUP($B233,TwoStageCT!$A$10:$H$72,5,FALSE)</f>
        <v>26.31606241070681</v>
      </c>
      <c r="AT233" s="27">
        <f>VLOOKUP($B233,TwoStageCT!$A$10:$H$72,8,FALSE)</f>
        <v>9.9413455012810044</v>
      </c>
    </row>
    <row r="234" spans="1:46" x14ac:dyDescent="0.2">
      <c r="A234" s="409">
        <v>342</v>
      </c>
      <c r="B234" s="5" t="str">
        <f>B223&amp;D234</f>
        <v>120/20010</v>
      </c>
      <c r="C234" s="19">
        <f>VLOOKUP($A234,'5 A data'!$A$5:$U$650,3,FALSE)</f>
        <v>2.1000057980615688E-2</v>
      </c>
      <c r="D234" s="163">
        <f>ROUND(VLOOKUP($A234,'5 A data'!$A$5:$U$650,9,FALSE)/10,0)*10</f>
        <v>10</v>
      </c>
      <c r="E234" s="23">
        <f t="shared" si="460"/>
        <v>0.99936709902044762</v>
      </c>
      <c r="F234" s="23">
        <f t="shared" si="461"/>
        <v>1.0011822386327505</v>
      </c>
      <c r="G234" s="486">
        <f>VLOOKUP(B234,TwoStageCT!A$10:H$72,3,FALSE)/10000</f>
        <v>3.4690340839935311E-5</v>
      </c>
      <c r="H234" s="486">
        <f>VLOOKUP(B234,TwoStageCT!A$10:H$72,6,FALSE)/10000</f>
        <v>2.6036797087866982E-6</v>
      </c>
      <c r="I234" s="19">
        <f>VLOOKUP($A234,'5 A data'!$A$5:$U$650,10,FALSE)</f>
        <v>-0.189</v>
      </c>
      <c r="J234" s="32">
        <f>VLOOKUP($A234,'5 A data'!$A$5:$U$650,11,FALSE)</f>
        <v>0.30252373701235047</v>
      </c>
      <c r="K234" s="31"/>
      <c r="L234" s="31"/>
      <c r="M234" s="31">
        <f t="shared" ref="M234:M239" si="482">I234*E234+G234</f>
        <v>-0.18884569137402465</v>
      </c>
      <c r="N234" s="31">
        <f t="shared" ref="N234:N239" si="483">J234*F234+H234</f>
        <v>0.30288399594127929</v>
      </c>
      <c r="O234" s="20"/>
      <c r="P234" s="634">
        <f>VLOOKUP(B234,TwoStageCT!A$10:H$72,4,FALSE)/10000</f>
        <v>5.0170517941146892E-6</v>
      </c>
      <c r="Q234" s="58">
        <f>VLOOKUP($A234,'5 A data'!$A$5:$U$650,7,FALSE)*slidewire_res</f>
        <v>1E-3</v>
      </c>
      <c r="R234" s="347">
        <f t="shared" si="470"/>
        <v>-6.0000000000000001E-3</v>
      </c>
      <c r="S234" s="4">
        <v>0</v>
      </c>
      <c r="T234" s="4">
        <f t="shared" ref="T234:T239" si="484">BurdenUnc*K226</f>
        <v>-2.145E-2</v>
      </c>
      <c r="U234" s="29">
        <f t="shared" si="471"/>
        <v>-7.5538276549609866E-4</v>
      </c>
      <c r="V234" s="29">
        <f t="shared" si="449"/>
        <v>5.0000000000000001E-4</v>
      </c>
      <c r="W234" s="23">
        <f>VLOOKUP($D234,Uncertainties!$B$35:$D$41,2,FALSE)</f>
        <v>2.5000000000000022E-3</v>
      </c>
      <c r="X234" s="23"/>
      <c r="Y234" s="24">
        <f t="shared" si="472"/>
        <v>-1.4655969012750223E-5</v>
      </c>
      <c r="Z234" s="23">
        <f t="shared" si="473"/>
        <v>2.2453804646220758E-2</v>
      </c>
      <c r="AA234" s="25">
        <f t="shared" si="474"/>
        <v>5.9667140921274671</v>
      </c>
      <c r="AB234" s="26">
        <f t="shared" si="475"/>
        <v>2.4267208123197976</v>
      </c>
      <c r="AC234" s="14"/>
      <c r="AD234" s="635">
        <f>VLOOKUP(B234,TwoStageCT!A$10:H$72,7,FALSE)/10000</f>
        <v>2.600738521505678E-6</v>
      </c>
      <c r="AE234" s="366">
        <f>IF(ABS(VLOOKUP($A234,'5 A data'!$A$5:$U$1148,6,FALSE))&lt;4.5,IF(ABS(VLOOKUP($A234,'5 A data'!$A$5:$U$1148,6,FALSE))&lt;1.25,0.0008,0.002),0.004)*VLOOKUP($A234,'5 A data'!$A$5:$U$1148,7,FALSE)*25*RADIANS(1/60)*100</f>
        <v>2.9088820866572159E-3</v>
      </c>
      <c r="AF234" s="23">
        <f t="shared" si="476"/>
        <v>1.1635528346628865E-2</v>
      </c>
      <c r="AG234" s="29">
        <f t="shared" si="477"/>
        <v>3.0288399594127931E-4</v>
      </c>
      <c r="AH234" s="4">
        <f t="shared" ref="AH234:AH239" si="485">BurdenUnc*L226</f>
        <v>3.0543261909900768E-2</v>
      </c>
      <c r="AI234" s="4">
        <f t="shared" si="478"/>
        <v>1.2115359837651172E-3</v>
      </c>
      <c r="AJ234" s="4">
        <f t="shared" si="456"/>
        <v>5.0000000000000001E-4</v>
      </c>
      <c r="AK234" s="21">
        <f>VLOOKUP($D234,Uncertainties!$B$35:$D$41,3,FALSE)</f>
        <v>4.363323129985941E-3</v>
      </c>
      <c r="AL234" s="21"/>
      <c r="AM234" s="369">
        <f>SQRT((VLOOKUP($A234,'5 A data'!$A$5:$U$1148,7,FALSE)*mutual_ind)^2+(aux_CT_phase*J234)^2)</f>
        <v>1.7031016735255E-3</v>
      </c>
      <c r="AN234" s="29">
        <f t="shared" si="479"/>
        <v>3.3173583948104039E-2</v>
      </c>
      <c r="AO234" s="14">
        <f t="shared" si="480"/>
        <v>6.8126348137831592</v>
      </c>
      <c r="AP234" s="27">
        <f t="shared" si="481"/>
        <v>2.35806291360803</v>
      </c>
      <c r="AS234" s="27">
        <f>VLOOKUP($B234,TwoStageCT!$A$10:$H$72,5,FALSE)</f>
        <v>38.265350164989712</v>
      </c>
      <c r="AT234" s="27">
        <f>VLOOKUP($B234,TwoStageCT!$A$10:$H$72,8,FALSE)</f>
        <v>16.586629386739094</v>
      </c>
    </row>
    <row r="235" spans="1:46" x14ac:dyDescent="0.2">
      <c r="A235" s="409">
        <v>343</v>
      </c>
      <c r="B235" s="5" t="str">
        <f>B223&amp;D235</f>
        <v>120/20020</v>
      </c>
      <c r="C235" s="19">
        <f>VLOOKUP($A235,'5 A data'!$A$5:$U$650,3,FALSE)</f>
        <v>2.1000057980615688E-2</v>
      </c>
      <c r="D235" s="163">
        <f>ROUND(VLOOKUP($A235,'5 A data'!$A$5:$U$650,9,FALSE)/10,0)*10</f>
        <v>20</v>
      </c>
      <c r="E235" s="23">
        <f t="shared" si="460"/>
        <v>0.99936709902044762</v>
      </c>
      <c r="F235" s="23">
        <f t="shared" si="461"/>
        <v>1.0011822386327505</v>
      </c>
      <c r="G235" s="486">
        <f>VLOOKUP(B235,TwoStageCT!A$10:H$72,3,FALSE)/10000</f>
        <v>3.1280516301103777E-5</v>
      </c>
      <c r="H235" s="486">
        <f>VLOOKUP(B235,TwoStageCT!A$10:H$72,6,FALSE)/10000</f>
        <v>4.5493238991726806E-6</v>
      </c>
      <c r="I235" s="19">
        <f>VLOOKUP($A235,'5 A data'!$A$5:$U$650,10,FALSE)</f>
        <v>-0.159</v>
      </c>
      <c r="J235" s="32">
        <f>VLOOKUP($A235,'5 A data'!$A$5:$U$650,11,FALSE)</f>
        <v>0.24434609527920614</v>
      </c>
      <c r="K235" s="31"/>
      <c r="L235" s="31"/>
      <c r="M235" s="31">
        <f t="shared" si="482"/>
        <v>-0.15886808822795007</v>
      </c>
      <c r="N235" s="31">
        <f t="shared" si="483"/>
        <v>0.24463951999670613</v>
      </c>
      <c r="O235" s="20"/>
      <c r="P235" s="634">
        <f>VLOOKUP(B235,TwoStageCT!A$10:H$72,4,FALSE)/10000</f>
        <v>4.17832023036102E-6</v>
      </c>
      <c r="Q235" s="58">
        <f>VLOOKUP($A235,'5 A data'!$A$5:$U$650,7,FALSE)*slidewire_res</f>
        <v>1E-3</v>
      </c>
      <c r="R235" s="347">
        <f t="shared" si="470"/>
        <v>-3.9999999999999983E-3</v>
      </c>
      <c r="S235" s="4">
        <v>0</v>
      </c>
      <c r="T235" s="4">
        <f t="shared" si="484"/>
        <v>-2.0000000000000004E-2</v>
      </c>
      <c r="U235" s="29">
        <f t="shared" si="471"/>
        <v>-6.3547235291180025E-4</v>
      </c>
      <c r="V235" s="29">
        <f t="shared" si="449"/>
        <v>5.0000000000000001E-4</v>
      </c>
      <c r="W235" s="23">
        <f>VLOOKUP($D235,Uncertainties!$B$35:$D$41,2,FALSE)</f>
        <v>-1.0000000000000009E-3</v>
      </c>
      <c r="X235" s="23"/>
      <c r="Y235" s="24">
        <f t="shared" si="472"/>
        <v>-1.2329624725012092E-5</v>
      </c>
      <c r="Z235" s="23">
        <f t="shared" si="473"/>
        <v>2.0461036009677545E-2</v>
      </c>
      <c r="AA235" s="25">
        <f t="shared" si="474"/>
        <v>5.4684189459630206</v>
      </c>
      <c r="AB235" s="26">
        <f t="shared" si="475"/>
        <v>2.4797520082509505</v>
      </c>
      <c r="AC235" s="14"/>
      <c r="AD235" s="635">
        <f>VLOOKUP(B235,TwoStageCT!A$10:H$72,7,FALSE)/10000</f>
        <v>1.9770475075939077E-6</v>
      </c>
      <c r="AE235" s="366">
        <f>IF(ABS(VLOOKUP($A235,'5 A data'!$A$5:$U$1148,6,FALSE))&lt;4.5,IF(ABS(VLOOKUP($A235,'5 A data'!$A$5:$U$1148,6,FALSE))&lt;1.25,0.0008,0.002),0.004)*VLOOKUP($A235,'5 A data'!$A$5:$U$1148,7,FALSE)*25*RADIANS(1/60)*100</f>
        <v>2.9088820866572159E-3</v>
      </c>
      <c r="AF235" s="23">
        <f t="shared" si="476"/>
        <v>6.9813170079773175E-3</v>
      </c>
      <c r="AG235" s="29">
        <f t="shared" si="477"/>
        <v>2.4463951999670612E-4</v>
      </c>
      <c r="AH235" s="4">
        <f t="shared" si="485"/>
        <v>2.7925268031909273E-2</v>
      </c>
      <c r="AI235" s="4">
        <f t="shared" si="478"/>
        <v>9.7855807998682449E-4</v>
      </c>
      <c r="AJ235" s="4">
        <f t="shared" si="456"/>
        <v>5.0000000000000001E-4</v>
      </c>
      <c r="AK235" s="21">
        <f>VLOOKUP($D235,Uncertainties!$B$35:$D$41,3,FALSE)</f>
        <v>-1.454441043328647E-3</v>
      </c>
      <c r="AL235" s="21"/>
      <c r="AM235" s="369">
        <f>SQRT((VLOOKUP($A235,'5 A data'!$A$5:$U$1148,7,FALSE)*mutual_ind)^2+(aux_CT_phase*J235)^2)</f>
        <v>1.7021025442081081E-3</v>
      </c>
      <c r="AN235" s="29">
        <f t="shared" si="479"/>
        <v>2.9039644573458711E-2</v>
      </c>
      <c r="AO235" s="14">
        <f t="shared" si="480"/>
        <v>5.8236297798186127</v>
      </c>
      <c r="AP235" s="27">
        <f t="shared" si="481"/>
        <v>2.4407910914525131</v>
      </c>
      <c r="AS235" s="27">
        <f>VLOOKUP($B235,TwoStageCT!$A$10:$H$72,5,FALSE)</f>
        <v>36.657700403051521</v>
      </c>
      <c r="AT235" s="27">
        <f>VLOOKUP($B235,TwoStageCT!$A$10:$H$72,8,FALSE)</f>
        <v>53.09445811850042</v>
      </c>
    </row>
    <row r="236" spans="1:46" x14ac:dyDescent="0.2">
      <c r="A236" s="409">
        <v>344</v>
      </c>
      <c r="B236" s="5" t="str">
        <f>B223&amp;D236</f>
        <v>120/20040</v>
      </c>
      <c r="C236" s="19">
        <f>VLOOKUP($A236,'5 A data'!$A$5:$U$650,3,FALSE)</f>
        <v>2.1000057980615688E-2</v>
      </c>
      <c r="D236" s="163">
        <f>ROUND(VLOOKUP($A236,'5 A data'!$A$5:$U$650,9,FALSE)/10,0)*10</f>
        <v>40</v>
      </c>
      <c r="E236" s="23">
        <f t="shared" si="460"/>
        <v>0.99936709902044762</v>
      </c>
      <c r="F236" s="23">
        <f t="shared" si="461"/>
        <v>1.0011822386327505</v>
      </c>
      <c r="G236" s="486">
        <f>VLOOKUP(B236,TwoStageCT!A$10:H$72,3,FALSE)/10000</f>
        <v>2.5200167333853628E-5</v>
      </c>
      <c r="H236" s="486">
        <f>VLOOKUP(B236,TwoStageCT!A$10:H$72,6,FALSE)/10000</f>
        <v>5.7416420558101514E-6</v>
      </c>
      <c r="I236" s="19">
        <f>VLOOKUP($A236,'5 A data'!$A$5:$U$650,10,FALSE)</f>
        <v>-0.13900000000000001</v>
      </c>
      <c r="J236" s="32">
        <f>VLOOKUP($A236,'5 A data'!$A$5:$U$650,11,FALSE)</f>
        <v>0.20943951023931956</v>
      </c>
      <c r="K236" s="31"/>
      <c r="L236" s="31"/>
      <c r="M236" s="31">
        <f t="shared" si="482"/>
        <v>-0.13888682659650839</v>
      </c>
      <c r="N236" s="31">
        <f t="shared" si="483"/>
        <v>0.20969285936160462</v>
      </c>
      <c r="O236" s="20"/>
      <c r="P236" s="634">
        <f>VLOOKUP(B236,TwoStageCT!A$10:H$72,4,FALSE)/10000</f>
        <v>3.3964590328801363E-6</v>
      </c>
      <c r="Q236" s="58">
        <f>VLOOKUP($A236,'5 A data'!$A$5:$U$650,7,FALSE)*slidewire_res</f>
        <v>1E-3</v>
      </c>
      <c r="R236" s="347">
        <f t="shared" si="470"/>
        <v>-1.6000000000000016E-3</v>
      </c>
      <c r="S236" s="4">
        <v>0</v>
      </c>
      <c r="T236" s="4">
        <f t="shared" si="484"/>
        <v>-1.865E-2</v>
      </c>
      <c r="U236" s="29">
        <f t="shared" si="471"/>
        <v>-5.5554730638603361E-4</v>
      </c>
      <c r="V236" s="29">
        <f t="shared" si="449"/>
        <v>5.0000000000000001E-4</v>
      </c>
      <c r="W236" s="23">
        <f>VLOOKUP($D236,Uncertainties!$B$35:$D$41,2,FALSE)</f>
        <v>-1.0000000000000009E-3</v>
      </c>
      <c r="X236" s="23"/>
      <c r="Y236" s="24">
        <f t="shared" si="472"/>
        <v>-1.0778728533186673E-5</v>
      </c>
      <c r="Z236" s="23">
        <f t="shared" si="473"/>
        <v>1.8786730969664614E-2</v>
      </c>
      <c r="AA236" s="25">
        <f t="shared" si="474"/>
        <v>5.147903622200122</v>
      </c>
      <c r="AB236" s="26">
        <f t="shared" si="475"/>
        <v>2.5208483056505973</v>
      </c>
      <c r="AC236" s="14"/>
      <c r="AD236" s="635">
        <f>VLOOKUP(B236,TwoStageCT!A$10:H$72,7,FALSE)/10000</f>
        <v>1.6849048737447556E-6</v>
      </c>
      <c r="AE236" s="366">
        <f>IF(ABS(VLOOKUP($A236,'5 A data'!$A$5:$U$1148,6,FALSE))&lt;4.5,IF(ABS(VLOOKUP($A236,'5 A data'!$A$5:$U$1148,6,FALSE))&lt;1.25,0.0008,0.002),0.004)*VLOOKUP($A236,'5 A data'!$A$5:$U$1148,7,FALSE)*25*RADIANS(1/60)*100</f>
        <v>2.9088820866572159E-3</v>
      </c>
      <c r="AF236" s="23">
        <f t="shared" si="476"/>
        <v>2.908882086657222E-3</v>
      </c>
      <c r="AG236" s="29">
        <f t="shared" si="477"/>
        <v>2.0969285936160462E-4</v>
      </c>
      <c r="AH236" s="4">
        <f t="shared" si="485"/>
        <v>2.5161830049584923E-2</v>
      </c>
      <c r="AI236" s="4">
        <f t="shared" si="478"/>
        <v>8.3877143744641848E-4</v>
      </c>
      <c r="AJ236" s="4">
        <f t="shared" si="456"/>
        <v>5.0000000000000001E-4</v>
      </c>
      <c r="AK236" s="21">
        <f>VLOOKUP($D236,Uncertainties!$B$35:$D$41,3,FALSE)</f>
        <v>-2.908882086657183E-3</v>
      </c>
      <c r="AL236" s="21"/>
      <c r="AM236" s="369">
        <f>SQRT((VLOOKUP($A236,'5 A data'!$A$5:$U$1148,7,FALSE)*mutual_ind)^2+(aux_CT_phase*J236)^2)</f>
        <v>1.7016048866067741E-3</v>
      </c>
      <c r="AN236" s="29">
        <f t="shared" si="479"/>
        <v>2.5737044256771056E-2</v>
      </c>
      <c r="AO236" s="14">
        <f t="shared" si="480"/>
        <v>5.4706629495043915</v>
      </c>
      <c r="AP236" s="27">
        <f t="shared" si="481"/>
        <v>2.4794857692601306</v>
      </c>
      <c r="AS236" s="27">
        <f>VLOOKUP($B236,TwoStageCT!$A$10:$H$72,5,FALSE)</f>
        <v>38.659909732018328</v>
      </c>
      <c r="AT236" s="27">
        <f>VLOOKUP($B236,TwoStageCT!$A$10:$H$72,8,FALSE)</f>
        <v>52.499330597885681</v>
      </c>
    </row>
    <row r="237" spans="1:46" x14ac:dyDescent="0.2">
      <c r="A237" s="409">
        <v>345</v>
      </c>
      <c r="B237" s="5" t="str">
        <f>B223&amp;D237</f>
        <v>120/20060</v>
      </c>
      <c r="C237" s="19">
        <f>VLOOKUP($A237,'5 A data'!$A$5:$U$650,3,FALSE)</f>
        <v>2.1000057980615688E-2</v>
      </c>
      <c r="D237" s="163">
        <f>ROUND(VLOOKUP($A237,'5 A data'!$A$5:$U$650,9,FALSE)/10,0)*10</f>
        <v>60</v>
      </c>
      <c r="E237" s="23">
        <f t="shared" si="460"/>
        <v>0.99936709902044762</v>
      </c>
      <c r="F237" s="23">
        <f t="shared" si="461"/>
        <v>1.0011822386327505</v>
      </c>
      <c r="G237" s="486">
        <f>VLOOKUP(B237,TwoStageCT!A$10:H$72,3,FALSE)/10000</f>
        <v>2.195627602528684E-5</v>
      </c>
      <c r="H237" s="486">
        <f>VLOOKUP(B237,TwoStageCT!A$10:H$72,6,FALSE)/10000</f>
        <v>5.5507836163637805E-6</v>
      </c>
      <c r="I237" s="19">
        <f>VLOOKUP($A237,'5 A data'!$A$5:$U$650,10,FALSE)</f>
        <v>-0.13100000000000001</v>
      </c>
      <c r="J237" s="32">
        <f>VLOOKUP($A237,'5 A data'!$A$5:$U$650,11,FALSE)</f>
        <v>0.19489509980603345</v>
      </c>
      <c r="K237" s="31"/>
      <c r="L237" s="31"/>
      <c r="M237" s="31">
        <f t="shared" si="482"/>
        <v>-0.13089513369565337</v>
      </c>
      <c r="N237" s="31">
        <f t="shared" si="483"/>
        <v>0.19513106310597425</v>
      </c>
      <c r="O237" s="20"/>
      <c r="P237" s="634">
        <f>VLOOKUP(B237,TwoStageCT!A$10:H$72,4,FALSE)/10000</f>
        <v>2.9709098248278708E-6</v>
      </c>
      <c r="Q237" s="58">
        <f>VLOOKUP($A237,'5 A data'!$A$5:$U$650,7,FALSE)*slidewire_res</f>
        <v>1E-3</v>
      </c>
      <c r="R237" s="347">
        <f t="shared" si="470"/>
        <v>-1.8000000000000017E-3</v>
      </c>
      <c r="S237" s="4">
        <v>0</v>
      </c>
      <c r="T237" s="4">
        <f t="shared" si="484"/>
        <v>-1.8350000000000002E-2</v>
      </c>
      <c r="U237" s="29">
        <f t="shared" si="471"/>
        <v>-5.2358053478261343E-4</v>
      </c>
      <c r="V237" s="29">
        <f t="shared" si="449"/>
        <v>5.0000000000000001E-4</v>
      </c>
      <c r="W237" s="23">
        <f>VLOOKUP($D237,Uncertainties!$B$35:$D$41,2,FALSE)</f>
        <v>-1.0000000000000009E-3</v>
      </c>
      <c r="X237" s="23"/>
      <c r="Y237" s="24">
        <f t="shared" si="472"/>
        <v>-1.0158370056456503E-5</v>
      </c>
      <c r="Z237" s="23">
        <f t="shared" si="473"/>
        <v>1.8506397504516939E-2</v>
      </c>
      <c r="AA237" s="25">
        <f t="shared" si="474"/>
        <v>5.1721031556759298</v>
      </c>
      <c r="AB237" s="26">
        <f t="shared" si="475"/>
        <v>2.5175170134819886</v>
      </c>
      <c r="AC237" s="14"/>
      <c r="AD237" s="635">
        <f>VLOOKUP(B237,TwoStageCT!A$10:H$72,7,FALSE)/10000</f>
        <v>1.6017059195029239E-6</v>
      </c>
      <c r="AE237" s="366">
        <f>IF(ABS(VLOOKUP($A237,'5 A data'!$A$5:$U$1148,6,FALSE))&lt;4.5,IF(ABS(VLOOKUP($A237,'5 A data'!$A$5:$U$1148,6,FALSE))&lt;1.25,0.0008,0.002),0.004)*VLOOKUP($A237,'5 A data'!$A$5:$U$1148,7,FALSE)*25*RADIANS(1/60)*100</f>
        <v>2.9088820866572159E-3</v>
      </c>
      <c r="AF237" s="23">
        <f t="shared" si="476"/>
        <v>3.4906585039886587E-3</v>
      </c>
      <c r="AG237" s="29">
        <f t="shared" si="477"/>
        <v>1.9513106310597425E-4</v>
      </c>
      <c r="AH237" s="4">
        <f t="shared" si="485"/>
        <v>2.2398392067260565E-2</v>
      </c>
      <c r="AI237" s="4">
        <f t="shared" si="478"/>
        <v>7.8052425242389699E-4</v>
      </c>
      <c r="AJ237" s="4">
        <f t="shared" si="456"/>
        <v>5.0000000000000001E-4</v>
      </c>
      <c r="AK237" s="21">
        <f>VLOOKUP($D237,Uncertainties!$B$35:$D$41,3,FALSE)</f>
        <v>-2.908882086657183E-3</v>
      </c>
      <c r="AL237" s="21"/>
      <c r="AM237" s="369">
        <f>SQRT((VLOOKUP($A237,'5 A data'!$A$5:$U$1148,7,FALSE)*mutual_ind)^2+(aux_CT_phase*J237)^2)</f>
        <v>1.7014200888528222E-3</v>
      </c>
      <c r="AN237" s="29">
        <f t="shared" si="479"/>
        <v>2.3121158731840501E-2</v>
      </c>
      <c r="AO237" s="14">
        <f t="shared" si="480"/>
        <v>5.6714863369625839</v>
      </c>
      <c r="AP237" s="27">
        <f t="shared" si="481"/>
        <v>2.4567292346508052</v>
      </c>
      <c r="AS237" s="27">
        <f>VLOOKUP($B237,TwoStageCT!$A$10:$H$72,5,FALSE)</f>
        <v>42.291164682130272</v>
      </c>
      <c r="AT237" s="27">
        <f>VLOOKUP($B237,TwoStageCT!$A$10:$H$72,8,FALSE)</f>
        <v>48.978667479860043</v>
      </c>
    </row>
    <row r="238" spans="1:46" x14ac:dyDescent="0.2">
      <c r="A238" s="409">
        <v>346</v>
      </c>
      <c r="B238" s="5" t="str">
        <f>B223&amp;D238</f>
        <v>120/200100</v>
      </c>
      <c r="C238" s="19">
        <f>VLOOKUP($A238,'5 A data'!$A$5:$U$650,3,FALSE)</f>
        <v>2.1000057980615688E-2</v>
      </c>
      <c r="D238" s="164">
        <f>ROUND(VLOOKUP($A238,'5 A data'!$A$5:$U$650,9,FALSE)/10,0)*10</f>
        <v>100</v>
      </c>
      <c r="E238" s="23">
        <f t="shared" si="460"/>
        <v>0.99936709902044762</v>
      </c>
      <c r="F238" s="23">
        <f t="shared" si="461"/>
        <v>1.0011822386327505</v>
      </c>
      <c r="G238" s="486">
        <f>VLOOKUP(B238,TwoStageCT!A$10:H$72,3,FALSE)/10000</f>
        <v>1.6881396356939836E-5</v>
      </c>
      <c r="H238" s="486">
        <f>VLOOKUP(B238,TwoStageCT!A$10:H$72,6,FALSE)/10000</f>
        <v>7.3590724152435355E-6</v>
      </c>
      <c r="I238" s="19">
        <f>VLOOKUP($A238,'5 A data'!$A$5:$U$650,10,FALSE)</f>
        <v>-0.122</v>
      </c>
      <c r="J238" s="32">
        <f>VLOOKUP($A238,'5 A data'!$A$5:$U$650,11,FALSE)</f>
        <v>0.17744180728609016</v>
      </c>
      <c r="K238" s="31"/>
      <c r="L238" s="31"/>
      <c r="M238" s="31">
        <f t="shared" si="482"/>
        <v>-0.12190590468413766</v>
      </c>
      <c r="N238" s="31">
        <f t="shared" si="483"/>
        <v>0.1776589449181441</v>
      </c>
      <c r="O238" s="20"/>
      <c r="P238" s="634">
        <f>VLOOKUP(B238,TwoStageCT!A$10:H$72,4,FALSE)/10000</f>
        <v>2.4131313466023584E-6</v>
      </c>
      <c r="Q238" s="58">
        <f>VLOOKUP($A238,'5 A data'!$A$5:$U$650,7,FALSE)*slidewire_res</f>
        <v>1E-3</v>
      </c>
      <c r="R238" s="347">
        <f t="shared" si="470"/>
        <v>-4.000000000000004E-4</v>
      </c>
      <c r="S238" s="4">
        <v>0</v>
      </c>
      <c r="T238" s="4">
        <f t="shared" si="484"/>
        <v>-1.78E-2</v>
      </c>
      <c r="U238" s="29">
        <f t="shared" si="471"/>
        <v>-4.8762361873655062E-4</v>
      </c>
      <c r="V238" s="29">
        <f t="shared" si="449"/>
        <v>5.0000000000000001E-4</v>
      </c>
      <c r="W238" s="23">
        <f>VLOOKUP($D238,Uncertainties!$B$35:$D$41,2,FALSE)</f>
        <v>1.999999999999974E-3</v>
      </c>
      <c r="X238" s="23"/>
      <c r="Y238" s="24">
        <f t="shared" si="472"/>
        <v>-9.4604667701350635E-6</v>
      </c>
      <c r="Z238" s="23">
        <f t="shared" si="473"/>
        <v>1.795794732471348E-2</v>
      </c>
      <c r="AA238" s="25">
        <f t="shared" si="474"/>
        <v>5.1794557871642954</v>
      </c>
      <c r="AB238" s="26">
        <f t="shared" si="475"/>
        <v>2.5165127728435586</v>
      </c>
      <c r="AC238" s="14"/>
      <c r="AD238" s="635">
        <f>VLOOKUP(B238,TwoStageCT!A$10:H$72,7,FALSE)/10000</f>
        <v>1.6933288916776063E-6</v>
      </c>
      <c r="AE238" s="366">
        <f>IF(ABS(VLOOKUP($A238,'5 A data'!$A$5:$U$1148,6,FALSE))&lt;4.5,IF(ABS(VLOOKUP($A238,'5 A data'!$A$5:$U$1148,6,FALSE))&lt;1.25,0.0008,0.002),0.004)*VLOOKUP($A238,'5 A data'!$A$5:$U$1148,7,FALSE)*25*RADIANS(1/60)*100</f>
        <v>2.9088820866572159E-3</v>
      </c>
      <c r="AF238" s="23">
        <f t="shared" si="476"/>
        <v>5.8177641733144219E-4</v>
      </c>
      <c r="AG238" s="29">
        <f t="shared" si="477"/>
        <v>1.7765894491814411E-4</v>
      </c>
      <c r="AH238" s="4">
        <f t="shared" si="485"/>
        <v>1.7598736624276159E-2</v>
      </c>
      <c r="AI238" s="4">
        <f t="shared" si="478"/>
        <v>7.1063577967257644E-4</v>
      </c>
      <c r="AJ238" s="4">
        <f t="shared" si="456"/>
        <v>5.0000000000000001E-4</v>
      </c>
      <c r="AK238" s="21">
        <f>VLOOKUP($D238,Uncertainties!$B$35:$D$41,3,FALSE)</f>
        <v>-2.9088820866572385E-3</v>
      </c>
      <c r="AL238" s="21"/>
      <c r="AM238" s="369">
        <f>SQRT((VLOOKUP($A238,'5 A data'!$A$5:$U$1148,7,FALSE)*mutual_ind)^2+(aux_CT_phase*J238)^2)</f>
        <v>1.7012158573398307E-3</v>
      </c>
      <c r="AN238" s="29">
        <f t="shared" si="479"/>
        <v>1.8184000900001079E-2</v>
      </c>
      <c r="AO238" s="14">
        <f t="shared" si="480"/>
        <v>5.6925700484814747</v>
      </c>
      <c r="AP238" s="27">
        <f t="shared" si="481"/>
        <v>2.454456828057817</v>
      </c>
      <c r="AS238" s="27">
        <f>VLOOKUP($B238,TwoStageCT!$A$10:$H$72,5,FALSE)</f>
        <v>59.567261398457461</v>
      </c>
      <c r="AT238" s="27">
        <f>VLOOKUP($B238,TwoStageCT!$A$10:$H$72,8,FALSE)</f>
        <v>45.732629829898706</v>
      </c>
    </row>
    <row r="239" spans="1:46" x14ac:dyDescent="0.2">
      <c r="A239" s="409">
        <v>347</v>
      </c>
      <c r="B239" s="5" t="str">
        <f>B223&amp;D239</f>
        <v>120/200120</v>
      </c>
      <c r="C239" s="19">
        <f>VLOOKUP($A239,'5 A data'!$A$5:$U$650,3,FALSE)</f>
        <v>2.1000057980615688E-2</v>
      </c>
      <c r="D239" s="164">
        <f>ROUND(VLOOKUP($A239,'5 A data'!$A$5:$U$650,9,FALSE)/10,0)*10</f>
        <v>120</v>
      </c>
      <c r="E239" s="23">
        <f t="shared" si="460"/>
        <v>0.99936709902044762</v>
      </c>
      <c r="F239" s="23">
        <f t="shared" si="461"/>
        <v>1.0011822386327505</v>
      </c>
      <c r="G239" s="486">
        <f>VLOOKUP(B239,TwoStageCT!A$10:H$72,3,FALSE)/10000</f>
        <v>1.5213305302217845E-5</v>
      </c>
      <c r="H239" s="486">
        <f>VLOOKUP(B239,TwoStageCT!A$10:H$72,6,FALSE)/10000</f>
        <v>7.5885012454326174E-6</v>
      </c>
      <c r="I239" s="19">
        <f>VLOOKUP($A239,'5 A data'!$A$5:$U$650,10,FALSE)</f>
        <v>-0.12</v>
      </c>
      <c r="J239" s="32">
        <f>VLOOKUP($A239,'5 A data'!$A$5:$U$650,11,FALSE)</f>
        <v>0.17453292519943295</v>
      </c>
      <c r="K239" s="31"/>
      <c r="L239" s="31"/>
      <c r="M239" s="31">
        <f t="shared" si="482"/>
        <v>-0.1199088385771515</v>
      </c>
      <c r="N239" s="31">
        <f t="shared" si="483"/>
        <v>0.17474685326753611</v>
      </c>
      <c r="O239" s="20"/>
      <c r="P239" s="634">
        <f>VLOOKUP(B239,TwoStageCT!A$10:H$72,4,FALSE)/10000</f>
        <v>2.2681305202526645E-6</v>
      </c>
      <c r="Q239" s="58">
        <f>VLOOKUP($A239,'5 A data'!$A$5:$U$650,7,FALSE)*slidewire_res</f>
        <v>1E-3</v>
      </c>
      <c r="R239" s="347">
        <f t="shared" si="470"/>
        <v>0</v>
      </c>
      <c r="S239" s="4">
        <v>0</v>
      </c>
      <c r="T239" s="4">
        <f t="shared" si="484"/>
        <v>-1.7200000000000003E-2</v>
      </c>
      <c r="U239" s="29">
        <f t="shared" si="471"/>
        <v>-4.7963535430860601E-4</v>
      </c>
      <c r="V239" s="29">
        <f t="shared" si="449"/>
        <v>5.0000000000000001E-4</v>
      </c>
      <c r="W239" s="23">
        <f>VLOOKUP($D239,Uncertainties!$B$35:$D$41,2,FALSE)</f>
        <v>-1.0000000000000009E-3</v>
      </c>
      <c r="X239" s="23"/>
      <c r="Y239" s="24">
        <f t="shared" si="472"/>
        <v>-9.3053771509525226E-6</v>
      </c>
      <c r="Z239" s="23">
        <f t="shared" si="473"/>
        <v>1.7271946671049063E-2</v>
      </c>
      <c r="AA239" s="25">
        <f t="shared" si="474"/>
        <v>5.0840972655950569</v>
      </c>
      <c r="AB239" s="26">
        <f t="shared" si="475"/>
        <v>2.5298281136224894</v>
      </c>
      <c r="AC239" s="14"/>
      <c r="AD239" s="635">
        <f>VLOOKUP(B239,TwoStageCT!A$10:H$72,7,FALSE)/10000</f>
        <v>1.7092397901526349E-6</v>
      </c>
      <c r="AE239" s="366">
        <f>IF(ABS(VLOOKUP($A239,'5 A data'!$A$5:$U$1148,6,FALSE))&lt;4.5,IF(ABS(VLOOKUP($A239,'5 A data'!$A$5:$U$1148,6,FALSE))&lt;1.25,0.0008,0.002),0.004)*VLOOKUP($A239,'5 A data'!$A$5:$U$1148,7,FALSE)*25*RADIANS(1/60)*100</f>
        <v>2.9088820866572159E-3</v>
      </c>
      <c r="AF239" s="23">
        <f t="shared" si="476"/>
        <v>0</v>
      </c>
      <c r="AG239" s="29">
        <f t="shared" si="477"/>
        <v>1.7474685326753612E-4</v>
      </c>
      <c r="AH239" s="4">
        <f t="shared" si="485"/>
        <v>1.5707963267948967E-2</v>
      </c>
      <c r="AI239" s="4">
        <f t="shared" si="478"/>
        <v>6.9898741307014448E-4</v>
      </c>
      <c r="AJ239" s="4">
        <f t="shared" si="456"/>
        <v>5.0000000000000001E-4</v>
      </c>
      <c r="AK239" s="21">
        <f>VLOOKUP($D239,Uncertainties!$B$35:$D$41,3,FALSE)</f>
        <v>1.4544410433285915E-3</v>
      </c>
      <c r="AL239" s="21"/>
      <c r="AM239" s="369">
        <f>SQRT((VLOOKUP($A239,'5 A data'!$A$5:$U$1148,7,FALSE)*mutual_ind)^2+(aux_CT_phase*J239)^2)</f>
        <v>1.7011836780036968E-3</v>
      </c>
      <c r="AN239" s="29">
        <f t="shared" si="479"/>
        <v>1.6154883238946427E-2</v>
      </c>
      <c r="AO239" s="14">
        <f t="shared" si="480"/>
        <v>5.5862550844292738</v>
      </c>
      <c r="AP239" s="27">
        <f t="shared" si="481"/>
        <v>2.4661356491409667</v>
      </c>
      <c r="AS239" s="27">
        <f>VLOOKUP($B239,TwoStageCT!$A$10:$H$72,5,FALSE)</f>
        <v>68.00069900375496</v>
      </c>
      <c r="AT239" s="27">
        <f>VLOOKUP($B239,TwoStageCT!$A$10:$H$72,8,FALSE)</f>
        <v>47.345132453902309</v>
      </c>
    </row>
    <row r="240" spans="1:46" x14ac:dyDescent="0.2">
      <c r="A240" s="409">
        <v>348</v>
      </c>
      <c r="P240" s="97"/>
      <c r="R240" s="42"/>
      <c r="AD240" s="250"/>
    </row>
    <row r="241" spans="1:46" x14ac:dyDescent="0.2">
      <c r="A241" s="409">
        <v>349</v>
      </c>
      <c r="B241" s="474" t="str">
        <f>MID(D241,FIND("AT,",D241,1)-4,3)&amp;"/"&amp;MID(D241,FIND("AT,",D241,1)+4,3)</f>
        <v>120/200</v>
      </c>
      <c r="C241" t="s">
        <v>113</v>
      </c>
      <c r="D241" s="59" t="str">
        <f>VLOOKUP($A241,'5 A data'!$A$5:$U$574,2,FALSE)</f>
        <v>200/5 Range, 1 turns @ 5VA burden, vs 120 AT, 200 range, 2 Stage CT</v>
      </c>
      <c r="M241" s="502" t="s">
        <v>490</v>
      </c>
      <c r="P241" s="97"/>
      <c r="R241" s="42"/>
      <c r="Z241" s="29"/>
      <c r="AA241" s="25"/>
      <c r="AD241" s="250"/>
      <c r="AN241" s="29"/>
      <c r="AO241" s="14"/>
    </row>
    <row r="242" spans="1:46" x14ac:dyDescent="0.2">
      <c r="A242" s="409">
        <v>350</v>
      </c>
      <c r="C242" s="19"/>
      <c r="M242" s="638" t="s">
        <v>160</v>
      </c>
      <c r="N242" s="638"/>
      <c r="O242" s="19"/>
      <c r="P242" s="97"/>
      <c r="R242" s="42"/>
      <c r="Z242" s="29"/>
      <c r="AA242" s="25"/>
      <c r="AD242" s="250"/>
      <c r="AN242" s="29"/>
      <c r="AO242" s="14"/>
    </row>
    <row r="243" spans="1:46" x14ac:dyDescent="0.2">
      <c r="A243" s="409">
        <v>351</v>
      </c>
      <c r="B243" s="5" t="str">
        <f>B241&amp;D243</f>
        <v>120/2005</v>
      </c>
      <c r="C243" s="19">
        <f>VLOOKUP($A243,'5 A data'!$A$5:$U$574,3,FALSE)</f>
        <v>0.21600059637204713</v>
      </c>
      <c r="D243" s="19">
        <f>ROUND(VLOOKUP($A243,'5 A data'!$A$5:$U$650,9,FALSE),0)</f>
        <v>5</v>
      </c>
      <c r="E243" s="23">
        <f>TestSetRatioCor</f>
        <v>0.99936709902044762</v>
      </c>
      <c r="F243" s="23">
        <f>TestSetPhaseCor</f>
        <v>1.0011822386327505</v>
      </c>
      <c r="G243" s="486">
        <f>VLOOKUP(B243,TwoStageCT!A$10:H$72,3,FALSE)/10000</f>
        <v>3.6805932694608759E-5</v>
      </c>
      <c r="H243" s="486">
        <f>VLOOKUP(B243,TwoStageCT!A$10:H$72,6,FALSE)/10000</f>
        <v>4.6965346060309593E-6</v>
      </c>
      <c r="I243" s="19">
        <f>VLOOKUP($A243,'5 A data'!$A$5:$U$650,10,FALSE)</f>
        <v>-1.0900000000000001</v>
      </c>
      <c r="J243" s="32">
        <f>VLOOKUP($A243,'5 A data'!$A$5:$U$650,11,FALSE)</f>
        <v>0.52650765768495611</v>
      </c>
      <c r="K243" s="22">
        <f>I243-I251</f>
        <v>-0.8610000000000001</v>
      </c>
      <c r="L243" s="22">
        <f>J243-J251</f>
        <v>0.14835298641951805</v>
      </c>
      <c r="M243" s="501">
        <f>I243*E243+G243</f>
        <v>-1.0892733319995935</v>
      </c>
      <c r="N243" s="501">
        <f>J243*F243+H243</f>
        <v>0.52713481191291622</v>
      </c>
      <c r="O243" s="20"/>
      <c r="P243" s="634">
        <f>VLOOKUP(B243,TwoStageCT!A$10:H$72,4,FALSE)/10000</f>
        <v>6.4429594675743464E-6</v>
      </c>
      <c r="Q243" s="58">
        <f>VLOOKUP($A243,'5 A data'!$A$5:$U$650,7,FALSE)*slidewire_res</f>
        <v>0.01</v>
      </c>
      <c r="R243" s="347">
        <f t="shared" ref="R243:R249" si="486">current_coef*(I243-I244)*IF(I244=0,0,1)</f>
        <v>-2.7600000000000027E-2</v>
      </c>
      <c r="S243" s="4">
        <v>0</v>
      </c>
      <c r="T243" s="21">
        <f>BurdenUnc*K243</f>
        <v>-4.3050000000000005E-2</v>
      </c>
      <c r="U243" s="29">
        <f>0.004*M243</f>
        <v>-4.3570933279983744E-3</v>
      </c>
      <c r="V243" s="29">
        <f t="shared" ref="V243:V257" si="487">earthing_Re</f>
        <v>5.0000000000000001E-4</v>
      </c>
      <c r="W243" s="23">
        <f>VLOOKUP($D243,Uncertainties!$B$35:$D$41,2,FALSE)</f>
        <v>5.0000000000000044E-3</v>
      </c>
      <c r="X243" s="23"/>
      <c r="Y243" s="24">
        <f t="shared" ref="Y243:Y249" si="488">I243*aux_CT_ratio</f>
        <v>-8.4523842454485421E-5</v>
      </c>
      <c r="Z243" s="23">
        <f t="shared" ref="Z243:Z249" si="489">SQRT(SUMSQ(P243:Y243))</f>
        <v>5.2529077167418045E-2</v>
      </c>
      <c r="AA243" s="25">
        <f t="shared" ref="AA243:AA249" si="490">DoF_A(P243:Y243,$P$7:$Y$7)</f>
        <v>9.4566306836583784</v>
      </c>
      <c r="AB243" s="26">
        <f t="shared" ref="AB243:AB249" si="491">CoverFactor(AA243)</f>
        <v>2.2334631135342931</v>
      </c>
      <c r="AC243" s="14"/>
      <c r="AD243" s="635">
        <f>VLOOKUP(B243,TwoStageCT!A$10:H$72,7,FALSE)/10000</f>
        <v>4.6788986298833412E-6</v>
      </c>
      <c r="AE243" s="366">
        <f>IF(ABS(VLOOKUP($A243,'5 A data'!$A$5:$U$1148,6,FALSE))&lt;4.5,IF(ABS(VLOOKUP($A243,'5 A data'!$A$5:$U$1148,6,FALSE))&lt;1.25,0.0008,0.002),0.004)*VLOOKUP($A243,'5 A data'!$A$5:$U$1148,7,FALSE)*25*RADIANS(1/60)*100</f>
        <v>1.454441043328608E-2</v>
      </c>
      <c r="AF243" s="23">
        <f>current_coef*(J243-J244)*IF(J244=0,0,1)</f>
        <v>1.6871516102611873E-2</v>
      </c>
      <c r="AG243" s="29">
        <f t="shared" ref="AG243:AG249" si="492">0.001*N243</f>
        <v>5.271348119129162E-4</v>
      </c>
      <c r="AH243" s="4">
        <f>BurdenUnc*L243</f>
        <v>7.4176493209759031E-3</v>
      </c>
      <c r="AI243" s="4">
        <f t="shared" ref="AI243:AI249" si="493">0.004*N243</f>
        <v>2.1085392476516648E-3</v>
      </c>
      <c r="AJ243" s="4">
        <f t="shared" ref="AJ243:AJ257" si="494">earthing_Im</f>
        <v>5.0000000000000001E-4</v>
      </c>
      <c r="AK243" s="21">
        <f>VLOOKUP($D243,Uncertainties!$B$35:$D$41,3,FALSE)</f>
        <v>-1.1635528346628732E-2</v>
      </c>
      <c r="AL243" s="21"/>
      <c r="AM243" s="369">
        <f>SQRT((VLOOKUP($A243,'5 A data'!$A$5:$U$1148,7,FALSE)*mutual_ind)^2+(aux_CT_phase*J243)^2)</f>
        <v>1.7003131715320884E-2</v>
      </c>
      <c r="AN243" s="29">
        <f t="shared" ref="AN243:AN249" si="495">SQRT(SUMSQ(AD243:AM243))</f>
        <v>3.1315735512617439E-2</v>
      </c>
      <c r="AO243" s="14">
        <f t="shared" ref="AO243:AO249" si="496">DoF_A(AD243:AM243,$AD$7:$AM$7)</f>
        <v>21.883707711780374</v>
      </c>
      <c r="AP243" s="27">
        <f t="shared" ref="AP243:AP249" si="497">CoverFactor(AO243)</f>
        <v>2.0717279100816426</v>
      </c>
      <c r="AS243" s="27">
        <f>VLOOKUP($B243,TwoStageCT!$A$10:$H$72,5,FALSE)</f>
        <v>26.31606241070681</v>
      </c>
      <c r="AT243" s="27">
        <f>VLOOKUP($B243,TwoStageCT!$A$10:$H$72,8,FALSE)</f>
        <v>9.9413455012810044</v>
      </c>
    </row>
    <row r="244" spans="1:46" x14ac:dyDescent="0.2">
      <c r="A244" s="409">
        <v>352</v>
      </c>
      <c r="B244" s="5" t="str">
        <f>B241&amp;D244</f>
        <v>120/20010</v>
      </c>
      <c r="C244" s="19">
        <f>VLOOKUP($A244,'5 A data'!$A$5:$U$650,3,FALSE)</f>
        <v>0.21600059637204713</v>
      </c>
      <c r="D244" s="163">
        <f>ROUND(VLOOKUP($A244,'5 A data'!$A$5:$U$650,9,FALSE)/10,0)*10</f>
        <v>10</v>
      </c>
      <c r="E244" s="23">
        <f t="shared" ref="E244:E257" si="498">TestSetRatioCor</f>
        <v>0.99936709902044762</v>
      </c>
      <c r="F244" s="23">
        <f t="shared" ref="F244:F257" si="499">TestSetPhaseCor</f>
        <v>1.0011822386327505</v>
      </c>
      <c r="G244" s="486">
        <f>VLOOKUP(B244,TwoStageCT!A$10:H$72,3,FALSE)/10000</f>
        <v>3.4690340839935311E-5</v>
      </c>
      <c r="H244" s="486">
        <f>VLOOKUP(B244,TwoStageCT!A$10:H$72,6,FALSE)/10000</f>
        <v>2.6036797087866982E-6</v>
      </c>
      <c r="I244" s="19">
        <f>VLOOKUP($A244,'5 A data'!$A$5:$U$650,10,FALSE)</f>
        <v>-0.95199999999999996</v>
      </c>
      <c r="J244" s="32">
        <f>VLOOKUP($A244,'5 A data'!$A$5:$U$650,11,FALSE)</f>
        <v>0.44215007717189675</v>
      </c>
      <c r="K244" s="22">
        <f t="shared" ref="K244:K249" si="500">I244-I252</f>
        <v>-0.7649999999999999</v>
      </c>
      <c r="L244" s="22">
        <f t="shared" ref="L244:L249" si="501">J244-J252</f>
        <v>0.13817189911621769</v>
      </c>
      <c r="M244" s="501">
        <f t="shared" ref="M244:M249" si="502">I244*E244+G244</f>
        <v>-0.95136278792662621</v>
      </c>
      <c r="N244" s="501">
        <f t="shared" ref="N244:N249" si="503">J244*F244+H244</f>
        <v>0.44267540775431174</v>
      </c>
      <c r="O244" s="20"/>
      <c r="P244" s="634">
        <f>VLOOKUP(B244,TwoStageCT!A$10:H$72,4,FALSE)/10000</f>
        <v>5.0170517941146892E-6</v>
      </c>
      <c r="Q244" s="58">
        <f>VLOOKUP($A244,'5 A data'!$A$5:$U$650,7,FALSE)*slidewire_res</f>
        <v>2E-3</v>
      </c>
      <c r="R244" s="347">
        <f t="shared" si="486"/>
        <v>-2.0799999999999999E-2</v>
      </c>
      <c r="S244" s="4">
        <v>0</v>
      </c>
      <c r="T244" s="21">
        <f t="shared" ref="T244:T249" si="504">BurdenUnc*K244</f>
        <v>-3.8249999999999999E-2</v>
      </c>
      <c r="U244" s="29">
        <f t="shared" ref="U244:U249" si="505">0.004*M244</f>
        <v>-3.8054511517065051E-3</v>
      </c>
      <c r="V244" s="29">
        <f t="shared" si="487"/>
        <v>5.0000000000000001E-4</v>
      </c>
      <c r="W244" s="23">
        <f>VLOOKUP($D244,Uncertainties!$B$35:$D$41,2,FALSE)</f>
        <v>2.5000000000000022E-3</v>
      </c>
      <c r="X244" s="23"/>
      <c r="Y244" s="24">
        <f t="shared" si="488"/>
        <v>-7.3822658730890011E-5</v>
      </c>
      <c r="Z244" s="23">
        <f t="shared" si="489"/>
        <v>4.3825670940942536E-2</v>
      </c>
      <c r="AA244" s="25">
        <f t="shared" si="490"/>
        <v>7.9233127397137233</v>
      </c>
      <c r="AB244" s="26">
        <f t="shared" si="491"/>
        <v>2.2939245055385324</v>
      </c>
      <c r="AC244" s="14"/>
      <c r="AD244" s="635">
        <f>VLOOKUP(B244,TwoStageCT!A$10:H$72,7,FALSE)/10000</f>
        <v>2.600738521505678E-6</v>
      </c>
      <c r="AE244" s="366">
        <f>IF(ABS(VLOOKUP($A244,'5 A data'!$A$5:$U$1148,6,FALSE))&lt;4.5,IF(ABS(VLOOKUP($A244,'5 A data'!$A$5:$U$1148,6,FALSE))&lt;1.25,0.0008,0.002),0.004)*VLOOKUP($A244,'5 A data'!$A$5:$U$1148,7,FALSE)*25*RADIANS(1/60)*100</f>
        <v>5.8177641733144318E-3</v>
      </c>
      <c r="AF244" s="23">
        <f t="shared" ref="AF244:AF249" si="506">current_coef*(J244-J245)*IF(J245=0,0,1)</f>
        <v>1.2217304763960291E-2</v>
      </c>
      <c r="AG244" s="29">
        <f t="shared" si="492"/>
        <v>4.4267540775431177E-4</v>
      </c>
      <c r="AH244" s="4">
        <f t="shared" ref="AH244:AH249" si="507">BurdenUnc*L244</f>
        <v>6.908594955810885E-3</v>
      </c>
      <c r="AI244" s="4">
        <f t="shared" si="493"/>
        <v>1.7707016310172471E-3</v>
      </c>
      <c r="AJ244" s="4">
        <f t="shared" si="494"/>
        <v>5.0000000000000001E-4</v>
      </c>
      <c r="AK244" s="21">
        <f>VLOOKUP($D244,Uncertainties!$B$35:$D$41,3,FALSE)</f>
        <v>4.363323129985941E-3</v>
      </c>
      <c r="AL244" s="21"/>
      <c r="AM244" s="369">
        <f>SQRT((VLOOKUP($A244,'5 A data'!$A$5:$U$1148,7,FALSE)*mutual_ind)^2+(aux_CT_phase*J244)^2)</f>
        <v>3.4035245624816418E-3</v>
      </c>
      <c r="AN244" s="29">
        <f t="shared" si="495"/>
        <v>1.6280095843264807E-2</v>
      </c>
      <c r="AO244" s="14">
        <f t="shared" si="496"/>
        <v>13.513189234886338</v>
      </c>
      <c r="AP244" s="27">
        <f t="shared" si="497"/>
        <v>2.1453830857030929</v>
      </c>
      <c r="AS244" s="27">
        <f>VLOOKUP($B244,TwoStageCT!$A$10:$H$72,5,FALSE)</f>
        <v>38.265350164989712</v>
      </c>
      <c r="AT244" s="27">
        <f>VLOOKUP($B244,TwoStageCT!$A$10:$H$72,8,FALSE)</f>
        <v>16.586629386739094</v>
      </c>
    </row>
    <row r="245" spans="1:46" x14ac:dyDescent="0.2">
      <c r="A245" s="409">
        <v>353</v>
      </c>
      <c r="B245" s="5" t="str">
        <f>B241&amp;D245</f>
        <v>120/20020</v>
      </c>
      <c r="C245" s="19">
        <f>VLOOKUP($A245,'5 A data'!$A$5:$U$650,3,FALSE)</f>
        <v>0.21600059637204713</v>
      </c>
      <c r="D245" s="163">
        <f>ROUND(VLOOKUP($A245,'5 A data'!$A$5:$U$650,9,FALSE)/10,0)*10</f>
        <v>20</v>
      </c>
      <c r="E245" s="23">
        <f t="shared" si="498"/>
        <v>0.99936709902044762</v>
      </c>
      <c r="F245" s="23">
        <f t="shared" si="499"/>
        <v>1.0011822386327505</v>
      </c>
      <c r="G245" s="486">
        <f>VLOOKUP(B245,TwoStageCT!A$10:H$72,3,FALSE)/10000</f>
        <v>3.1280516301103777E-5</v>
      </c>
      <c r="H245" s="486">
        <f>VLOOKUP(B245,TwoStageCT!A$10:H$72,6,FALSE)/10000</f>
        <v>4.5493238991726806E-6</v>
      </c>
      <c r="I245" s="19">
        <f>VLOOKUP($A245,'5 A data'!$A$5:$U$650,10,FALSE)</f>
        <v>-0.84799999999999998</v>
      </c>
      <c r="J245" s="32">
        <f>VLOOKUP($A245,'5 A data'!$A$5:$U$650,11,FALSE)</f>
        <v>0.3810635533520953</v>
      </c>
      <c r="K245" s="22">
        <f t="shared" si="500"/>
        <v>-0.69099999999999995</v>
      </c>
      <c r="L245" s="22">
        <f t="shared" si="501"/>
        <v>0.13671745807288915</v>
      </c>
      <c r="M245" s="501">
        <f t="shared" si="502"/>
        <v>-0.84743201945303848</v>
      </c>
      <c r="N245" s="501">
        <f t="shared" si="503"/>
        <v>0.38151861073030047</v>
      </c>
      <c r="O245" s="20"/>
      <c r="P245" s="634">
        <f>VLOOKUP(B245,TwoStageCT!A$10:H$72,4,FALSE)/10000</f>
        <v>4.17832023036102E-6</v>
      </c>
      <c r="Q245" s="364">
        <f>VLOOKUP($A245,'5 A data'!$A$5:$U$650,7,FALSE)*slidewire_res</f>
        <v>2E-3</v>
      </c>
      <c r="R245" s="347">
        <f t="shared" si="486"/>
        <v>-1.6399999999999994E-2</v>
      </c>
      <c r="S245" s="4">
        <v>0</v>
      </c>
      <c r="T245" s="21">
        <f t="shared" si="504"/>
        <v>-3.4549999999999997E-2</v>
      </c>
      <c r="U245" s="29">
        <f t="shared" si="505"/>
        <v>-3.3897280778121541E-3</v>
      </c>
      <c r="V245" s="29">
        <f t="shared" si="487"/>
        <v>5.0000000000000001E-4</v>
      </c>
      <c r="W245" s="23">
        <f>VLOOKUP($D245,Uncertainties!$B$35:$D$41,2,FALSE)</f>
        <v>-1.0000000000000009E-3</v>
      </c>
      <c r="X245" s="23"/>
      <c r="Y245" s="24">
        <f t="shared" si="488"/>
        <v>-6.5757998533397827E-5</v>
      </c>
      <c r="Z245" s="23">
        <f t="shared" si="489"/>
        <v>3.8463061474799935E-2</v>
      </c>
      <c r="AA245" s="25">
        <f t="shared" si="490"/>
        <v>7.3080854876244468</v>
      </c>
      <c r="AB245" s="26">
        <f t="shared" si="491"/>
        <v>2.3266013307590399</v>
      </c>
      <c r="AC245" s="14"/>
      <c r="AD245" s="635">
        <f>VLOOKUP(B245,TwoStageCT!A$10:H$72,7,FALSE)/10000</f>
        <v>1.9770475075939077E-6</v>
      </c>
      <c r="AE245" s="366">
        <f>IF(ABS(VLOOKUP($A245,'5 A data'!$A$5:$U$1148,6,FALSE))&lt;4.5,IF(ABS(VLOOKUP($A245,'5 A data'!$A$5:$U$1148,6,FALSE))&lt;1.25,0.0008,0.002),0.004)*VLOOKUP($A245,'5 A data'!$A$5:$U$1148,7,FALSE)*25*RADIANS(1/60)*100</f>
        <v>5.8177641733144318E-3</v>
      </c>
      <c r="AF245" s="23">
        <f t="shared" si="506"/>
        <v>9.3084226773030854E-3</v>
      </c>
      <c r="AG245" s="29">
        <f t="shared" si="492"/>
        <v>3.8151861073030049E-4</v>
      </c>
      <c r="AH245" s="4">
        <f t="shared" si="507"/>
        <v>6.8358729036444577E-3</v>
      </c>
      <c r="AI245" s="4">
        <f t="shared" si="493"/>
        <v>1.526074442921202E-3</v>
      </c>
      <c r="AJ245" s="4">
        <f t="shared" si="494"/>
        <v>5.0000000000000001E-4</v>
      </c>
      <c r="AK245" s="21">
        <f>VLOOKUP($D245,Uncertainties!$B$35:$D$41,3,FALSE)</f>
        <v>-1.454441043328647E-3</v>
      </c>
      <c r="AL245" s="21"/>
      <c r="AM245" s="369">
        <f>SQRT((VLOOKUP($A245,'5 A data'!$A$5:$U$1148,7,FALSE)*mutual_ind)^2+(aux_CT_phase*J245)^2)</f>
        <v>3.4027344766446531E-3</v>
      </c>
      <c r="AN245" s="29">
        <f t="shared" si="495"/>
        <v>1.355141082330045E-2</v>
      </c>
      <c r="AO245" s="14">
        <f t="shared" si="496"/>
        <v>15.359480914249851</v>
      </c>
      <c r="AP245" s="27">
        <f t="shared" si="497"/>
        <v>2.1217896882591525</v>
      </c>
      <c r="AS245" s="27">
        <f>VLOOKUP($B245,TwoStageCT!$A$10:$H$72,5,FALSE)</f>
        <v>36.657700403051521</v>
      </c>
      <c r="AT245" s="27">
        <f>VLOOKUP($B245,TwoStageCT!$A$10:$H$72,8,FALSE)</f>
        <v>53.09445811850042</v>
      </c>
    </row>
    <row r="246" spans="1:46" x14ac:dyDescent="0.2">
      <c r="A246" s="409">
        <v>354</v>
      </c>
      <c r="B246" s="5" t="str">
        <f>B241&amp;D246</f>
        <v>120/20040</v>
      </c>
      <c r="C246" s="19">
        <f>VLOOKUP($A246,'5 A data'!$A$5:$U$650,3,FALSE)</f>
        <v>0.21600059637204713</v>
      </c>
      <c r="D246" s="163">
        <f>ROUND(VLOOKUP($A246,'5 A data'!$A$5:$U$650,9,FALSE)/10,0)*10</f>
        <v>40</v>
      </c>
      <c r="E246" s="23">
        <f t="shared" si="498"/>
        <v>0.99936709902044762</v>
      </c>
      <c r="F246" s="23">
        <f t="shared" si="499"/>
        <v>1.0011822386327505</v>
      </c>
      <c r="G246" s="486">
        <f>VLOOKUP(B246,TwoStageCT!A$10:H$72,3,FALSE)/10000</f>
        <v>2.5200167333853628E-5</v>
      </c>
      <c r="H246" s="486">
        <f>VLOOKUP(B246,TwoStageCT!A$10:H$72,6,FALSE)/10000</f>
        <v>5.7416420558101514E-6</v>
      </c>
      <c r="I246" s="19">
        <f>VLOOKUP($A246,'5 A data'!$A$5:$U$650,10,FALSE)</f>
        <v>-0.76600000000000001</v>
      </c>
      <c r="J246" s="32">
        <f>VLOOKUP($A246,'5 A data'!$A$5:$U$650,11,FALSE)</f>
        <v>0.33452143996557987</v>
      </c>
      <c r="K246" s="22">
        <f t="shared" si="500"/>
        <v>-0.627</v>
      </c>
      <c r="L246" s="22">
        <f t="shared" si="501"/>
        <v>0.12508192972626031</v>
      </c>
      <c r="M246" s="501">
        <f t="shared" si="502"/>
        <v>-0.76548999768232906</v>
      </c>
      <c r="N246" s="501">
        <f t="shared" si="503"/>
        <v>0.33492266577744628</v>
      </c>
      <c r="O246" s="20"/>
      <c r="P246" s="634">
        <f>VLOOKUP(B246,TwoStageCT!A$10:H$72,4,FALSE)/10000</f>
        <v>3.3964590328801363E-6</v>
      </c>
      <c r="Q246" s="58">
        <f>VLOOKUP($A246,'5 A data'!$A$5:$U$650,7,FALSE)*slidewire_res</f>
        <v>2E-3</v>
      </c>
      <c r="R246" s="347">
        <f t="shared" si="486"/>
        <v>-8.4000000000000082E-3</v>
      </c>
      <c r="S246" s="4">
        <v>0</v>
      </c>
      <c r="T246" s="21">
        <f t="shared" si="504"/>
        <v>-3.1350000000000003E-2</v>
      </c>
      <c r="U246" s="29">
        <f t="shared" si="505"/>
        <v>-3.0619599907293162E-3</v>
      </c>
      <c r="V246" s="29">
        <f t="shared" si="487"/>
        <v>5.0000000000000001E-4</v>
      </c>
      <c r="W246" s="23">
        <f>VLOOKUP($D246,Uncertainties!$B$35:$D$41,2,FALSE)</f>
        <v>-1.0000000000000009E-3</v>
      </c>
      <c r="X246" s="23"/>
      <c r="Y246" s="24">
        <f t="shared" si="488"/>
        <v>-5.93993241469136E-5</v>
      </c>
      <c r="Z246" s="23">
        <f t="shared" si="489"/>
        <v>3.2680447347006598E-2</v>
      </c>
      <c r="AA246" s="25">
        <f t="shared" si="490"/>
        <v>5.8734380694393762</v>
      </c>
      <c r="AB246" s="26">
        <f t="shared" si="491"/>
        <v>2.4357964290082186</v>
      </c>
      <c r="AC246" s="14"/>
      <c r="AD246" s="635">
        <f>VLOOKUP(B246,TwoStageCT!A$10:H$72,7,FALSE)/10000</f>
        <v>1.6849048737447556E-6</v>
      </c>
      <c r="AE246" s="366">
        <f>IF(ABS(VLOOKUP($A246,'5 A data'!$A$5:$U$1148,6,FALSE))&lt;4.5,IF(ABS(VLOOKUP($A246,'5 A data'!$A$5:$U$1148,6,FALSE))&lt;1.25,0.0008,0.002),0.004)*VLOOKUP($A246,'5 A data'!$A$5:$U$1148,7,FALSE)*25*RADIANS(1/60)*100</f>
        <v>5.8177641733144318E-3</v>
      </c>
      <c r="AF246" s="23">
        <f t="shared" si="506"/>
        <v>8.7266462599716599E-3</v>
      </c>
      <c r="AG246" s="29">
        <f t="shared" si="492"/>
        <v>3.3492266577744628E-4</v>
      </c>
      <c r="AH246" s="4">
        <f t="shared" si="507"/>
        <v>6.2540964863130157E-3</v>
      </c>
      <c r="AI246" s="4">
        <f t="shared" si="493"/>
        <v>1.3396906631097851E-3</v>
      </c>
      <c r="AJ246" s="4">
        <f t="shared" si="494"/>
        <v>5.0000000000000001E-4</v>
      </c>
      <c r="AK246" s="21">
        <f>VLOOKUP($D246,Uncertainties!$B$35:$D$41,3,FALSE)</f>
        <v>-2.908882086657183E-3</v>
      </c>
      <c r="AL246" s="21"/>
      <c r="AM246" s="369">
        <f>SQRT((VLOOKUP($A246,'5 A data'!$A$5:$U$1148,7,FALSE)*mutual_ind)^2+(aux_CT_phase*J246)^2)</f>
        <v>3.4022111082975112E-3</v>
      </c>
      <c r="AN246" s="29">
        <f t="shared" si="495"/>
        <v>1.3088469746550533E-2</v>
      </c>
      <c r="AO246" s="14">
        <f t="shared" si="496"/>
        <v>16.981198469583195</v>
      </c>
      <c r="AP246" s="27">
        <f t="shared" si="497"/>
        <v>2.1055501045609457</v>
      </c>
      <c r="AS246" s="27">
        <f>VLOOKUP($B246,TwoStageCT!$A$10:$H$72,5,FALSE)</f>
        <v>38.659909732018328</v>
      </c>
      <c r="AT246" s="27">
        <f>VLOOKUP($B246,TwoStageCT!$A$10:$H$72,8,FALSE)</f>
        <v>52.499330597885681</v>
      </c>
    </row>
    <row r="247" spans="1:46" x14ac:dyDescent="0.2">
      <c r="A247" s="409">
        <v>355</v>
      </c>
      <c r="B247" s="5" t="str">
        <f>B241&amp;D247</f>
        <v>120/20060</v>
      </c>
      <c r="C247" s="19">
        <f>VLOOKUP($A247,'5 A data'!$A$5:$U$650,3,FALSE)</f>
        <v>0.21600059637204713</v>
      </c>
      <c r="D247" s="163">
        <f>ROUND(VLOOKUP($A247,'5 A data'!$A$5:$U$650,9,FALSE)/10,0)*10</f>
        <v>60</v>
      </c>
      <c r="E247" s="23">
        <f t="shared" si="498"/>
        <v>0.99936709902044762</v>
      </c>
      <c r="F247" s="23">
        <f t="shared" si="499"/>
        <v>1.0011822386327505</v>
      </c>
      <c r="G247" s="486">
        <f>VLOOKUP(B247,TwoStageCT!A$10:H$72,3,FALSE)/10000</f>
        <v>2.195627602528684E-5</v>
      </c>
      <c r="H247" s="486">
        <f>VLOOKUP(B247,TwoStageCT!A$10:H$72,6,FALSE)/10000</f>
        <v>5.5507836163637805E-6</v>
      </c>
      <c r="I247" s="19">
        <f>VLOOKUP($A247,'5 A data'!$A$5:$U$650,10,FALSE)</f>
        <v>-0.72399999999999998</v>
      </c>
      <c r="J247" s="32">
        <f>VLOOKUP($A247,'5 A data'!$A$5:$U$650,11,FALSE)</f>
        <v>0.29088820866572157</v>
      </c>
      <c r="K247" s="22">
        <f t="shared" si="500"/>
        <v>-0.59399999999999997</v>
      </c>
      <c r="L247" s="22">
        <f t="shared" si="501"/>
        <v>9.599310885968812E-2</v>
      </c>
      <c r="M247" s="501">
        <f t="shared" si="502"/>
        <v>-0.72351982341477872</v>
      </c>
      <c r="N247" s="501">
        <f t="shared" si="503"/>
        <v>0.29123765872743412</v>
      </c>
      <c r="O247" s="20"/>
      <c r="P247" s="634">
        <f>VLOOKUP(B247,TwoStageCT!A$10:H$72,4,FALSE)/10000</f>
        <v>2.9709098248278708E-6</v>
      </c>
      <c r="Q247" s="58">
        <f>VLOOKUP($A247,'5 A data'!$A$5:$U$650,7,FALSE)*slidewire_res</f>
        <v>2E-3</v>
      </c>
      <c r="R247" s="347">
        <f t="shared" si="486"/>
        <v>-1.3599999999999991E-2</v>
      </c>
      <c r="S247" s="4">
        <v>0</v>
      </c>
      <c r="T247" s="21">
        <f t="shared" si="504"/>
        <v>-2.9700000000000001E-2</v>
      </c>
      <c r="U247" s="29">
        <f t="shared" si="505"/>
        <v>-2.8940792936591147E-3</v>
      </c>
      <c r="V247" s="29">
        <f t="shared" si="487"/>
        <v>5.0000000000000001E-4</v>
      </c>
      <c r="W247" s="23">
        <f>VLOOKUP($D247,Uncertainties!$B$35:$D$41,2,FALSE)</f>
        <v>-1.0000000000000009E-3</v>
      </c>
      <c r="X247" s="23"/>
      <c r="Y247" s="24">
        <f t="shared" si="488"/>
        <v>-5.6142442144080218E-5</v>
      </c>
      <c r="Z247" s="23">
        <f t="shared" si="489"/>
        <v>3.28736802892238E-2</v>
      </c>
      <c r="AA247" s="25">
        <f t="shared" si="490"/>
        <v>7.1879378285705373</v>
      </c>
      <c r="AB247" s="26">
        <f t="shared" si="491"/>
        <v>2.3337575486190718</v>
      </c>
      <c r="AC247" s="14"/>
      <c r="AD247" s="635">
        <f>VLOOKUP(B247,TwoStageCT!A$10:H$72,7,FALSE)/10000</f>
        <v>1.6017059195029239E-6</v>
      </c>
      <c r="AE247" s="366">
        <f>IF(ABS(VLOOKUP($A247,'5 A data'!$A$5:$U$1148,6,FALSE))&lt;4.5,IF(ABS(VLOOKUP($A247,'5 A data'!$A$5:$U$1148,6,FALSE))&lt;1.25,0.0008,0.002),0.004)*VLOOKUP($A247,'5 A data'!$A$5:$U$1148,7,FALSE)*25*RADIANS(1/60)*100</f>
        <v>5.8177641733144318E-3</v>
      </c>
      <c r="AF247" s="23">
        <f t="shared" si="506"/>
        <v>1.6871516102611846E-2</v>
      </c>
      <c r="AG247" s="29">
        <f t="shared" si="492"/>
        <v>2.9123765872743411E-4</v>
      </c>
      <c r="AH247" s="4">
        <f t="shared" si="507"/>
        <v>4.799655442984406E-3</v>
      </c>
      <c r="AI247" s="4">
        <f t="shared" si="493"/>
        <v>1.1649506349097364E-3</v>
      </c>
      <c r="AJ247" s="4">
        <f t="shared" si="494"/>
        <v>5.0000000000000001E-4</v>
      </c>
      <c r="AK247" s="21">
        <f>VLOOKUP($D247,Uncertainties!$B$35:$D$41,3,FALSE)</f>
        <v>-2.908882086657183E-3</v>
      </c>
      <c r="AL247" s="21"/>
      <c r="AM247" s="369">
        <f>SQRT((VLOOKUP($A247,'5 A data'!$A$5:$U$1148,7,FALSE)*mutual_ind)^2+(aux_CT_phase*J247)^2)</f>
        <v>3.4017822213196157E-3</v>
      </c>
      <c r="AN247" s="29">
        <f t="shared" si="495"/>
        <v>1.9059296344430515E-2</v>
      </c>
      <c r="AO247" s="14">
        <f t="shared" si="496"/>
        <v>7.962052295036492</v>
      </c>
      <c r="AP247" s="27">
        <f t="shared" si="497"/>
        <v>2.2920637405670203</v>
      </c>
      <c r="AS247" s="27">
        <f>VLOOKUP($B247,TwoStageCT!$A$10:$H$72,5,FALSE)</f>
        <v>42.291164682130272</v>
      </c>
      <c r="AT247" s="27">
        <f>VLOOKUP($B247,TwoStageCT!$A$10:$H$72,8,FALSE)</f>
        <v>48.978667479860043</v>
      </c>
    </row>
    <row r="248" spans="1:46" x14ac:dyDescent="0.2">
      <c r="A248" s="409">
        <v>356</v>
      </c>
      <c r="B248" s="5" t="str">
        <f>B241&amp;D248</f>
        <v>120/200100</v>
      </c>
      <c r="C248" s="19">
        <f>VLOOKUP($A248,'5 A data'!$A$5:$U$650,3,FALSE)</f>
        <v>0.21600059637204713</v>
      </c>
      <c r="D248" s="164">
        <f>ROUND(VLOOKUP($A248,'5 A data'!$A$5:$U$650,9,FALSE)/10,0)*10</f>
        <v>100</v>
      </c>
      <c r="E248" s="23">
        <f t="shared" si="498"/>
        <v>0.99936709902044762</v>
      </c>
      <c r="F248" s="23">
        <f t="shared" si="499"/>
        <v>1.0011822386327505</v>
      </c>
      <c r="G248" s="486">
        <f>VLOOKUP(B248,TwoStageCT!A$10:H$72,3,FALSE)/10000</f>
        <v>1.6881396356939836E-5</v>
      </c>
      <c r="H248" s="486">
        <f>VLOOKUP(B248,TwoStageCT!A$10:H$72,6,FALSE)/10000</f>
        <v>7.3590724152435355E-6</v>
      </c>
      <c r="I248" s="19">
        <f>VLOOKUP($A248,'5 A data'!$A$5:$U$650,10,FALSE)</f>
        <v>-0.65600000000000003</v>
      </c>
      <c r="J248" s="32">
        <f>VLOOKUP($A248,'5 A data'!$A$5:$U$650,11,FALSE)</f>
        <v>0.20653062815266235</v>
      </c>
      <c r="K248" s="22">
        <f t="shared" si="500"/>
        <v>-0.53400000000000003</v>
      </c>
      <c r="L248" s="22">
        <f t="shared" si="501"/>
        <v>2.908882086657219E-2</v>
      </c>
      <c r="M248" s="501">
        <f t="shared" si="502"/>
        <v>-0.65556793556105675</v>
      </c>
      <c r="N248" s="501">
        <f t="shared" si="503"/>
        <v>0.20678215571252589</v>
      </c>
      <c r="O248" s="20"/>
      <c r="P248" s="634">
        <f>VLOOKUP(B248,TwoStageCT!A$10:H$72,4,FALSE)/10000</f>
        <v>2.4131313466023584E-6</v>
      </c>
      <c r="Q248" s="58">
        <f>VLOOKUP($A248,'5 A data'!$A$5:$U$650,7,FALSE)*slidewire_res</f>
        <v>2E-3</v>
      </c>
      <c r="R248" s="347">
        <f t="shared" si="486"/>
        <v>-6.4000000000000064E-3</v>
      </c>
      <c r="S248" s="4">
        <v>0</v>
      </c>
      <c r="T248" s="21">
        <f t="shared" si="504"/>
        <v>-2.6700000000000002E-2</v>
      </c>
      <c r="U248" s="29">
        <f t="shared" si="505"/>
        <v>-2.6222717422442273E-3</v>
      </c>
      <c r="V248" s="29">
        <f t="shared" si="487"/>
        <v>5.0000000000000001E-4</v>
      </c>
      <c r="W248" s="23">
        <f>VLOOKUP($D248,Uncertainties!$B$35:$D$41,2,FALSE)</f>
        <v>1.999999999999974E-3</v>
      </c>
      <c r="X248" s="23"/>
      <c r="Y248" s="24">
        <f t="shared" si="488"/>
        <v>-5.0869395091873792E-5</v>
      </c>
      <c r="Z248" s="23">
        <f t="shared" si="489"/>
        <v>2.7730468849421434E-2</v>
      </c>
      <c r="AA248" s="25">
        <f t="shared" si="490"/>
        <v>5.7977978026035988</v>
      </c>
      <c r="AB248" s="26">
        <f t="shared" si="491"/>
        <v>2.443423627078777</v>
      </c>
      <c r="AC248" s="14"/>
      <c r="AD248" s="635">
        <f>VLOOKUP(B248,TwoStageCT!A$10:H$72,7,FALSE)/10000</f>
        <v>1.6933288916776063E-6</v>
      </c>
      <c r="AE248" s="366">
        <f>IF(ABS(VLOOKUP($A248,'5 A data'!$A$5:$U$1148,6,FALSE))&lt;4.5,IF(ABS(VLOOKUP($A248,'5 A data'!$A$5:$U$1148,6,FALSE))&lt;1.25,0.0008,0.002),0.004)*VLOOKUP($A248,'5 A data'!$A$5:$U$1148,7,FALSE)*25*RADIANS(1/60)*100</f>
        <v>2.9088820866572159E-3</v>
      </c>
      <c r="AF248" s="23">
        <f t="shared" si="506"/>
        <v>5.8177641733144388E-3</v>
      </c>
      <c r="AG248" s="29">
        <f t="shared" si="492"/>
        <v>2.0678215571252591E-4</v>
      </c>
      <c r="AH248" s="4">
        <f t="shared" si="507"/>
        <v>1.4544410433286097E-3</v>
      </c>
      <c r="AI248" s="4">
        <f t="shared" si="493"/>
        <v>8.2712862285010363E-4</v>
      </c>
      <c r="AJ248" s="4">
        <f t="shared" si="494"/>
        <v>5.0000000000000001E-4</v>
      </c>
      <c r="AK248" s="21">
        <f>VLOOKUP($D248,Uncertainties!$B$35:$D$41,3,FALSE)</f>
        <v>-2.9088820866572385E-3</v>
      </c>
      <c r="AL248" s="21"/>
      <c r="AM248" s="369">
        <f>SQRT((VLOOKUP($A248,'5 A data'!$A$5:$U$1148,7,FALSE)*mutual_ind)^2+(aux_CT_phase*J248)^2)</f>
        <v>3.4011226272654929E-3</v>
      </c>
      <c r="AN248" s="29">
        <f t="shared" si="495"/>
        <v>8.0888508037105962E-3</v>
      </c>
      <c r="AO248" s="14">
        <f t="shared" si="496"/>
        <v>15.459044480386599</v>
      </c>
      <c r="AP248" s="27">
        <f t="shared" si="497"/>
        <v>2.1206881552636423</v>
      </c>
      <c r="AS248" s="27">
        <f>VLOOKUP($B248,TwoStageCT!$A$10:$H$72,5,FALSE)</f>
        <v>59.567261398457461</v>
      </c>
      <c r="AT248" s="27">
        <f>VLOOKUP($B248,TwoStageCT!$A$10:$H$72,8,FALSE)</f>
        <v>45.732629829898706</v>
      </c>
    </row>
    <row r="249" spans="1:46" x14ac:dyDescent="0.2">
      <c r="A249" s="409">
        <v>357</v>
      </c>
      <c r="B249" s="5" t="str">
        <f>B241&amp;D249</f>
        <v>120/200120</v>
      </c>
      <c r="C249" s="19">
        <f>VLOOKUP($A249,'5 A data'!$A$5:$U$650,3,FALSE)</f>
        <v>0.21600059637204713</v>
      </c>
      <c r="D249" s="164">
        <f>ROUND(VLOOKUP($A249,'5 A data'!$A$5:$U$650,9,FALSE)/10,0)*10</f>
        <v>120</v>
      </c>
      <c r="E249" s="23">
        <f t="shared" si="498"/>
        <v>0.99936709902044762</v>
      </c>
      <c r="F249" s="23">
        <f t="shared" si="499"/>
        <v>1.0011822386327505</v>
      </c>
      <c r="G249" s="486">
        <f>VLOOKUP(B249,TwoStageCT!A$10:H$72,3,FALSE)/10000</f>
        <v>1.5213305302217845E-5</v>
      </c>
      <c r="H249" s="486">
        <f>VLOOKUP(B249,TwoStageCT!A$10:H$72,6,FALSE)/10000</f>
        <v>7.5885012454326174E-6</v>
      </c>
      <c r="I249" s="19">
        <f>VLOOKUP($A249,'5 A data'!$A$5:$U$650,10,FALSE)</f>
        <v>-0.624</v>
      </c>
      <c r="J249" s="32">
        <f>VLOOKUP($A249,'5 A data'!$A$5:$U$650,11,FALSE)</f>
        <v>0.17744180728609016</v>
      </c>
      <c r="K249" s="22">
        <f t="shared" si="500"/>
        <v>-0.504</v>
      </c>
      <c r="L249" s="22">
        <f t="shared" si="501"/>
        <v>4.3633231299858022E-3</v>
      </c>
      <c r="M249" s="501">
        <f t="shared" si="502"/>
        <v>-0.62358985648345711</v>
      </c>
      <c r="N249" s="501">
        <f t="shared" si="503"/>
        <v>0.17765917434697429</v>
      </c>
      <c r="O249" s="20"/>
      <c r="P249" s="634">
        <f>VLOOKUP(B249,TwoStageCT!A$10:H$72,4,FALSE)/10000</f>
        <v>2.2681305202526645E-6</v>
      </c>
      <c r="Q249" s="58">
        <f>VLOOKUP($A249,'5 A data'!$A$5:$U$650,7,FALSE)*slidewire_res</f>
        <v>2E-3</v>
      </c>
      <c r="R249" s="347">
        <f t="shared" si="486"/>
        <v>0</v>
      </c>
      <c r="S249" s="4">
        <v>0</v>
      </c>
      <c r="T249" s="21">
        <f t="shared" si="504"/>
        <v>-2.52E-2</v>
      </c>
      <c r="U249" s="29">
        <f t="shared" si="505"/>
        <v>-2.4943594259338284E-3</v>
      </c>
      <c r="V249" s="29">
        <f t="shared" si="487"/>
        <v>5.0000000000000001E-4</v>
      </c>
      <c r="W249" s="23">
        <f>VLOOKUP($D249,Uncertainties!$B$35:$D$41,2,FALSE)</f>
        <v>-1.0000000000000009E-3</v>
      </c>
      <c r="X249" s="23"/>
      <c r="Y249" s="24">
        <f t="shared" si="488"/>
        <v>-4.8387961184953118E-5</v>
      </c>
      <c r="Z249" s="23">
        <f t="shared" si="489"/>
        <v>2.5426643024295377E-2</v>
      </c>
      <c r="AA249" s="25">
        <f t="shared" si="490"/>
        <v>5.1816077209615994</v>
      </c>
      <c r="AB249" s="26">
        <f t="shared" si="491"/>
        <v>2.5162195486579213</v>
      </c>
      <c r="AC249" s="14"/>
      <c r="AD249" s="635">
        <f>VLOOKUP(B249,TwoStageCT!A$10:H$72,7,FALSE)/10000</f>
        <v>1.7092397901526349E-6</v>
      </c>
      <c r="AE249" s="366">
        <f>IF(ABS(VLOOKUP($A249,'5 A data'!$A$5:$U$1148,6,FALSE))&lt;4.5,IF(ABS(VLOOKUP($A249,'5 A data'!$A$5:$U$1148,6,FALSE))&lt;1.25,0.0008,0.002),0.004)*VLOOKUP($A249,'5 A data'!$A$5:$U$1148,7,FALSE)*25*RADIANS(1/60)*100</f>
        <v>2.9088820866572159E-3</v>
      </c>
      <c r="AF249" s="23">
        <f t="shared" si="506"/>
        <v>0</v>
      </c>
      <c r="AG249" s="29">
        <f t="shared" si="492"/>
        <v>1.7765917434697429E-4</v>
      </c>
      <c r="AH249" s="4">
        <f t="shared" si="507"/>
        <v>2.1816615649929011E-4</v>
      </c>
      <c r="AI249" s="4">
        <f t="shared" si="493"/>
        <v>7.1063669738789716E-4</v>
      </c>
      <c r="AJ249" s="4">
        <f t="shared" si="494"/>
        <v>5.0000000000000001E-4</v>
      </c>
      <c r="AK249" s="21">
        <f>VLOOKUP($D249,Uncertainties!$B$35:$D$41,3,FALSE)</f>
        <v>1.4544410433285915E-3</v>
      </c>
      <c r="AL249" s="21"/>
      <c r="AM249" s="369">
        <f>SQRT((VLOOKUP($A249,'5 A data'!$A$5:$U$1148,7,FALSE)*mutual_ind)^2+(aux_CT_phase*J249)^2)</f>
        <v>3.40094703318293E-3</v>
      </c>
      <c r="AN249" s="29">
        <f t="shared" si="495"/>
        <v>4.7934957136056911E-3</v>
      </c>
      <c r="AO249" s="14">
        <f t="shared" si="496"/>
        <v>12.722669249149487</v>
      </c>
      <c r="AP249" s="27">
        <f t="shared" si="497"/>
        <v>2.157753511617345</v>
      </c>
      <c r="AS249" s="27">
        <f>VLOOKUP($B249,TwoStageCT!$A$10:$H$72,5,FALSE)</f>
        <v>68.00069900375496</v>
      </c>
      <c r="AT249" s="27">
        <f>VLOOKUP($B249,TwoStageCT!$A$10:$H$72,8,FALSE)</f>
        <v>47.345132453902309</v>
      </c>
    </row>
    <row r="250" spans="1:46" x14ac:dyDescent="0.2">
      <c r="A250" s="409">
        <v>358</v>
      </c>
      <c r="B250" s="5"/>
      <c r="C250" s="19"/>
      <c r="D250" s="19"/>
      <c r="E250" s="23"/>
      <c r="F250" s="23"/>
      <c r="G250" s="347"/>
      <c r="H250" s="347"/>
      <c r="I250" s="19"/>
      <c r="J250" s="32"/>
      <c r="K250" s="31"/>
      <c r="L250" s="31"/>
      <c r="M250" s="638" t="s">
        <v>93</v>
      </c>
      <c r="N250" s="638"/>
      <c r="O250" s="20"/>
      <c r="P250" s="634"/>
      <c r="Q250" s="58"/>
      <c r="R250" s="347"/>
      <c r="S250" s="4"/>
      <c r="T250" s="4"/>
      <c r="U250" s="29"/>
      <c r="V250" s="29"/>
      <c r="W250" s="29"/>
      <c r="X250" s="29"/>
      <c r="Y250" s="24"/>
      <c r="Z250" s="29"/>
      <c r="AA250" s="25"/>
      <c r="AB250" s="26"/>
      <c r="AC250" s="14"/>
      <c r="AD250" s="635"/>
      <c r="AE250" s="35"/>
      <c r="AF250" s="28"/>
      <c r="AG250" s="29"/>
      <c r="AH250" s="4"/>
      <c r="AI250" s="4"/>
      <c r="AJ250" s="4"/>
      <c r="AK250" s="4"/>
      <c r="AL250" s="4"/>
      <c r="AM250" s="24"/>
      <c r="AN250" s="29"/>
      <c r="AO250" s="14"/>
      <c r="AP250" s="27"/>
    </row>
    <row r="251" spans="1:46" x14ac:dyDescent="0.2">
      <c r="A251" s="409">
        <v>359</v>
      </c>
      <c r="B251" s="5" t="str">
        <f>B241&amp;D251</f>
        <v>120/2005</v>
      </c>
      <c r="C251" s="19">
        <f>VLOOKUP($A251,'5 A data'!$A$5:$U$650,3,FALSE)</f>
        <v>2.1000057980615688E-2</v>
      </c>
      <c r="D251" s="19">
        <f>ROUND(VLOOKUP($A251,'5 A data'!$A$5:$U$650,9,FALSE),0)</f>
        <v>5</v>
      </c>
      <c r="E251" s="23">
        <f t="shared" si="498"/>
        <v>0.99936709902044762</v>
      </c>
      <c r="F251" s="23">
        <f t="shared" si="499"/>
        <v>1.0011822386327505</v>
      </c>
      <c r="G251" s="486">
        <f>VLOOKUP(B251,TwoStageCT!A$10:H$72,3,FALSE)/10000</f>
        <v>3.6805932694608759E-5</v>
      </c>
      <c r="H251" s="486">
        <f>VLOOKUP(B251,TwoStageCT!A$10:H$72,6,FALSE)/10000</f>
        <v>4.6965346060309593E-6</v>
      </c>
      <c r="I251" s="19">
        <f>VLOOKUP($A251,'5 A data'!$A$5:$U$650,10,FALSE)</f>
        <v>-0.22900000000000001</v>
      </c>
      <c r="J251" s="32">
        <f>VLOOKUP($A251,'5 A data'!$A$5:$U$650,11,FALSE)</f>
        <v>0.37815467126543806</v>
      </c>
      <c r="K251" s="31"/>
      <c r="L251" s="31"/>
      <c r="M251" s="31">
        <f>I251*E251+G251</f>
        <v>-0.22881825974298789</v>
      </c>
      <c r="N251" s="31">
        <f>J251*F251+H251</f>
        <v>0.37860643686156914</v>
      </c>
      <c r="O251" s="20"/>
      <c r="P251" s="634">
        <f>VLOOKUP(B251,TwoStageCT!A$10:H$72,4,FALSE)/10000</f>
        <v>6.4429594675743464E-6</v>
      </c>
      <c r="Q251" s="58">
        <f>VLOOKUP($A251,'5 A data'!$A$5:$U$650,7,FALSE)*slidewire_res</f>
        <v>1E-3</v>
      </c>
      <c r="R251" s="347">
        <f t="shared" ref="R251:R257" si="508">current_coef*(I251-I252)*IF(I252=0,0,1)</f>
        <v>-8.400000000000003E-3</v>
      </c>
      <c r="S251" s="4">
        <v>0</v>
      </c>
      <c r="T251" s="4">
        <f>BurdenUnc*K243</f>
        <v>-4.3050000000000005E-2</v>
      </c>
      <c r="U251" s="29">
        <f t="shared" ref="U251:U257" si="509">0.004*M251</f>
        <v>-9.1527303897195162E-4</v>
      </c>
      <c r="V251" s="29">
        <f t="shared" si="487"/>
        <v>5.0000000000000001E-4</v>
      </c>
      <c r="W251" s="23">
        <f>VLOOKUP($D251,Uncertainties!$B$35:$D$41,2,FALSE)</f>
        <v>5.0000000000000044E-3</v>
      </c>
      <c r="X251" s="23"/>
      <c r="Y251" s="24">
        <f t="shared" ref="Y251:Y257" si="510">I251*aux_CT_ratio</f>
        <v>-1.7757761396401063E-5</v>
      </c>
      <c r="Z251" s="23">
        <f t="shared" ref="Z251:Z257" si="511">SQRT(SUMSQ(P251:Y251))</f>
        <v>4.4169566237237223E-2</v>
      </c>
      <c r="AA251" s="25">
        <f t="shared" ref="AA251:AA257" si="512">DoF_A(P251:Y251,$P$7:$Y$7)</f>
        <v>5.5323426287776183</v>
      </c>
      <c r="AB251" s="26">
        <f t="shared" ref="AB251:AB257" si="513">CoverFactor(AA251)</f>
        <v>2.4722745431698838</v>
      </c>
      <c r="AC251" s="14"/>
      <c r="AD251" s="635">
        <f>VLOOKUP(B251,TwoStageCT!A$10:H$72,7,FALSE)/10000</f>
        <v>4.6788986298833412E-6</v>
      </c>
      <c r="AE251" s="366">
        <f>IF(ABS(VLOOKUP($A251,'5 A data'!$A$5:$U$1148,6,FALSE))&lt;4.5,IF(ABS(VLOOKUP($A251,'5 A data'!$A$5:$U$1148,6,FALSE))&lt;1.25,0.0008,0.002),0.004)*VLOOKUP($A251,'5 A data'!$A$5:$U$1148,7,FALSE)*25*RADIANS(1/60)*100</f>
        <v>2.9088820866572159E-3</v>
      </c>
      <c r="AF251" s="23">
        <f t="shared" ref="AF251:AF257" si="514">current_coef*(J251-J252)*IF(J252=0,0,1)</f>
        <v>1.4835298641951801E-2</v>
      </c>
      <c r="AG251" s="29">
        <f t="shared" ref="AG251:AG257" si="515">0.001*N251</f>
        <v>3.7860643686156914E-4</v>
      </c>
      <c r="AH251" s="4">
        <f>BurdenUnc*L243</f>
        <v>7.4176493209759031E-3</v>
      </c>
      <c r="AI251" s="4">
        <f t="shared" ref="AI251:AI257" si="516">0.004*N251</f>
        <v>1.5144257474462765E-3</v>
      </c>
      <c r="AJ251" s="4">
        <f t="shared" si="494"/>
        <v>5.0000000000000001E-4</v>
      </c>
      <c r="AK251" s="21">
        <f>VLOOKUP($D251,Uncertainties!$B$35:$D$41,3,FALSE)</f>
        <v>-1.1635528346628732E-2</v>
      </c>
      <c r="AL251" s="21"/>
      <c r="AM251" s="369">
        <f>SQRT((VLOOKUP($A251,'5 A data'!$A$5:$U$1148,7,FALSE)*mutual_ind)^2+(aux_CT_phase*J251)^2)</f>
        <v>1.7047171094381783E-3</v>
      </c>
      <c r="AN251" s="29">
        <f t="shared" ref="AN251:AN257" si="517">SQRT(SUMSQ(AD251:AM251))</f>
        <v>2.0604553686940471E-2</v>
      </c>
      <c r="AO251" s="14">
        <f t="shared" ref="AO251:AO257" si="518">DoF_A(AD251:AM251,$AD$7:$AM$7)</f>
        <v>15.305158236409671</v>
      </c>
      <c r="AP251" s="27">
        <f t="shared" ref="AP251:AP257" si="519">CoverFactor(AO251)</f>
        <v>2.122397135841438</v>
      </c>
      <c r="AS251" s="27">
        <f>VLOOKUP($B251,TwoStageCT!$A$10:$H$72,5,FALSE)</f>
        <v>26.31606241070681</v>
      </c>
      <c r="AT251" s="27">
        <f>VLOOKUP($B251,TwoStageCT!$A$10:$H$72,8,FALSE)</f>
        <v>9.9413455012810044</v>
      </c>
    </row>
    <row r="252" spans="1:46" x14ac:dyDescent="0.2">
      <c r="A252" s="409">
        <v>360</v>
      </c>
      <c r="B252" s="5" t="str">
        <f>B241&amp;D252</f>
        <v>120/20010</v>
      </c>
      <c r="C252" s="19">
        <f>VLOOKUP($A252,'5 A data'!$A$5:$U$650,3,FALSE)</f>
        <v>2.1000057980615688E-2</v>
      </c>
      <c r="D252" s="163">
        <f>ROUND(VLOOKUP($A252,'5 A data'!$A$5:$U$650,9,FALSE)/10,0)*10</f>
        <v>10</v>
      </c>
      <c r="E252" s="23">
        <f t="shared" si="498"/>
        <v>0.99936709902044762</v>
      </c>
      <c r="F252" s="23">
        <f t="shared" si="499"/>
        <v>1.0011822386327505</v>
      </c>
      <c r="G252" s="486">
        <f>VLOOKUP(B252,TwoStageCT!A$10:H$72,3,FALSE)/10000</f>
        <v>3.4690340839935311E-5</v>
      </c>
      <c r="H252" s="486">
        <f>VLOOKUP(B252,TwoStageCT!A$10:H$72,6,FALSE)/10000</f>
        <v>2.6036797087866982E-6</v>
      </c>
      <c r="I252" s="19">
        <f>VLOOKUP($A252,'5 A data'!$A$5:$U$650,10,FALSE)</f>
        <v>-0.187</v>
      </c>
      <c r="J252" s="32">
        <f>VLOOKUP($A252,'5 A data'!$A$5:$U$650,11,FALSE)</f>
        <v>0.30397817805567906</v>
      </c>
      <c r="K252" s="31"/>
      <c r="L252" s="31"/>
      <c r="M252" s="31">
        <f t="shared" ref="M252:M257" si="520">I252*E252+G252</f>
        <v>-0.18684695717598376</v>
      </c>
      <c r="N252" s="31">
        <f t="shared" ref="N252:N257" si="521">J252*F252+H252</f>
        <v>0.30434015648099838</v>
      </c>
      <c r="O252" s="20"/>
      <c r="P252" s="634">
        <f>VLOOKUP(B252,TwoStageCT!A$10:H$72,4,FALSE)/10000</f>
        <v>5.0170517941146892E-6</v>
      </c>
      <c r="Q252" s="58">
        <f>VLOOKUP($A252,'5 A data'!$A$5:$U$650,7,FALSE)*slidewire_res</f>
        <v>1E-3</v>
      </c>
      <c r="R252" s="347">
        <f t="shared" si="508"/>
        <v>-6.0000000000000001E-3</v>
      </c>
      <c r="S252" s="4">
        <v>0</v>
      </c>
      <c r="T252" s="4">
        <f t="shared" ref="T252:T257" si="522">BurdenUnc*K244</f>
        <v>-3.8249999999999999E-2</v>
      </c>
      <c r="U252" s="29">
        <f t="shared" si="509"/>
        <v>-7.4738782870393508E-4</v>
      </c>
      <c r="V252" s="29">
        <f t="shared" si="487"/>
        <v>5.0000000000000001E-4</v>
      </c>
      <c r="W252" s="23">
        <f>VLOOKUP($D252,Uncertainties!$B$35:$D$41,2,FALSE)</f>
        <v>2.5000000000000022E-3</v>
      </c>
      <c r="X252" s="23"/>
      <c r="Y252" s="24">
        <f t="shared" si="510"/>
        <v>-1.450087939356768E-5</v>
      </c>
      <c r="Z252" s="23">
        <f t="shared" si="511"/>
        <v>3.8821660500457815E-2</v>
      </c>
      <c r="AA252" s="25">
        <f t="shared" si="512"/>
        <v>5.3024229216591561</v>
      </c>
      <c r="AB252" s="26">
        <f t="shared" si="513"/>
        <v>2.5002443137406982</v>
      </c>
      <c r="AC252" s="14"/>
      <c r="AD252" s="635">
        <f>VLOOKUP(B252,TwoStageCT!A$10:H$72,7,FALSE)/10000</f>
        <v>2.600738521505678E-6</v>
      </c>
      <c r="AE252" s="366">
        <f>IF(ABS(VLOOKUP($A252,'5 A data'!$A$5:$U$1148,6,FALSE))&lt;4.5,IF(ABS(VLOOKUP($A252,'5 A data'!$A$5:$U$1148,6,FALSE))&lt;1.25,0.0008,0.002),0.004)*VLOOKUP($A252,'5 A data'!$A$5:$U$1148,7,FALSE)*25*RADIANS(1/60)*100</f>
        <v>2.9088820866572159E-3</v>
      </c>
      <c r="AF252" s="23">
        <f t="shared" si="514"/>
        <v>1.1926416555294583E-2</v>
      </c>
      <c r="AG252" s="29">
        <f t="shared" si="515"/>
        <v>3.0434015648099841E-4</v>
      </c>
      <c r="AH252" s="4">
        <f t="shared" ref="AH252:AH257" si="523">BurdenUnc*L244</f>
        <v>6.908594955810885E-3</v>
      </c>
      <c r="AI252" s="4">
        <f t="shared" si="516"/>
        <v>1.2173606259239936E-3</v>
      </c>
      <c r="AJ252" s="4">
        <f t="shared" si="494"/>
        <v>5.0000000000000001E-4</v>
      </c>
      <c r="AK252" s="21">
        <f>VLOOKUP($D252,Uncertainties!$B$35:$D$41,3,FALSE)</f>
        <v>4.363323129985941E-3</v>
      </c>
      <c r="AL252" s="21"/>
      <c r="AM252" s="369">
        <f>SQRT((VLOOKUP($A252,'5 A data'!$A$5:$U$1148,7,FALSE)*mutual_ind)^2+(aux_CT_phase*J252)^2)</f>
        <v>1.7031293670978652E-3</v>
      </c>
      <c r="AN252" s="29">
        <f t="shared" si="517"/>
        <v>1.4906157320849491E-2</v>
      </c>
      <c r="AO252" s="14">
        <f t="shared" si="518"/>
        <v>10.856580737127812</v>
      </c>
      <c r="AP252" s="27">
        <f t="shared" si="519"/>
        <v>2.1948369713528701</v>
      </c>
      <c r="AS252" s="27">
        <f>VLOOKUP($B252,TwoStageCT!$A$10:$H$72,5,FALSE)</f>
        <v>38.265350164989712</v>
      </c>
      <c r="AT252" s="27">
        <f>VLOOKUP($B252,TwoStageCT!$A$10:$H$72,8,FALSE)</f>
        <v>16.586629386739094</v>
      </c>
    </row>
    <row r="253" spans="1:46" x14ac:dyDescent="0.2">
      <c r="A253" s="409">
        <v>361</v>
      </c>
      <c r="B253" s="5" t="str">
        <f>B241&amp;D253</f>
        <v>120/20020</v>
      </c>
      <c r="C253" s="19">
        <f>VLOOKUP($A253,'5 A data'!$A$5:$U$650,3,FALSE)</f>
        <v>2.1000057980615688E-2</v>
      </c>
      <c r="D253" s="163">
        <f>ROUND(VLOOKUP($A253,'5 A data'!$A$5:$U$650,9,FALSE)/10,0)*10</f>
        <v>20</v>
      </c>
      <c r="E253" s="23">
        <f t="shared" si="498"/>
        <v>0.99936709902044762</v>
      </c>
      <c r="F253" s="23">
        <f t="shared" si="499"/>
        <v>1.0011822386327505</v>
      </c>
      <c r="G253" s="486">
        <f>VLOOKUP(B253,TwoStageCT!A$10:H$72,3,FALSE)/10000</f>
        <v>3.1280516301103777E-5</v>
      </c>
      <c r="H253" s="486">
        <f>VLOOKUP(B253,TwoStageCT!A$10:H$72,6,FALSE)/10000</f>
        <v>4.5493238991726806E-6</v>
      </c>
      <c r="I253" s="19">
        <f>VLOOKUP($A253,'5 A data'!$A$5:$U$650,10,FALSE)</f>
        <v>-0.157</v>
      </c>
      <c r="J253" s="32">
        <f>VLOOKUP($A253,'5 A data'!$A$5:$U$650,11,FALSE)</f>
        <v>0.24434609527920614</v>
      </c>
      <c r="K253" s="31"/>
      <c r="L253" s="31"/>
      <c r="M253" s="31">
        <f t="shared" si="520"/>
        <v>-0.15686935402990917</v>
      </c>
      <c r="N253" s="31">
        <f t="shared" si="521"/>
        <v>0.24463951999670613</v>
      </c>
      <c r="O253" s="20"/>
      <c r="P253" s="634">
        <f>VLOOKUP(B253,TwoStageCT!A$10:H$72,4,FALSE)/10000</f>
        <v>4.17832023036102E-6</v>
      </c>
      <c r="Q253" s="58">
        <f>VLOOKUP($A253,'5 A data'!$A$5:$U$650,7,FALSE)*slidewire_res</f>
        <v>1E-3</v>
      </c>
      <c r="R253" s="347">
        <f t="shared" si="508"/>
        <v>-3.5999999999999977E-3</v>
      </c>
      <c r="S253" s="4">
        <v>0</v>
      </c>
      <c r="T253" s="4">
        <f t="shared" si="522"/>
        <v>-3.4549999999999997E-2</v>
      </c>
      <c r="U253" s="29">
        <f t="shared" si="509"/>
        <v>-6.2747741611963667E-4</v>
      </c>
      <c r="V253" s="29">
        <f t="shared" si="487"/>
        <v>5.0000000000000001E-4</v>
      </c>
      <c r="W253" s="23">
        <f>VLOOKUP($D253,Uncertainties!$B$35:$D$41,2,FALSE)</f>
        <v>-1.0000000000000009E-3</v>
      </c>
      <c r="X253" s="23"/>
      <c r="Y253" s="24">
        <f t="shared" si="510"/>
        <v>-1.2174535105829549E-5</v>
      </c>
      <c r="Z253" s="23">
        <f t="shared" si="511"/>
        <v>3.4775082941459749E-2</v>
      </c>
      <c r="AA253" s="25">
        <f t="shared" si="512"/>
        <v>5.1309621804670806</v>
      </c>
      <c r="AB253" s="26">
        <f t="shared" si="513"/>
        <v>2.5232045296973227</v>
      </c>
      <c r="AC253" s="14"/>
      <c r="AD253" s="635">
        <f>VLOOKUP(B253,TwoStageCT!A$10:H$72,7,FALSE)/10000</f>
        <v>1.9770475075939077E-6</v>
      </c>
      <c r="AE253" s="366">
        <f>IF(ABS(VLOOKUP($A253,'5 A data'!$A$5:$U$1148,6,FALSE))&lt;4.5,IF(ABS(VLOOKUP($A253,'5 A data'!$A$5:$U$1148,6,FALSE))&lt;1.25,0.0008,0.002),0.004)*VLOOKUP($A253,'5 A data'!$A$5:$U$1148,7,FALSE)*25*RADIANS(1/60)*100</f>
        <v>2.9088820866572159E-3</v>
      </c>
      <c r="AF253" s="23">
        <f t="shared" si="514"/>
        <v>6.9813170079773175E-3</v>
      </c>
      <c r="AG253" s="29">
        <f t="shared" si="515"/>
        <v>2.4463951999670612E-4</v>
      </c>
      <c r="AH253" s="4">
        <f t="shared" si="523"/>
        <v>6.8358729036444577E-3</v>
      </c>
      <c r="AI253" s="4">
        <f t="shared" si="516"/>
        <v>9.7855807998682449E-4</v>
      </c>
      <c r="AJ253" s="4">
        <f t="shared" si="494"/>
        <v>5.0000000000000001E-4</v>
      </c>
      <c r="AK253" s="21">
        <f>VLOOKUP($D253,Uncertainties!$B$35:$D$41,3,FALSE)</f>
        <v>-1.454441043328647E-3</v>
      </c>
      <c r="AL253" s="21"/>
      <c r="AM253" s="369">
        <f>SQRT((VLOOKUP($A253,'5 A data'!$A$5:$U$1148,7,FALSE)*mutual_ind)^2+(aux_CT_phase*J253)^2)</f>
        <v>1.7021025442081081E-3</v>
      </c>
      <c r="AN253" s="29">
        <f t="shared" si="517"/>
        <v>1.0498072235111374E-2</v>
      </c>
      <c r="AO253" s="14">
        <f t="shared" si="518"/>
        <v>13.08329852015563</v>
      </c>
      <c r="AP253" s="27">
        <f t="shared" si="519"/>
        <v>2.1519095171967448</v>
      </c>
      <c r="AS253" s="27">
        <f>VLOOKUP($B253,TwoStageCT!$A$10:$H$72,5,FALSE)</f>
        <v>36.657700403051521</v>
      </c>
      <c r="AT253" s="27">
        <f>VLOOKUP($B253,TwoStageCT!$A$10:$H$72,8,FALSE)</f>
        <v>53.09445811850042</v>
      </c>
    </row>
    <row r="254" spans="1:46" x14ac:dyDescent="0.2">
      <c r="A254" s="409">
        <v>362</v>
      </c>
      <c r="B254" s="5" t="str">
        <f>B241&amp;D254</f>
        <v>120/20040</v>
      </c>
      <c r="C254" s="19">
        <f>VLOOKUP($A254,'5 A data'!$A$5:$U$650,3,FALSE)</f>
        <v>2.1000057980615688E-2</v>
      </c>
      <c r="D254" s="163">
        <f>ROUND(VLOOKUP($A254,'5 A data'!$A$5:$U$650,9,FALSE)/10,0)*10</f>
        <v>40</v>
      </c>
      <c r="E254" s="23">
        <f t="shared" si="498"/>
        <v>0.99936709902044762</v>
      </c>
      <c r="F254" s="23">
        <f t="shared" si="499"/>
        <v>1.0011822386327505</v>
      </c>
      <c r="G254" s="486">
        <f>VLOOKUP(B254,TwoStageCT!A$10:H$72,3,FALSE)/10000</f>
        <v>2.5200167333853628E-5</v>
      </c>
      <c r="H254" s="486">
        <f>VLOOKUP(B254,TwoStageCT!A$10:H$72,6,FALSE)/10000</f>
        <v>5.7416420558101514E-6</v>
      </c>
      <c r="I254" s="19">
        <f>VLOOKUP($A254,'5 A data'!$A$5:$U$650,10,FALSE)</f>
        <v>-0.13900000000000001</v>
      </c>
      <c r="J254" s="32">
        <f>VLOOKUP($A254,'5 A data'!$A$5:$U$650,11,FALSE)</f>
        <v>0.20943951023931956</v>
      </c>
      <c r="K254" s="31"/>
      <c r="L254" s="31"/>
      <c r="M254" s="31">
        <f t="shared" si="520"/>
        <v>-0.13888682659650839</v>
      </c>
      <c r="N254" s="31">
        <f t="shared" si="521"/>
        <v>0.20969285936160462</v>
      </c>
      <c r="O254" s="20"/>
      <c r="P254" s="634">
        <f>VLOOKUP(B254,TwoStageCT!A$10:H$72,4,FALSE)/10000</f>
        <v>3.3964590328801363E-6</v>
      </c>
      <c r="Q254" s="58">
        <f>VLOOKUP($A254,'5 A data'!$A$5:$U$650,7,FALSE)*slidewire_res</f>
        <v>1E-3</v>
      </c>
      <c r="R254" s="347">
        <f t="shared" si="508"/>
        <v>-1.8000000000000017E-3</v>
      </c>
      <c r="S254" s="4">
        <v>0</v>
      </c>
      <c r="T254" s="4">
        <f t="shared" si="522"/>
        <v>-3.1350000000000003E-2</v>
      </c>
      <c r="U254" s="29">
        <f t="shared" si="509"/>
        <v>-5.5554730638603361E-4</v>
      </c>
      <c r="V254" s="29">
        <f t="shared" si="487"/>
        <v>5.0000000000000001E-4</v>
      </c>
      <c r="W254" s="23">
        <f>VLOOKUP($D254,Uncertainties!$B$35:$D$41,2,FALSE)</f>
        <v>-1.0000000000000009E-3</v>
      </c>
      <c r="X254" s="23"/>
      <c r="Y254" s="24">
        <f t="shared" si="510"/>
        <v>-1.0778728533186673E-5</v>
      </c>
      <c r="Z254" s="23">
        <f t="shared" si="511"/>
        <v>3.1442348203124963E-2</v>
      </c>
      <c r="AA254" s="25">
        <f t="shared" si="512"/>
        <v>5.0591120131432898</v>
      </c>
      <c r="AB254" s="26">
        <f t="shared" si="513"/>
        <v>2.5334241864105445</v>
      </c>
      <c r="AC254" s="14"/>
      <c r="AD254" s="635">
        <f>VLOOKUP(B254,TwoStageCT!A$10:H$72,7,FALSE)/10000</f>
        <v>1.6849048737447556E-6</v>
      </c>
      <c r="AE254" s="366">
        <f>IF(ABS(VLOOKUP($A254,'5 A data'!$A$5:$U$1148,6,FALSE))&lt;4.5,IF(ABS(VLOOKUP($A254,'5 A data'!$A$5:$U$1148,6,FALSE))&lt;1.25,0.0008,0.002),0.004)*VLOOKUP($A254,'5 A data'!$A$5:$U$1148,7,FALSE)*25*RADIANS(1/60)*100</f>
        <v>2.9088820866572159E-3</v>
      </c>
      <c r="AF254" s="23">
        <f t="shared" si="514"/>
        <v>2.908882086657222E-3</v>
      </c>
      <c r="AG254" s="29">
        <f t="shared" si="515"/>
        <v>2.0969285936160462E-4</v>
      </c>
      <c r="AH254" s="4">
        <f t="shared" si="523"/>
        <v>6.2540964863130157E-3</v>
      </c>
      <c r="AI254" s="4">
        <f t="shared" si="516"/>
        <v>8.3877143744641848E-4</v>
      </c>
      <c r="AJ254" s="4">
        <f t="shared" si="494"/>
        <v>5.0000000000000001E-4</v>
      </c>
      <c r="AK254" s="21">
        <f>VLOOKUP($D254,Uncertainties!$B$35:$D$41,3,FALSE)</f>
        <v>-2.908882086657183E-3</v>
      </c>
      <c r="AL254" s="21"/>
      <c r="AM254" s="369">
        <f>SQRT((VLOOKUP($A254,'5 A data'!$A$5:$U$1148,7,FALSE)*mutual_ind)^2+(aux_CT_phase*J254)^2)</f>
        <v>1.7016048866067741E-3</v>
      </c>
      <c r="AN254" s="29">
        <f t="shared" si="517"/>
        <v>8.2699140558357698E-3</v>
      </c>
      <c r="AO254" s="14">
        <f t="shared" si="518"/>
        <v>13.671290873222269</v>
      </c>
      <c r="AP254" s="27">
        <f t="shared" si="519"/>
        <v>2.1430941281343401</v>
      </c>
      <c r="AS254" s="27">
        <f>VLOOKUP($B254,TwoStageCT!$A$10:$H$72,5,FALSE)</f>
        <v>38.659909732018328</v>
      </c>
      <c r="AT254" s="27">
        <f>VLOOKUP($B254,TwoStageCT!$A$10:$H$72,8,FALSE)</f>
        <v>52.499330597885681</v>
      </c>
    </row>
    <row r="255" spans="1:46" x14ac:dyDescent="0.2">
      <c r="A255" s="409">
        <v>363</v>
      </c>
      <c r="B255" s="5" t="str">
        <f>B241&amp;D255</f>
        <v>120/20060</v>
      </c>
      <c r="C255" s="19">
        <f>VLOOKUP($A255,'5 A data'!$A$5:$U$650,3,FALSE)</f>
        <v>2.1000057980615688E-2</v>
      </c>
      <c r="D255" s="163">
        <f>ROUND(VLOOKUP($A255,'5 A data'!$A$5:$U$650,9,FALSE)/10,0)*10</f>
        <v>60</v>
      </c>
      <c r="E255" s="23">
        <f t="shared" si="498"/>
        <v>0.99936709902044762</v>
      </c>
      <c r="F255" s="23">
        <f t="shared" si="499"/>
        <v>1.0011822386327505</v>
      </c>
      <c r="G255" s="486">
        <f>VLOOKUP(B255,TwoStageCT!A$10:H$72,3,FALSE)/10000</f>
        <v>2.195627602528684E-5</v>
      </c>
      <c r="H255" s="486">
        <f>VLOOKUP(B255,TwoStageCT!A$10:H$72,6,FALSE)/10000</f>
        <v>5.5507836163637805E-6</v>
      </c>
      <c r="I255" s="19">
        <f>VLOOKUP($A255,'5 A data'!$A$5:$U$650,10,FALSE)</f>
        <v>-0.13</v>
      </c>
      <c r="J255" s="32">
        <f>VLOOKUP($A255,'5 A data'!$A$5:$U$650,11,FALSE)</f>
        <v>0.19489509980603345</v>
      </c>
      <c r="K255" s="31"/>
      <c r="L255" s="31"/>
      <c r="M255" s="31">
        <f t="shared" si="520"/>
        <v>-0.12989576659663293</v>
      </c>
      <c r="N255" s="31">
        <f t="shared" si="521"/>
        <v>0.19513106310597425</v>
      </c>
      <c r="O255" s="20"/>
      <c r="P255" s="634">
        <f>VLOOKUP(B255,TwoStageCT!A$10:H$72,4,FALSE)/10000</f>
        <v>2.9709098248278708E-6</v>
      </c>
      <c r="Q255" s="58">
        <f>VLOOKUP($A255,'5 A data'!$A$5:$U$650,7,FALSE)*slidewire_res</f>
        <v>1E-3</v>
      </c>
      <c r="R255" s="347">
        <f t="shared" si="508"/>
        <v>-1.6000000000000016E-3</v>
      </c>
      <c r="S255" s="4">
        <v>0</v>
      </c>
      <c r="T255" s="4">
        <f t="shared" si="522"/>
        <v>-2.9700000000000001E-2</v>
      </c>
      <c r="U255" s="29">
        <f t="shared" si="509"/>
        <v>-5.1958306638653169E-4</v>
      </c>
      <c r="V255" s="29">
        <f t="shared" si="487"/>
        <v>5.0000000000000001E-4</v>
      </c>
      <c r="W255" s="23">
        <f>VLOOKUP($D255,Uncertainties!$B$35:$D$41,2,FALSE)</f>
        <v>-1.0000000000000009E-3</v>
      </c>
      <c r="X255" s="23"/>
      <c r="Y255" s="24">
        <f t="shared" si="510"/>
        <v>-1.0080825246865232E-5</v>
      </c>
      <c r="Z255" s="23">
        <f t="shared" si="511"/>
        <v>2.9785400400401178E-2</v>
      </c>
      <c r="AA255" s="25">
        <f t="shared" si="512"/>
        <v>5.057704626536724</v>
      </c>
      <c r="AB255" s="26">
        <f t="shared" si="513"/>
        <v>2.5336281146196513</v>
      </c>
      <c r="AC255" s="14"/>
      <c r="AD255" s="635">
        <f>VLOOKUP(B255,TwoStageCT!A$10:H$72,7,FALSE)/10000</f>
        <v>1.6017059195029239E-6</v>
      </c>
      <c r="AE255" s="366">
        <f>IF(ABS(VLOOKUP($A255,'5 A data'!$A$5:$U$1148,6,FALSE))&lt;4.5,IF(ABS(VLOOKUP($A255,'5 A data'!$A$5:$U$1148,6,FALSE))&lt;1.25,0.0008,0.002),0.004)*VLOOKUP($A255,'5 A data'!$A$5:$U$1148,7,FALSE)*25*RADIANS(1/60)*100</f>
        <v>2.9088820866572159E-3</v>
      </c>
      <c r="AF255" s="23">
        <f t="shared" si="514"/>
        <v>3.4906585039886587E-3</v>
      </c>
      <c r="AG255" s="29">
        <f t="shared" si="515"/>
        <v>1.9513106310597425E-4</v>
      </c>
      <c r="AH255" s="4">
        <f t="shared" si="523"/>
        <v>4.799655442984406E-3</v>
      </c>
      <c r="AI255" s="4">
        <f t="shared" si="516"/>
        <v>7.8052425242389699E-4</v>
      </c>
      <c r="AJ255" s="4">
        <f t="shared" si="494"/>
        <v>5.0000000000000001E-4</v>
      </c>
      <c r="AK255" s="21">
        <f>VLOOKUP($D255,Uncertainties!$B$35:$D$41,3,FALSE)</f>
        <v>-2.908882086657183E-3</v>
      </c>
      <c r="AL255" s="21"/>
      <c r="AM255" s="369">
        <f>SQRT((VLOOKUP($A255,'5 A data'!$A$5:$U$1148,7,FALSE)*mutual_ind)^2+(aux_CT_phase*J255)^2)</f>
        <v>1.7014200888528222E-3</v>
      </c>
      <c r="AN255" s="29">
        <f t="shared" si="517"/>
        <v>7.4790845880771395E-3</v>
      </c>
      <c r="AO255" s="14">
        <f t="shared" si="518"/>
        <v>19.848253003072941</v>
      </c>
      <c r="AP255" s="27">
        <f t="shared" si="519"/>
        <v>2.0836473908376454</v>
      </c>
      <c r="AS255" s="27">
        <f>VLOOKUP($B255,TwoStageCT!$A$10:$H$72,5,FALSE)</f>
        <v>42.291164682130272</v>
      </c>
      <c r="AT255" s="27">
        <f>VLOOKUP($B255,TwoStageCT!$A$10:$H$72,8,FALSE)</f>
        <v>48.978667479860043</v>
      </c>
    </row>
    <row r="256" spans="1:46" x14ac:dyDescent="0.2">
      <c r="A256" s="409">
        <v>364</v>
      </c>
      <c r="B256" s="5" t="str">
        <f>B241&amp;D256</f>
        <v>120/200100</v>
      </c>
      <c r="C256" s="19">
        <f>VLOOKUP($A256,'5 A data'!$A$5:$U$650,3,FALSE)</f>
        <v>2.1000057980615688E-2</v>
      </c>
      <c r="D256" s="164">
        <f>ROUND(VLOOKUP($A256,'5 A data'!$A$5:$U$650,9,FALSE)/10,0)*10</f>
        <v>100</v>
      </c>
      <c r="E256" s="23">
        <f t="shared" si="498"/>
        <v>0.99936709902044762</v>
      </c>
      <c r="F256" s="23">
        <f t="shared" si="499"/>
        <v>1.0011822386327505</v>
      </c>
      <c r="G256" s="486">
        <f>VLOOKUP(B256,TwoStageCT!A$10:H$72,3,FALSE)/10000</f>
        <v>1.6881396356939836E-5</v>
      </c>
      <c r="H256" s="486">
        <f>VLOOKUP(B256,TwoStageCT!A$10:H$72,6,FALSE)/10000</f>
        <v>7.3590724152435355E-6</v>
      </c>
      <c r="I256" s="19">
        <f>VLOOKUP($A256,'5 A data'!$A$5:$U$650,10,FALSE)</f>
        <v>-0.122</v>
      </c>
      <c r="J256" s="32">
        <f>VLOOKUP($A256,'5 A data'!$A$5:$U$650,11,FALSE)</f>
        <v>0.17744180728609016</v>
      </c>
      <c r="K256" s="31"/>
      <c r="L256" s="31"/>
      <c r="M256" s="31">
        <f t="shared" si="520"/>
        <v>-0.12190590468413766</v>
      </c>
      <c r="N256" s="31">
        <f t="shared" si="521"/>
        <v>0.1776589449181441</v>
      </c>
      <c r="O256" s="20"/>
      <c r="P256" s="634">
        <f>VLOOKUP(B256,TwoStageCT!A$10:H$72,4,FALSE)/10000</f>
        <v>2.4131313466023584E-6</v>
      </c>
      <c r="Q256" s="58">
        <f>VLOOKUP($A256,'5 A data'!$A$5:$U$650,7,FALSE)*slidewire_res</f>
        <v>1E-3</v>
      </c>
      <c r="R256" s="347">
        <f t="shared" si="508"/>
        <v>-4.000000000000004E-4</v>
      </c>
      <c r="S256" s="4">
        <v>0</v>
      </c>
      <c r="T256" s="4">
        <f t="shared" si="522"/>
        <v>-2.6700000000000002E-2</v>
      </c>
      <c r="U256" s="29">
        <f t="shared" si="509"/>
        <v>-4.8762361873655062E-4</v>
      </c>
      <c r="V256" s="29">
        <f t="shared" si="487"/>
        <v>5.0000000000000001E-4</v>
      </c>
      <c r="W256" s="23">
        <f>VLOOKUP($D256,Uncertainties!$B$35:$D$41,2,FALSE)</f>
        <v>1.999999999999974E-3</v>
      </c>
      <c r="X256" s="23"/>
      <c r="Y256" s="24">
        <f t="shared" si="510"/>
        <v>-9.4604667701350635E-6</v>
      </c>
      <c r="Z256" s="23">
        <f t="shared" si="511"/>
        <v>2.6805556739549062E-2</v>
      </c>
      <c r="AA256" s="25">
        <f t="shared" si="512"/>
        <v>5.079463438555452</v>
      </c>
      <c r="AB256" s="26">
        <f t="shared" si="513"/>
        <v>2.5304916008707572</v>
      </c>
      <c r="AC256" s="14"/>
      <c r="AD256" s="635">
        <f>VLOOKUP(B256,TwoStageCT!A$10:H$72,7,FALSE)/10000</f>
        <v>1.6933288916776063E-6</v>
      </c>
      <c r="AE256" s="366">
        <f>IF(ABS(VLOOKUP($A256,'5 A data'!$A$5:$U$1148,6,FALSE))&lt;4.5,IF(ABS(VLOOKUP($A256,'5 A data'!$A$5:$U$1148,6,FALSE))&lt;1.25,0.0008,0.002),0.004)*VLOOKUP($A256,'5 A data'!$A$5:$U$1148,7,FALSE)*25*RADIANS(1/60)*100</f>
        <v>2.9088820866572159E-3</v>
      </c>
      <c r="AF256" s="23">
        <f t="shared" si="514"/>
        <v>8.7266462599716046E-4</v>
      </c>
      <c r="AG256" s="29">
        <f t="shared" si="515"/>
        <v>1.7765894491814411E-4</v>
      </c>
      <c r="AH256" s="4">
        <f t="shared" si="523"/>
        <v>1.4544410433286097E-3</v>
      </c>
      <c r="AI256" s="4">
        <f t="shared" si="516"/>
        <v>7.1063577967257644E-4</v>
      </c>
      <c r="AJ256" s="4">
        <f t="shared" si="494"/>
        <v>5.0000000000000001E-4</v>
      </c>
      <c r="AK256" s="21">
        <f>VLOOKUP($D256,Uncertainties!$B$35:$D$41,3,FALSE)</f>
        <v>-2.9088820866572385E-3</v>
      </c>
      <c r="AL256" s="21"/>
      <c r="AM256" s="369">
        <f>SQRT((VLOOKUP($A256,'5 A data'!$A$5:$U$1148,7,FALSE)*mutual_ind)^2+(aux_CT_phase*J256)^2)</f>
        <v>1.7012158573398307E-3</v>
      </c>
      <c r="AN256" s="29">
        <f t="shared" si="517"/>
        <v>4.8457028859416971E-3</v>
      </c>
      <c r="AO256" s="14">
        <f t="shared" si="518"/>
        <v>24.184670148753614</v>
      </c>
      <c r="AP256" s="27">
        <f t="shared" si="519"/>
        <v>2.0607579571859542</v>
      </c>
      <c r="AS256" s="27">
        <f>VLOOKUP($B256,TwoStageCT!$A$10:$H$72,5,FALSE)</f>
        <v>59.567261398457461</v>
      </c>
      <c r="AT256" s="27">
        <f>VLOOKUP($B256,TwoStageCT!$A$10:$H$72,8,FALSE)</f>
        <v>45.732629829898706</v>
      </c>
    </row>
    <row r="257" spans="1:46" x14ac:dyDescent="0.2">
      <c r="A257" s="409">
        <v>365</v>
      </c>
      <c r="B257" s="5" t="str">
        <f>B241&amp;D257</f>
        <v>120/200120</v>
      </c>
      <c r="C257" s="19">
        <f>VLOOKUP($A257,'5 A data'!$A$5:$U$650,3,FALSE)</f>
        <v>2.1000057980615688E-2</v>
      </c>
      <c r="D257" s="164">
        <f>ROUND(VLOOKUP($A257,'5 A data'!$A$5:$U$650,9,FALSE)/10,0)*10</f>
        <v>120</v>
      </c>
      <c r="E257" s="23">
        <f t="shared" si="498"/>
        <v>0.99936709902044762</v>
      </c>
      <c r="F257" s="23">
        <f t="shared" si="499"/>
        <v>1.0011822386327505</v>
      </c>
      <c r="G257" s="486">
        <f>VLOOKUP(B257,TwoStageCT!A$10:H$72,3,FALSE)/10000</f>
        <v>1.5213305302217845E-5</v>
      </c>
      <c r="H257" s="486">
        <f>VLOOKUP(B257,TwoStageCT!A$10:H$72,6,FALSE)/10000</f>
        <v>7.5885012454326174E-6</v>
      </c>
      <c r="I257" s="19">
        <f>VLOOKUP($A257,'5 A data'!$A$5:$U$650,10,FALSE)</f>
        <v>-0.12</v>
      </c>
      <c r="J257" s="32">
        <f>VLOOKUP($A257,'5 A data'!$A$5:$U$650,11,FALSE)</f>
        <v>0.17307848415610436</v>
      </c>
      <c r="K257" s="31"/>
      <c r="L257" s="31"/>
      <c r="M257" s="31">
        <f t="shared" si="520"/>
        <v>-0.1199088385771515</v>
      </c>
      <c r="N257" s="31">
        <f t="shared" si="521"/>
        <v>0.17329069272781703</v>
      </c>
      <c r="O257" s="20"/>
      <c r="P257" s="634">
        <f>VLOOKUP(B257,TwoStageCT!A$10:H$72,4,FALSE)/10000</f>
        <v>2.2681305202526645E-6</v>
      </c>
      <c r="Q257" s="58">
        <f>VLOOKUP($A257,'5 A data'!$A$5:$U$650,7,FALSE)*slidewire_res</f>
        <v>1E-3</v>
      </c>
      <c r="R257" s="347">
        <f t="shared" si="508"/>
        <v>0</v>
      </c>
      <c r="S257" s="4">
        <v>0</v>
      </c>
      <c r="T257" s="4">
        <f t="shared" si="522"/>
        <v>-2.52E-2</v>
      </c>
      <c r="U257" s="29">
        <f t="shared" si="509"/>
        <v>-4.7963535430860601E-4</v>
      </c>
      <c r="V257" s="29">
        <f t="shared" si="487"/>
        <v>5.0000000000000001E-4</v>
      </c>
      <c r="W257" s="23">
        <f>VLOOKUP($D257,Uncertainties!$B$35:$D$41,2,FALSE)</f>
        <v>-1.0000000000000009E-3</v>
      </c>
      <c r="X257" s="23"/>
      <c r="Y257" s="24">
        <f t="shared" si="510"/>
        <v>-9.3053771509525226E-6</v>
      </c>
      <c r="Z257" s="23">
        <f t="shared" si="511"/>
        <v>2.5249161209980081E-2</v>
      </c>
      <c r="AA257" s="25">
        <f t="shared" si="512"/>
        <v>5.0391122194843296</v>
      </c>
      <c r="AB257" s="26">
        <f t="shared" si="513"/>
        <v>2.5363359594027486</v>
      </c>
      <c r="AC257" s="14"/>
      <c r="AD257" s="635">
        <f>VLOOKUP(B257,TwoStageCT!A$10:H$72,7,FALSE)/10000</f>
        <v>1.7092397901526349E-6</v>
      </c>
      <c r="AE257" s="366">
        <f>IF(ABS(VLOOKUP($A257,'5 A data'!$A$5:$U$1148,6,FALSE))&lt;4.5,IF(ABS(VLOOKUP($A257,'5 A data'!$A$5:$U$1148,6,FALSE))&lt;1.25,0.0008,0.002),0.004)*VLOOKUP($A257,'5 A data'!$A$5:$U$1148,7,FALSE)*25*RADIANS(1/60)*100</f>
        <v>2.9088820866572159E-3</v>
      </c>
      <c r="AF257" s="23">
        <f t="shared" si="514"/>
        <v>0</v>
      </c>
      <c r="AG257" s="29">
        <f t="shared" si="515"/>
        <v>1.7329069272781702E-4</v>
      </c>
      <c r="AH257" s="4">
        <f t="shared" si="523"/>
        <v>2.1816615649929011E-4</v>
      </c>
      <c r="AI257" s="4">
        <f t="shared" si="516"/>
        <v>6.9316277091126808E-4</v>
      </c>
      <c r="AJ257" s="4">
        <f t="shared" si="494"/>
        <v>5.0000000000000001E-4</v>
      </c>
      <c r="AK257" s="21">
        <f>VLOOKUP($D257,Uncertainties!$B$35:$D$41,3,FALSE)</f>
        <v>1.4544410433285915E-3</v>
      </c>
      <c r="AL257" s="21"/>
      <c r="AM257" s="369">
        <f>SQRT((VLOOKUP($A257,'5 A data'!$A$5:$U$1148,7,FALSE)*mutual_ind)^2+(aux_CT_phase*J257)^2)</f>
        <v>1.7011677875698216E-3</v>
      </c>
      <c r="AN257" s="29">
        <f t="shared" si="517"/>
        <v>3.7787655747035975E-3</v>
      </c>
      <c r="AO257" s="14">
        <f t="shared" si="518"/>
        <v>12.423314939359516</v>
      </c>
      <c r="AP257" s="27">
        <f t="shared" si="519"/>
        <v>2.1628849035621274</v>
      </c>
      <c r="AS257" s="27">
        <f>VLOOKUP($B257,TwoStageCT!$A$10:$H$72,5,FALSE)</f>
        <v>68.00069900375496</v>
      </c>
      <c r="AT257" s="27">
        <f>VLOOKUP($B257,TwoStageCT!$A$10:$H$72,8,FALSE)</f>
        <v>47.345132453902309</v>
      </c>
    </row>
    <row r="258" spans="1:46" x14ac:dyDescent="0.2">
      <c r="A258" s="409">
        <v>366</v>
      </c>
      <c r="P258" s="97"/>
      <c r="R258" s="42"/>
      <c r="AD258" s="250"/>
    </row>
    <row r="259" spans="1:46" x14ac:dyDescent="0.2">
      <c r="A259" s="409">
        <v>367</v>
      </c>
      <c r="B259" s="474" t="str">
        <f>MID(D259,FIND("AT,",D259,1)-4,3)&amp;"/"&amp;MID(D259,FIND("AT,",D259,1)+4,3)</f>
        <v>120/200</v>
      </c>
      <c r="C259" t="s">
        <v>113</v>
      </c>
      <c r="D259" s="59" t="str">
        <f>VLOOKUP($A259,'5 A data'!$A$5:$U$574,2,FALSE)</f>
        <v>200/5 Range, 1 turns @ 5VA burden, vs 120 AT, 200 range, 2 Stage CT</v>
      </c>
      <c r="M259" s="502" t="s">
        <v>490</v>
      </c>
      <c r="P259" s="97"/>
      <c r="R259" s="42"/>
      <c r="Z259" s="29"/>
      <c r="AA259" s="25"/>
      <c r="AD259" s="250"/>
      <c r="AN259" s="29"/>
      <c r="AO259" s="14"/>
    </row>
    <row r="260" spans="1:46" x14ac:dyDescent="0.2">
      <c r="A260" s="409">
        <v>368</v>
      </c>
      <c r="C260" s="19"/>
      <c r="M260" s="638" t="s">
        <v>160</v>
      </c>
      <c r="N260" s="638"/>
      <c r="O260" s="19"/>
      <c r="P260" s="97"/>
      <c r="R260" s="42"/>
      <c r="Z260" s="29"/>
      <c r="AA260" s="25"/>
      <c r="AD260" s="250"/>
      <c r="AN260" s="29"/>
      <c r="AO260" s="14"/>
    </row>
    <row r="261" spans="1:46" x14ac:dyDescent="0.2">
      <c r="A261" s="409">
        <v>369</v>
      </c>
      <c r="B261" s="5" t="str">
        <f>B259&amp;D261</f>
        <v>120/2005</v>
      </c>
      <c r="C261" s="19">
        <f>VLOOKUP($A261,'5 A data'!$A$5:$U$574,3,FALSE)</f>
        <v>0.21600059637204713</v>
      </c>
      <c r="D261" s="19">
        <f>ROUND(VLOOKUP($A261,'5 A data'!$A$5:$U$650,9,FALSE),0)</f>
        <v>5</v>
      </c>
      <c r="E261" s="23">
        <f>TestSetRatioCor</f>
        <v>0.99936709902044762</v>
      </c>
      <c r="F261" s="23">
        <f>TestSetPhaseCor</f>
        <v>1.0011822386327505</v>
      </c>
      <c r="G261" s="486">
        <f>VLOOKUP(B261,TwoStageCT!A$10:H$72,3,FALSE)/10000</f>
        <v>3.6805932694608759E-5</v>
      </c>
      <c r="H261" s="486">
        <f>VLOOKUP(B261,TwoStageCT!A$10:H$72,6,FALSE)/10000</f>
        <v>4.6965346060309593E-6</v>
      </c>
      <c r="I261" s="19">
        <f>VLOOKUP($A261,'5 A data'!$A$5:$U$650,10,FALSE)</f>
        <v>-1.0900000000000001</v>
      </c>
      <c r="J261" s="32">
        <f>VLOOKUP($A261,'5 A data'!$A$5:$U$650,11,FALSE)</f>
        <v>0.52359877559829882</v>
      </c>
      <c r="K261" s="22">
        <f>I261-I269</f>
        <v>-0.8640000000000001</v>
      </c>
      <c r="L261" s="22">
        <f>J261-J269</f>
        <v>0.13089969389957462</v>
      </c>
      <c r="M261" s="501">
        <f>I261*E261+G261</f>
        <v>-1.0892733319995935</v>
      </c>
      <c r="N261" s="501">
        <f>J261*F261+H261</f>
        <v>0.52422249083347794</v>
      </c>
      <c r="O261" s="20"/>
      <c r="P261" s="634">
        <f>VLOOKUP(B261,TwoStageCT!A$10:H$72,4,FALSE)/10000</f>
        <v>6.4429594675743464E-6</v>
      </c>
      <c r="Q261" s="58">
        <f>VLOOKUP($A261,'5 A data'!$A$5:$U$650,7,FALSE)*slidewire_res</f>
        <v>0.01</v>
      </c>
      <c r="R261" s="347">
        <f t="shared" ref="R261:R267" si="524">current_coef*(I261-I262)*IF(I262=0,0,1)</f>
        <v>-2.7600000000000027E-2</v>
      </c>
      <c r="S261" s="4">
        <v>0</v>
      </c>
      <c r="T261" s="21">
        <f>BurdenUnc*K261</f>
        <v>-4.3200000000000009E-2</v>
      </c>
      <c r="U261" s="29">
        <f>0.004*M261</f>
        <v>-4.3570933279983744E-3</v>
      </c>
      <c r="V261" s="29">
        <f t="shared" ref="V261:V275" si="525">earthing_Re</f>
        <v>5.0000000000000001E-4</v>
      </c>
      <c r="W261" s="23">
        <f>VLOOKUP($D261,Uncertainties!$B$35:$D$41,2,FALSE)</f>
        <v>5.0000000000000044E-3</v>
      </c>
      <c r="X261" s="23"/>
      <c r="Y261" s="24">
        <f t="shared" ref="Y261:Y267" si="526">I261*aux_CT_ratio</f>
        <v>-8.4523842454485421E-5</v>
      </c>
      <c r="Z261" s="23">
        <f t="shared" ref="Z261:Z267" si="527">SQRT(SUMSQ(P261:Y261))</f>
        <v>5.2652079237771418E-2</v>
      </c>
      <c r="AA261" s="25">
        <f t="shared" ref="AA261:AA267" si="528">DoF_A(P261:Y261,$P$7:$Y$7)</f>
        <v>9.4327592128303852</v>
      </c>
      <c r="AB261" s="26">
        <f t="shared" ref="AB261:AB267" si="529">CoverFactor(AA261)</f>
        <v>2.2342339334408421</v>
      </c>
      <c r="AC261" s="14"/>
      <c r="AD261" s="635">
        <f>VLOOKUP(B261,TwoStageCT!A$10:H$72,7,FALSE)/10000</f>
        <v>4.6788986298833412E-6</v>
      </c>
      <c r="AE261" s="366">
        <f>IF(ABS(VLOOKUP($A261,'5 A data'!$A$5:$U$1148,6,FALSE))&lt;4.5,IF(ABS(VLOOKUP($A261,'5 A data'!$A$5:$U$1148,6,FALSE))&lt;1.25,0.0008,0.002),0.004)*VLOOKUP($A261,'5 A data'!$A$5:$U$1148,7,FALSE)*25*RADIANS(1/60)*100</f>
        <v>1.454441043328608E-2</v>
      </c>
      <c r="AF261" s="23">
        <f>current_coef*(J261-J262)*IF(J262=0,0,1)</f>
        <v>1.6289739685280413E-2</v>
      </c>
      <c r="AG261" s="29">
        <f t="shared" ref="AG261:AG267" si="530">0.001*N261</f>
        <v>5.24222490833478E-4</v>
      </c>
      <c r="AH261" s="4">
        <f>BurdenUnc*L261</f>
        <v>6.544984694978731E-3</v>
      </c>
      <c r="AI261" s="4">
        <f t="shared" ref="AI261:AI267" si="531">0.004*N261</f>
        <v>2.096889963333912E-3</v>
      </c>
      <c r="AJ261" s="4">
        <f t="shared" ref="AJ261:AJ275" si="532">earthing_Im</f>
        <v>5.0000000000000001E-4</v>
      </c>
      <c r="AK261" s="21">
        <f>VLOOKUP($D261,Uncertainties!$B$35:$D$41,3,FALSE)</f>
        <v>-1.1635528346628732E-2</v>
      </c>
      <c r="AL261" s="21"/>
      <c r="AM261" s="369">
        <f>SQRT((VLOOKUP($A261,'5 A data'!$A$5:$U$1148,7,FALSE)*mutual_ind)^2+(aux_CT_phase*J261)^2)</f>
        <v>1.7003122109700258E-2</v>
      </c>
      <c r="AN261" s="29">
        <f t="shared" ref="AN261:AN267" si="533">SQRT(SUMSQ(AD261:AM261))</f>
        <v>3.0808209596412502E-2</v>
      </c>
      <c r="AO261" s="14">
        <f t="shared" ref="AO261:AO267" si="534">DoF_A(AD261:AM261,$AD$7:$AM$7)</f>
        <v>21.662873724546937</v>
      </c>
      <c r="AP261" s="27">
        <f t="shared" ref="AP261:AP267" si="535">CoverFactor(AO261)</f>
        <v>2.072908284343741</v>
      </c>
      <c r="AS261" s="27">
        <f>VLOOKUP($B261,TwoStageCT!$A$10:$H$72,5,FALSE)</f>
        <v>26.31606241070681</v>
      </c>
      <c r="AT261" s="27">
        <f>VLOOKUP($B261,TwoStageCT!$A$10:$H$72,8,FALSE)</f>
        <v>9.9413455012810044</v>
      </c>
    </row>
    <row r="262" spans="1:46" x14ac:dyDescent="0.2">
      <c r="A262" s="409">
        <v>370</v>
      </c>
      <c r="B262" s="5" t="str">
        <f>B259&amp;D262</f>
        <v>120/20010</v>
      </c>
      <c r="C262" s="19">
        <f>VLOOKUP($A262,'5 A data'!$A$5:$U$650,3,FALSE)</f>
        <v>0.21600059637204713</v>
      </c>
      <c r="D262" s="163">
        <f>ROUND(VLOOKUP($A262,'5 A data'!$A$5:$U$650,9,FALSE)/10,0)*10</f>
        <v>10</v>
      </c>
      <c r="E262" s="23">
        <f t="shared" ref="E262:E275" si="536">TestSetRatioCor</f>
        <v>0.99936709902044762</v>
      </c>
      <c r="F262" s="23">
        <f t="shared" ref="F262:F275" si="537">TestSetPhaseCor</f>
        <v>1.0011822386327505</v>
      </c>
      <c r="G262" s="486">
        <f>VLOOKUP(B262,TwoStageCT!A$10:H$72,3,FALSE)/10000</f>
        <v>3.4690340839935311E-5</v>
      </c>
      <c r="H262" s="486">
        <f>VLOOKUP(B262,TwoStageCT!A$10:H$72,6,FALSE)/10000</f>
        <v>2.6036797087866982E-6</v>
      </c>
      <c r="I262" s="19">
        <f>VLOOKUP($A262,'5 A data'!$A$5:$U$650,10,FALSE)</f>
        <v>-0.95199999999999996</v>
      </c>
      <c r="J262" s="32">
        <f>VLOOKUP($A262,'5 A data'!$A$5:$U$650,11,FALSE)</f>
        <v>0.44215007717189675</v>
      </c>
      <c r="K262" s="22">
        <f t="shared" ref="K262:K267" si="538">I262-I270</f>
        <v>-0.76899999999999991</v>
      </c>
      <c r="L262" s="22">
        <f t="shared" ref="L262:L267" si="539">J262-J270</f>
        <v>0.14544410433286076</v>
      </c>
      <c r="M262" s="501">
        <f t="shared" ref="M262:M267" si="540">I262*E262+G262</f>
        <v>-0.95136278792662621</v>
      </c>
      <c r="N262" s="501">
        <f t="shared" ref="N262:N267" si="541">J262*F262+H262</f>
        <v>0.44267540775431174</v>
      </c>
      <c r="O262" s="20"/>
      <c r="P262" s="634">
        <f>VLOOKUP(B262,TwoStageCT!A$10:H$72,4,FALSE)/10000</f>
        <v>5.0170517941146892E-6</v>
      </c>
      <c r="Q262" s="58">
        <f>VLOOKUP($A262,'5 A data'!$A$5:$U$650,7,FALSE)*slidewire_res</f>
        <v>2E-3</v>
      </c>
      <c r="R262" s="347">
        <f t="shared" si="524"/>
        <v>-2.1599999999999998E-2</v>
      </c>
      <c r="S262" s="4">
        <v>0</v>
      </c>
      <c r="T262" s="21">
        <f t="shared" ref="T262:T267" si="542">BurdenUnc*K262</f>
        <v>-3.8449999999999998E-2</v>
      </c>
      <c r="U262" s="29">
        <f t="shared" ref="U262:U267" si="543">0.004*M262</f>
        <v>-3.8054511517065051E-3</v>
      </c>
      <c r="V262" s="29">
        <f t="shared" si="525"/>
        <v>5.0000000000000001E-4</v>
      </c>
      <c r="W262" s="23">
        <f>VLOOKUP($D262,Uncertainties!$B$35:$D$41,2,FALSE)</f>
        <v>2.5000000000000022E-3</v>
      </c>
      <c r="X262" s="23"/>
      <c r="Y262" s="24">
        <f t="shared" si="526"/>
        <v>-7.3822658730890011E-5</v>
      </c>
      <c r="Z262" s="23">
        <f t="shared" si="527"/>
        <v>4.4384112398737623E-2</v>
      </c>
      <c r="AA262" s="25">
        <f t="shared" si="528"/>
        <v>8.0727057877275854</v>
      </c>
      <c r="AB262" s="26">
        <f t="shared" si="529"/>
        <v>2.2868629555098439</v>
      </c>
      <c r="AC262" s="14"/>
      <c r="AD262" s="635">
        <f>VLOOKUP(B262,TwoStageCT!A$10:H$72,7,FALSE)/10000</f>
        <v>2.600738521505678E-6</v>
      </c>
      <c r="AE262" s="366">
        <f>IF(ABS(VLOOKUP($A262,'5 A data'!$A$5:$U$1148,6,FALSE))&lt;4.5,IF(ABS(VLOOKUP($A262,'5 A data'!$A$5:$U$1148,6,FALSE))&lt;1.25,0.0008,0.002),0.004)*VLOOKUP($A262,'5 A data'!$A$5:$U$1148,7,FALSE)*25*RADIANS(1/60)*100</f>
        <v>5.8177641733144318E-3</v>
      </c>
      <c r="AF262" s="23">
        <f t="shared" ref="AF262:AF267" si="544">current_coef*(J262-J263)*IF(J263=0,0,1)</f>
        <v>1.2799081181291739E-2</v>
      </c>
      <c r="AG262" s="29">
        <f t="shared" si="530"/>
        <v>4.4267540775431177E-4</v>
      </c>
      <c r="AH262" s="4">
        <f t="shared" ref="AH262:AH267" si="545">BurdenUnc*L262</f>
        <v>7.272205216643038E-3</v>
      </c>
      <c r="AI262" s="4">
        <f t="shared" si="531"/>
        <v>1.7707016310172471E-3</v>
      </c>
      <c r="AJ262" s="4">
        <f t="shared" si="532"/>
        <v>5.0000000000000001E-4</v>
      </c>
      <c r="AK262" s="21">
        <f>VLOOKUP($D262,Uncertainties!$B$35:$D$41,3,FALSE)</f>
        <v>4.363323129985941E-3</v>
      </c>
      <c r="AL262" s="21"/>
      <c r="AM262" s="369">
        <f>SQRT((VLOOKUP($A262,'5 A data'!$A$5:$U$1148,7,FALSE)*mutual_ind)^2+(aux_CT_phase*J262)^2)</f>
        <v>3.4035245624816418E-3</v>
      </c>
      <c r="AN262" s="29">
        <f t="shared" si="533"/>
        <v>1.6874588839589904E-2</v>
      </c>
      <c r="AO262" s="14">
        <f t="shared" si="534"/>
        <v>13.049644629578387</v>
      </c>
      <c r="AP262" s="27">
        <f t="shared" si="535"/>
        <v>2.1524400808803885</v>
      </c>
      <c r="AS262" s="27">
        <f>VLOOKUP($B262,TwoStageCT!$A$10:$H$72,5,FALSE)</f>
        <v>38.265350164989712</v>
      </c>
      <c r="AT262" s="27">
        <f>VLOOKUP($B262,TwoStageCT!$A$10:$H$72,8,FALSE)</f>
        <v>16.586629386739094</v>
      </c>
    </row>
    <row r="263" spans="1:46" x14ac:dyDescent="0.2">
      <c r="A263" s="409">
        <v>371</v>
      </c>
      <c r="B263" s="5" t="str">
        <f>B259&amp;D263</f>
        <v>120/20020</v>
      </c>
      <c r="C263" s="19">
        <f>VLOOKUP($A263,'5 A data'!$A$5:$U$650,3,FALSE)</f>
        <v>0.21600059637204713</v>
      </c>
      <c r="D263" s="163">
        <f>ROUND(VLOOKUP($A263,'5 A data'!$A$5:$U$650,9,FALSE)/10,0)*10</f>
        <v>20</v>
      </c>
      <c r="E263" s="23">
        <f t="shared" si="536"/>
        <v>0.99936709902044762</v>
      </c>
      <c r="F263" s="23">
        <f t="shared" si="537"/>
        <v>1.0011822386327505</v>
      </c>
      <c r="G263" s="486">
        <f>VLOOKUP(B263,TwoStageCT!A$10:H$72,3,FALSE)/10000</f>
        <v>3.1280516301103777E-5</v>
      </c>
      <c r="H263" s="486">
        <f>VLOOKUP(B263,TwoStageCT!A$10:H$72,6,FALSE)/10000</f>
        <v>4.5493238991726806E-6</v>
      </c>
      <c r="I263" s="19">
        <f>VLOOKUP($A263,'5 A data'!$A$5:$U$650,10,FALSE)</f>
        <v>-0.84399999999999997</v>
      </c>
      <c r="J263" s="32">
        <f>VLOOKUP($A263,'5 A data'!$A$5:$U$650,11,FALSE)</f>
        <v>0.37815467126543806</v>
      </c>
      <c r="K263" s="22">
        <f t="shared" si="538"/>
        <v>-0.68699999999999994</v>
      </c>
      <c r="L263" s="22">
        <f t="shared" si="539"/>
        <v>0.13671745807288913</v>
      </c>
      <c r="M263" s="501">
        <f t="shared" si="540"/>
        <v>-0.84343455105695664</v>
      </c>
      <c r="N263" s="501">
        <f t="shared" si="541"/>
        <v>0.37860628965086224</v>
      </c>
      <c r="O263" s="20"/>
      <c r="P263" s="634">
        <f>VLOOKUP(B263,TwoStageCT!A$10:H$72,4,FALSE)/10000</f>
        <v>4.17832023036102E-6</v>
      </c>
      <c r="Q263" s="364">
        <f>VLOOKUP($A263,'5 A data'!$A$5:$U$650,7,FALSE)*slidewire_res</f>
        <v>2E-3</v>
      </c>
      <c r="R263" s="347">
        <f t="shared" si="524"/>
        <v>-1.6399999999999994E-2</v>
      </c>
      <c r="S263" s="4">
        <v>0</v>
      </c>
      <c r="T263" s="21">
        <f t="shared" si="542"/>
        <v>-3.4349999999999999E-2</v>
      </c>
      <c r="U263" s="29">
        <f t="shared" si="543"/>
        <v>-3.3737382042278267E-3</v>
      </c>
      <c r="V263" s="29">
        <f t="shared" si="525"/>
        <v>5.0000000000000001E-4</v>
      </c>
      <c r="W263" s="23">
        <f>VLOOKUP($D263,Uncertainties!$B$35:$D$41,2,FALSE)</f>
        <v>-1.0000000000000009E-3</v>
      </c>
      <c r="X263" s="23"/>
      <c r="Y263" s="24">
        <f t="shared" si="526"/>
        <v>-6.5447819295032735E-5</v>
      </c>
      <c r="Z263" s="23">
        <f t="shared" si="527"/>
        <v>3.8282096472712628E-2</v>
      </c>
      <c r="AA263" s="25">
        <f t="shared" si="528"/>
        <v>7.3316783654804016</v>
      </c>
      <c r="AB263" s="26">
        <f t="shared" si="529"/>
        <v>2.3252286893439966</v>
      </c>
      <c r="AC263" s="14"/>
      <c r="AD263" s="635">
        <f>VLOOKUP(B263,TwoStageCT!A$10:H$72,7,FALSE)/10000</f>
        <v>1.9770475075939077E-6</v>
      </c>
      <c r="AE263" s="366">
        <f>IF(ABS(VLOOKUP($A263,'5 A data'!$A$5:$U$1148,6,FALSE))&lt;4.5,IF(ABS(VLOOKUP($A263,'5 A data'!$A$5:$U$1148,6,FALSE))&lt;1.25,0.0008,0.002),0.004)*VLOOKUP($A263,'5 A data'!$A$5:$U$1148,7,FALSE)*25*RADIANS(1/60)*100</f>
        <v>5.8177641733144318E-3</v>
      </c>
      <c r="AF263" s="23">
        <f t="shared" si="544"/>
        <v>1.0471975511965981E-2</v>
      </c>
      <c r="AG263" s="29">
        <f t="shared" si="530"/>
        <v>3.7860628965086224E-4</v>
      </c>
      <c r="AH263" s="4">
        <f t="shared" si="545"/>
        <v>6.8358729036444568E-3</v>
      </c>
      <c r="AI263" s="4">
        <f t="shared" si="531"/>
        <v>1.514425158603449E-3</v>
      </c>
      <c r="AJ263" s="4">
        <f t="shared" si="532"/>
        <v>5.0000000000000001E-4</v>
      </c>
      <c r="AK263" s="21">
        <f>VLOOKUP($D263,Uncertainties!$B$35:$D$41,3,FALSE)</f>
        <v>-1.454441043328647E-3</v>
      </c>
      <c r="AL263" s="21"/>
      <c r="AM263" s="369">
        <f>SQRT((VLOOKUP($A263,'5 A data'!$A$5:$U$1148,7,FALSE)*mutual_ind)^2+(aux_CT_phase*J263)^2)</f>
        <v>3.4026997740709561E-3</v>
      </c>
      <c r="AN263" s="29">
        <f t="shared" si="533"/>
        <v>1.4374227080005702E-2</v>
      </c>
      <c r="AO263" s="14">
        <f t="shared" si="534"/>
        <v>13.774723205449718</v>
      </c>
      <c r="AP263" s="27">
        <f t="shared" si="535"/>
        <v>2.1416272776416054</v>
      </c>
      <c r="AS263" s="27">
        <f>VLOOKUP($B263,TwoStageCT!$A$10:$H$72,5,FALSE)</f>
        <v>36.657700403051521</v>
      </c>
      <c r="AT263" s="27">
        <f>VLOOKUP($B263,TwoStageCT!$A$10:$H$72,8,FALSE)</f>
        <v>53.09445811850042</v>
      </c>
    </row>
    <row r="264" spans="1:46" x14ac:dyDescent="0.2">
      <c r="A264" s="409">
        <v>372</v>
      </c>
      <c r="B264" s="5" t="str">
        <f>B259&amp;D264</f>
        <v>120/20040</v>
      </c>
      <c r="C264" s="19">
        <f>VLOOKUP($A264,'5 A data'!$A$5:$U$650,3,FALSE)</f>
        <v>0.21600059637204713</v>
      </c>
      <c r="D264" s="163">
        <f>ROUND(VLOOKUP($A264,'5 A data'!$A$5:$U$650,9,FALSE)/10,0)*10</f>
        <v>40</v>
      </c>
      <c r="E264" s="23">
        <f t="shared" si="536"/>
        <v>0.99936709902044762</v>
      </c>
      <c r="F264" s="23">
        <f t="shared" si="537"/>
        <v>1.0011822386327505</v>
      </c>
      <c r="G264" s="486">
        <f>VLOOKUP(B264,TwoStageCT!A$10:H$72,3,FALSE)/10000</f>
        <v>2.5200167333853628E-5</v>
      </c>
      <c r="H264" s="486">
        <f>VLOOKUP(B264,TwoStageCT!A$10:H$72,6,FALSE)/10000</f>
        <v>5.7416420558101514E-6</v>
      </c>
      <c r="I264" s="19">
        <f>VLOOKUP($A264,'5 A data'!$A$5:$U$650,10,FALSE)</f>
        <v>-0.76200000000000001</v>
      </c>
      <c r="J264" s="32">
        <f>VLOOKUP($A264,'5 A data'!$A$5:$U$650,11,FALSE)</f>
        <v>0.32579479370560815</v>
      </c>
      <c r="K264" s="22">
        <f t="shared" si="538"/>
        <v>-0.625</v>
      </c>
      <c r="L264" s="22">
        <f t="shared" si="539"/>
        <v>0.12217304763960304</v>
      </c>
      <c r="M264" s="501">
        <f t="shared" si="540"/>
        <v>-0.76149252928624722</v>
      </c>
      <c r="N264" s="501">
        <f t="shared" si="541"/>
        <v>0.32618570253913171</v>
      </c>
      <c r="O264" s="20"/>
      <c r="P264" s="634">
        <f>VLOOKUP(B264,TwoStageCT!A$10:H$72,4,FALSE)/10000</f>
        <v>3.3964590328801363E-6</v>
      </c>
      <c r="Q264" s="58">
        <f>VLOOKUP($A264,'5 A data'!$A$5:$U$650,7,FALSE)*slidewire_res</f>
        <v>2E-3</v>
      </c>
      <c r="R264" s="347">
        <f t="shared" si="524"/>
        <v>-8.0000000000000071E-3</v>
      </c>
      <c r="S264" s="4">
        <v>0</v>
      </c>
      <c r="T264" s="21">
        <f t="shared" si="542"/>
        <v>-3.125E-2</v>
      </c>
      <c r="U264" s="29">
        <f t="shared" si="543"/>
        <v>-3.0459701171449889E-3</v>
      </c>
      <c r="V264" s="29">
        <f t="shared" si="525"/>
        <v>5.0000000000000001E-4</v>
      </c>
      <c r="W264" s="23">
        <f>VLOOKUP($D264,Uncertainties!$B$35:$D$41,2,FALSE)</f>
        <v>-1.0000000000000009E-3</v>
      </c>
      <c r="X264" s="23"/>
      <c r="Y264" s="24">
        <f t="shared" si="526"/>
        <v>-5.9089144908548515E-5</v>
      </c>
      <c r="Z264" s="23">
        <f t="shared" si="527"/>
        <v>3.248220954641972E-2</v>
      </c>
      <c r="AA264" s="25">
        <f t="shared" si="528"/>
        <v>5.8109132412424414</v>
      </c>
      <c r="AB264" s="26">
        <f t="shared" si="529"/>
        <v>2.4420833860640343</v>
      </c>
      <c r="AC264" s="14"/>
      <c r="AD264" s="635">
        <f>VLOOKUP(B264,TwoStageCT!A$10:H$72,7,FALSE)/10000</f>
        <v>1.6849048737447556E-6</v>
      </c>
      <c r="AE264" s="366">
        <f>IF(ABS(VLOOKUP($A264,'5 A data'!$A$5:$U$1148,6,FALSE))&lt;4.5,IF(ABS(VLOOKUP($A264,'5 A data'!$A$5:$U$1148,6,FALSE))&lt;1.25,0.0008,0.002),0.004)*VLOOKUP($A264,'5 A data'!$A$5:$U$1148,7,FALSE)*25*RADIANS(1/60)*100</f>
        <v>5.8177641733144318E-3</v>
      </c>
      <c r="AF264" s="23">
        <f t="shared" si="544"/>
        <v>8.144869842640191E-3</v>
      </c>
      <c r="AG264" s="29">
        <f t="shared" si="530"/>
        <v>3.2618570253913174E-4</v>
      </c>
      <c r="AH264" s="4">
        <f t="shared" si="545"/>
        <v>6.1086523819801524E-3</v>
      </c>
      <c r="AI264" s="4">
        <f t="shared" si="531"/>
        <v>1.3047428101565269E-3</v>
      </c>
      <c r="AJ264" s="4">
        <f t="shared" si="532"/>
        <v>5.0000000000000001E-4</v>
      </c>
      <c r="AK264" s="21">
        <f>VLOOKUP($D264,Uncertainties!$B$35:$D$41,3,FALSE)</f>
        <v>-2.908882086657183E-3</v>
      </c>
      <c r="AL264" s="21"/>
      <c r="AM264" s="369">
        <f>SQRT((VLOOKUP($A264,'5 A data'!$A$5:$U$1148,7,FALSE)*mutual_ind)^2+(aux_CT_phase*J264)^2)</f>
        <v>3.4021205478294569E-3</v>
      </c>
      <c r="AN264" s="29">
        <f t="shared" si="533"/>
        <v>1.2633118839853498E-2</v>
      </c>
      <c r="AO264" s="14">
        <f t="shared" si="534"/>
        <v>17.925904772161843</v>
      </c>
      <c r="AP264" s="27">
        <f t="shared" si="535"/>
        <v>2.0975181287956901</v>
      </c>
      <c r="AS264" s="27">
        <f>VLOOKUP($B264,TwoStageCT!$A$10:$H$72,5,FALSE)</f>
        <v>38.659909732018328</v>
      </c>
      <c r="AT264" s="27">
        <f>VLOOKUP($B264,TwoStageCT!$A$10:$H$72,8,FALSE)</f>
        <v>52.499330597885681</v>
      </c>
    </row>
    <row r="265" spans="1:46" x14ac:dyDescent="0.2">
      <c r="A265" s="409">
        <v>373</v>
      </c>
      <c r="B265" s="5" t="str">
        <f>B259&amp;D265</f>
        <v>120/20060</v>
      </c>
      <c r="C265" s="19">
        <f>VLOOKUP($A265,'5 A data'!$A$5:$U$650,3,FALSE)</f>
        <v>0.21600059637204713</v>
      </c>
      <c r="D265" s="163">
        <f>ROUND(VLOOKUP($A265,'5 A data'!$A$5:$U$650,9,FALSE)/10,0)*10</f>
        <v>60</v>
      </c>
      <c r="E265" s="23">
        <f t="shared" si="536"/>
        <v>0.99936709902044762</v>
      </c>
      <c r="F265" s="23">
        <f t="shared" si="537"/>
        <v>1.0011822386327505</v>
      </c>
      <c r="G265" s="486">
        <f>VLOOKUP(B265,TwoStageCT!A$10:H$72,3,FALSE)/10000</f>
        <v>2.195627602528684E-5</v>
      </c>
      <c r="H265" s="486">
        <f>VLOOKUP(B265,TwoStageCT!A$10:H$72,6,FALSE)/10000</f>
        <v>5.5507836163637805E-6</v>
      </c>
      <c r="I265" s="19">
        <f>VLOOKUP($A265,'5 A data'!$A$5:$U$650,10,FALSE)</f>
        <v>-0.72199999999999998</v>
      </c>
      <c r="J265" s="32">
        <f>VLOOKUP($A265,'5 A data'!$A$5:$U$650,11,FALSE)</f>
        <v>0.2850704444924072</v>
      </c>
      <c r="K265" s="22">
        <f t="shared" si="538"/>
        <v>-0.59250000000000003</v>
      </c>
      <c r="L265" s="22">
        <f t="shared" si="539"/>
        <v>9.4538667816359556E-2</v>
      </c>
      <c r="M265" s="501">
        <f t="shared" si="540"/>
        <v>-0.72152108921673785</v>
      </c>
      <c r="N265" s="501">
        <f t="shared" si="541"/>
        <v>0.28541301656855783</v>
      </c>
      <c r="O265" s="20"/>
      <c r="P265" s="634">
        <f>VLOOKUP(B265,TwoStageCT!A$10:H$72,4,FALSE)/10000</f>
        <v>2.9709098248278708E-6</v>
      </c>
      <c r="Q265" s="58">
        <f>VLOOKUP($A265,'5 A data'!$A$5:$U$650,7,FALSE)*slidewire_res</f>
        <v>2E-3</v>
      </c>
      <c r="R265" s="347">
        <f t="shared" si="524"/>
        <v>-1.3599999999999991E-2</v>
      </c>
      <c r="S265" s="4">
        <v>0</v>
      </c>
      <c r="T265" s="21">
        <f t="shared" si="542"/>
        <v>-2.9625000000000002E-2</v>
      </c>
      <c r="U265" s="29">
        <f t="shared" si="543"/>
        <v>-2.8860843568669515E-3</v>
      </c>
      <c r="V265" s="29">
        <f t="shared" si="525"/>
        <v>5.0000000000000001E-4</v>
      </c>
      <c r="W265" s="23">
        <f>VLOOKUP($D265,Uncertainties!$B$35:$D$41,2,FALSE)</f>
        <v>-1.0000000000000009E-3</v>
      </c>
      <c r="X265" s="23"/>
      <c r="Y265" s="24">
        <f t="shared" si="526"/>
        <v>-5.5987352524897672E-5</v>
      </c>
      <c r="Z265" s="23">
        <f t="shared" si="527"/>
        <v>3.2805232072413391E-2</v>
      </c>
      <c r="AA265" s="25">
        <f t="shared" si="528"/>
        <v>7.1976363812440729</v>
      </c>
      <c r="AB265" s="26">
        <f t="shared" si="529"/>
        <v>2.3331693601892054</v>
      </c>
      <c r="AC265" s="14"/>
      <c r="AD265" s="635">
        <f>VLOOKUP(B265,TwoStageCT!A$10:H$72,7,FALSE)/10000</f>
        <v>1.6017059195029239E-6</v>
      </c>
      <c r="AE265" s="366">
        <f>IF(ABS(VLOOKUP($A265,'5 A data'!$A$5:$U$1148,6,FALSE))&lt;4.5,IF(ABS(VLOOKUP($A265,'5 A data'!$A$5:$U$1148,6,FALSE))&lt;1.25,0.0008,0.002),0.004)*VLOOKUP($A265,'5 A data'!$A$5:$U$1148,7,FALSE)*25*RADIANS(1/60)*100</f>
        <v>5.8177641733144318E-3</v>
      </c>
      <c r="AF265" s="23">
        <f t="shared" si="544"/>
        <v>1.6871516102611863E-2</v>
      </c>
      <c r="AG265" s="29">
        <f t="shared" si="530"/>
        <v>2.8541301656855782E-4</v>
      </c>
      <c r="AH265" s="4">
        <f t="shared" si="545"/>
        <v>4.7269333908179778E-3</v>
      </c>
      <c r="AI265" s="4">
        <f t="shared" si="531"/>
        <v>1.1416520662742313E-3</v>
      </c>
      <c r="AJ265" s="4">
        <f t="shared" si="532"/>
        <v>5.0000000000000001E-4</v>
      </c>
      <c r="AK265" s="21">
        <f>VLOOKUP($D265,Uncertainties!$B$35:$D$41,3,FALSE)</f>
        <v>-2.908882086657183E-3</v>
      </c>
      <c r="AL265" s="21"/>
      <c r="AM265" s="369">
        <f>SQRT((VLOOKUP($A265,'5 A data'!$A$5:$U$1148,7,FALSE)*mutual_ind)^2+(aux_CT_phase*J265)^2)</f>
        <v>3.4017295542608547E-3</v>
      </c>
      <c r="AN265" s="29">
        <f t="shared" si="533"/>
        <v>1.9039604155773458E-2</v>
      </c>
      <c r="AO265" s="14">
        <f t="shared" si="534"/>
        <v>7.9322215269541969</v>
      </c>
      <c r="AP265" s="27">
        <f t="shared" si="535"/>
        <v>2.2934947184802357</v>
      </c>
      <c r="AS265" s="27">
        <f>VLOOKUP($B265,TwoStageCT!$A$10:$H$72,5,FALSE)</f>
        <v>42.291164682130272</v>
      </c>
      <c r="AT265" s="27">
        <f>VLOOKUP($B265,TwoStageCT!$A$10:$H$72,8,FALSE)</f>
        <v>48.978667479860043</v>
      </c>
    </row>
    <row r="266" spans="1:46" x14ac:dyDescent="0.2">
      <c r="A266" s="409">
        <v>374</v>
      </c>
      <c r="B266" s="5" t="str">
        <f>B259&amp;D266</f>
        <v>120/200100</v>
      </c>
      <c r="C266" s="19">
        <f>VLOOKUP($A266,'5 A data'!$A$5:$U$650,3,FALSE)</f>
        <v>0.21600059637204713</v>
      </c>
      <c r="D266" s="164">
        <f>ROUND(VLOOKUP($A266,'5 A data'!$A$5:$U$650,9,FALSE)/10,0)*10</f>
        <v>100</v>
      </c>
      <c r="E266" s="23">
        <f t="shared" si="536"/>
        <v>0.99936709902044762</v>
      </c>
      <c r="F266" s="23">
        <f t="shared" si="537"/>
        <v>1.0011822386327505</v>
      </c>
      <c r="G266" s="486">
        <f>VLOOKUP(B266,TwoStageCT!A$10:H$72,3,FALSE)/10000</f>
        <v>1.6881396356939836E-5</v>
      </c>
      <c r="H266" s="486">
        <f>VLOOKUP(B266,TwoStageCT!A$10:H$72,6,FALSE)/10000</f>
        <v>7.3590724152435355E-6</v>
      </c>
      <c r="I266" s="19">
        <f>VLOOKUP($A266,'5 A data'!$A$5:$U$650,10,FALSE)</f>
        <v>-0.65400000000000003</v>
      </c>
      <c r="J266" s="32">
        <f>VLOOKUP($A266,'5 A data'!$A$5:$U$650,11,FALSE)</f>
        <v>0.2007128639793479</v>
      </c>
      <c r="K266" s="22">
        <f t="shared" si="538"/>
        <v>-0.53350000000000009</v>
      </c>
      <c r="L266" s="22">
        <f t="shared" si="539"/>
        <v>2.472549773658636E-2</v>
      </c>
      <c r="M266" s="501">
        <f t="shared" si="540"/>
        <v>-0.65356920136301588</v>
      </c>
      <c r="N266" s="501">
        <f t="shared" si="541"/>
        <v>0.20095751355364952</v>
      </c>
      <c r="O266" s="20"/>
      <c r="P266" s="634">
        <f>VLOOKUP(B266,TwoStageCT!A$10:H$72,4,FALSE)/10000</f>
        <v>2.4131313466023584E-6</v>
      </c>
      <c r="Q266" s="58">
        <f>VLOOKUP($A266,'5 A data'!$A$5:$U$650,7,FALSE)*slidewire_res</f>
        <v>2E-3</v>
      </c>
      <c r="R266" s="347">
        <f t="shared" si="524"/>
        <v>-6.4000000000000064E-3</v>
      </c>
      <c r="S266" s="4">
        <v>0</v>
      </c>
      <c r="T266" s="21">
        <f t="shared" si="542"/>
        <v>-2.6675000000000004E-2</v>
      </c>
      <c r="U266" s="29">
        <f t="shared" si="543"/>
        <v>-2.6142768054520636E-3</v>
      </c>
      <c r="V266" s="29">
        <f t="shared" si="525"/>
        <v>5.0000000000000001E-4</v>
      </c>
      <c r="W266" s="23">
        <f>VLOOKUP($D266,Uncertainties!$B$35:$D$41,2,FALSE)</f>
        <v>1.999999999999974E-3</v>
      </c>
      <c r="X266" s="23"/>
      <c r="Y266" s="24">
        <f t="shared" si="526"/>
        <v>-5.0714305472691246E-5</v>
      </c>
      <c r="Z266" s="23">
        <f t="shared" si="527"/>
        <v>2.7705642854471132E-2</v>
      </c>
      <c r="AA266" s="25">
        <f t="shared" si="528"/>
        <v>5.7986831504854921</v>
      </c>
      <c r="AB266" s="26">
        <f t="shared" si="529"/>
        <v>2.4433329170526319</v>
      </c>
      <c r="AC266" s="14"/>
      <c r="AD266" s="635">
        <f>VLOOKUP(B266,TwoStageCT!A$10:H$72,7,FALSE)/10000</f>
        <v>1.6933288916776063E-6</v>
      </c>
      <c r="AE266" s="366">
        <f>IF(ABS(VLOOKUP($A266,'5 A data'!$A$5:$U$1148,6,FALSE))&lt;4.5,IF(ABS(VLOOKUP($A266,'5 A data'!$A$5:$U$1148,6,FALSE))&lt;1.25,0.0008,0.002),0.004)*VLOOKUP($A266,'5 A data'!$A$5:$U$1148,7,FALSE)*25*RADIANS(1/60)*100</f>
        <v>2.9088820866572159E-3</v>
      </c>
      <c r="AF266" s="23">
        <f t="shared" si="544"/>
        <v>5.2359877559829907E-3</v>
      </c>
      <c r="AG266" s="29">
        <f t="shared" si="530"/>
        <v>2.0095751355364951E-4</v>
      </c>
      <c r="AH266" s="4">
        <f t="shared" si="545"/>
        <v>1.2362748868293182E-3</v>
      </c>
      <c r="AI266" s="4">
        <f t="shared" si="531"/>
        <v>8.0383005421459804E-4</v>
      </c>
      <c r="AJ266" s="4">
        <f t="shared" si="532"/>
        <v>5.0000000000000001E-4</v>
      </c>
      <c r="AK266" s="21">
        <f>VLOOKUP($D266,Uncertainties!$B$35:$D$41,3,FALSE)</f>
        <v>-2.9088820866572385E-3</v>
      </c>
      <c r="AL266" s="21"/>
      <c r="AM266" s="369">
        <f>SQRT((VLOOKUP($A266,'5 A data'!$A$5:$U$1148,7,FALSE)*mutual_ind)^2+(aux_CT_phase*J266)^2)</f>
        <v>3.4010853807934162E-3</v>
      </c>
      <c r="AN266" s="29">
        <f t="shared" si="533"/>
        <v>7.6400945463967257E-3</v>
      </c>
      <c r="AO266" s="14">
        <f t="shared" si="534"/>
        <v>17.234552371578587</v>
      </c>
      <c r="AP266" s="27">
        <f t="shared" si="535"/>
        <v>2.1033048182782719</v>
      </c>
      <c r="AS266" s="27">
        <f>VLOOKUP($B266,TwoStageCT!$A$10:$H$72,5,FALSE)</f>
        <v>59.567261398457461</v>
      </c>
      <c r="AT266" s="27">
        <f>VLOOKUP($B266,TwoStageCT!$A$10:$H$72,8,FALSE)</f>
        <v>45.732629829898706</v>
      </c>
    </row>
    <row r="267" spans="1:46" x14ac:dyDescent="0.2">
      <c r="A267" s="409">
        <v>375</v>
      </c>
      <c r="B267" s="5" t="str">
        <f>B259&amp;D267</f>
        <v>120/200120</v>
      </c>
      <c r="C267" s="19">
        <f>VLOOKUP($A267,'5 A data'!$A$5:$U$650,3,FALSE)</f>
        <v>0.21600059637204713</v>
      </c>
      <c r="D267" s="164">
        <f>ROUND(VLOOKUP($A267,'5 A data'!$A$5:$U$650,9,FALSE)/10,0)*10</f>
        <v>120</v>
      </c>
      <c r="E267" s="23">
        <f t="shared" si="536"/>
        <v>0.99936709902044762</v>
      </c>
      <c r="F267" s="23">
        <f t="shared" si="537"/>
        <v>1.0011822386327505</v>
      </c>
      <c r="G267" s="486">
        <f>VLOOKUP(B267,TwoStageCT!A$10:H$72,3,FALSE)/10000</f>
        <v>1.5213305302217845E-5</v>
      </c>
      <c r="H267" s="486">
        <f>VLOOKUP(B267,TwoStageCT!A$10:H$72,6,FALSE)/10000</f>
        <v>7.5885012454326174E-6</v>
      </c>
      <c r="I267" s="19">
        <f>VLOOKUP($A267,'5 A data'!$A$5:$U$650,10,FALSE)</f>
        <v>-0.622</v>
      </c>
      <c r="J267" s="32">
        <f>VLOOKUP($A267,'5 A data'!$A$5:$U$650,11,FALSE)</f>
        <v>0.17453292519943295</v>
      </c>
      <c r="K267" s="22">
        <f t="shared" si="538"/>
        <v>-0.504</v>
      </c>
      <c r="L267" s="22">
        <f t="shared" si="539"/>
        <v>2.908882086657183E-3</v>
      </c>
      <c r="M267" s="501">
        <f t="shared" si="540"/>
        <v>-0.62159112228541624</v>
      </c>
      <c r="N267" s="501">
        <f t="shared" si="541"/>
        <v>0.17474685326753611</v>
      </c>
      <c r="O267" s="20"/>
      <c r="P267" s="634">
        <f>VLOOKUP(B267,TwoStageCT!A$10:H$72,4,FALSE)/10000</f>
        <v>2.2681305202526645E-6</v>
      </c>
      <c r="Q267" s="58">
        <f>VLOOKUP($A267,'5 A data'!$A$5:$U$650,7,FALSE)*slidewire_res</f>
        <v>2E-3</v>
      </c>
      <c r="R267" s="347">
        <f t="shared" si="524"/>
        <v>0</v>
      </c>
      <c r="S267" s="4">
        <v>0</v>
      </c>
      <c r="T267" s="21">
        <f t="shared" si="542"/>
        <v>-2.52E-2</v>
      </c>
      <c r="U267" s="29">
        <f t="shared" si="543"/>
        <v>-2.4863644891416651E-3</v>
      </c>
      <c r="V267" s="29">
        <f t="shared" si="525"/>
        <v>5.0000000000000001E-4</v>
      </c>
      <c r="W267" s="23">
        <f>VLOOKUP($D267,Uncertainties!$B$35:$D$41,2,FALSE)</f>
        <v>-1.0000000000000009E-3</v>
      </c>
      <c r="X267" s="23"/>
      <c r="Y267" s="24">
        <f t="shared" si="526"/>
        <v>-4.8232871565770573E-5</v>
      </c>
      <c r="Z267" s="23">
        <f t="shared" si="527"/>
        <v>2.5425859669383457E-2</v>
      </c>
      <c r="AA267" s="25">
        <f t="shared" si="528"/>
        <v>5.1809755464439879</v>
      </c>
      <c r="AB267" s="26">
        <f t="shared" si="529"/>
        <v>2.516305656806181</v>
      </c>
      <c r="AC267" s="14"/>
      <c r="AD267" s="635">
        <f>VLOOKUP(B267,TwoStageCT!A$10:H$72,7,FALSE)/10000</f>
        <v>1.7092397901526349E-6</v>
      </c>
      <c r="AE267" s="366">
        <f>IF(ABS(VLOOKUP($A267,'5 A data'!$A$5:$U$1148,6,FALSE))&lt;4.5,IF(ABS(VLOOKUP($A267,'5 A data'!$A$5:$U$1148,6,FALSE))&lt;1.25,0.0008,0.002),0.004)*VLOOKUP($A267,'5 A data'!$A$5:$U$1148,7,FALSE)*25*RADIANS(1/60)*100</f>
        <v>2.9088820866572159E-3</v>
      </c>
      <c r="AF267" s="23">
        <f t="shared" si="544"/>
        <v>0</v>
      </c>
      <c r="AG267" s="29">
        <f t="shared" si="530"/>
        <v>1.7474685326753612E-4</v>
      </c>
      <c r="AH267" s="4">
        <f t="shared" si="545"/>
        <v>1.4544410433285916E-4</v>
      </c>
      <c r="AI267" s="4">
        <f t="shared" si="531"/>
        <v>6.9898741307014448E-4</v>
      </c>
      <c r="AJ267" s="4">
        <f t="shared" si="532"/>
        <v>5.0000000000000001E-4</v>
      </c>
      <c r="AK267" s="21">
        <f>VLOOKUP($D267,Uncertainties!$B$35:$D$41,3,FALSE)</f>
        <v>1.4544410433285915E-3</v>
      </c>
      <c r="AL267" s="21"/>
      <c r="AM267" s="369">
        <f>SQRT((VLOOKUP($A267,'5 A data'!$A$5:$U$1148,7,FALSE)*mutual_ind)^2+(aux_CT_phase*J267)^2)</f>
        <v>3.4009309366050738E-3</v>
      </c>
      <c r="AN267" s="29">
        <f t="shared" si="533"/>
        <v>4.7889040242517604E-3</v>
      </c>
      <c r="AO267" s="14">
        <f t="shared" si="534"/>
        <v>12.675257437816581</v>
      </c>
      <c r="AP267" s="27">
        <f t="shared" si="535"/>
        <v>2.1585486752071761</v>
      </c>
      <c r="AS267" s="27">
        <f>VLOOKUP($B267,TwoStageCT!$A$10:$H$72,5,FALSE)</f>
        <v>68.00069900375496</v>
      </c>
      <c r="AT267" s="27">
        <f>VLOOKUP($B267,TwoStageCT!$A$10:$H$72,8,FALSE)</f>
        <v>47.345132453902309</v>
      </c>
    </row>
    <row r="268" spans="1:46" x14ac:dyDescent="0.2">
      <c r="A268" s="409">
        <v>376</v>
      </c>
      <c r="B268" s="5"/>
      <c r="C268" s="19"/>
      <c r="D268" s="19"/>
      <c r="E268" s="23"/>
      <c r="F268" s="23"/>
      <c r="G268" s="347"/>
      <c r="H268" s="347"/>
      <c r="I268" s="19"/>
      <c r="J268" s="32"/>
      <c r="K268" s="31"/>
      <c r="L268" s="31"/>
      <c r="M268" s="638" t="s">
        <v>93</v>
      </c>
      <c r="N268" s="638"/>
      <c r="O268" s="20"/>
      <c r="P268" s="634"/>
      <c r="Q268" s="58"/>
      <c r="R268" s="347"/>
      <c r="S268" s="4"/>
      <c r="T268" s="4"/>
      <c r="U268" s="29"/>
      <c r="V268" s="29"/>
      <c r="W268" s="29"/>
      <c r="X268" s="29"/>
      <c r="Y268" s="24"/>
      <c r="Z268" s="29"/>
      <c r="AA268" s="25"/>
      <c r="AB268" s="26"/>
      <c r="AC268" s="14"/>
      <c r="AD268" s="635"/>
      <c r="AE268" s="35"/>
      <c r="AF268" s="28"/>
      <c r="AG268" s="29"/>
      <c r="AH268" s="4"/>
      <c r="AI268" s="4"/>
      <c r="AJ268" s="4"/>
      <c r="AK268" s="4"/>
      <c r="AL268" s="4"/>
      <c r="AM268" s="24"/>
      <c r="AN268" s="29"/>
      <c r="AO268" s="14"/>
      <c r="AP268" s="27"/>
    </row>
    <row r="269" spans="1:46" x14ac:dyDescent="0.2">
      <c r="A269" s="409">
        <v>377</v>
      </c>
      <c r="B269" s="5" t="str">
        <f>B259&amp;D269</f>
        <v>120/2005</v>
      </c>
      <c r="C269" s="19">
        <f>VLOOKUP($A269,'5 A data'!$A$5:$U$650,3,FALSE)</f>
        <v>2.1000057980615688E-2</v>
      </c>
      <c r="D269" s="19">
        <f>ROUND(VLOOKUP($A269,'5 A data'!$A$5:$U$650,9,FALSE),0)</f>
        <v>5</v>
      </c>
      <c r="E269" s="23">
        <f t="shared" si="536"/>
        <v>0.99936709902044762</v>
      </c>
      <c r="F269" s="23">
        <f t="shared" si="537"/>
        <v>1.0011822386327505</v>
      </c>
      <c r="G269" s="486">
        <f>VLOOKUP(B269,TwoStageCT!A$10:H$72,3,FALSE)/10000</f>
        <v>3.6805932694608759E-5</v>
      </c>
      <c r="H269" s="486">
        <f>VLOOKUP(B269,TwoStageCT!A$10:H$72,6,FALSE)/10000</f>
        <v>4.6965346060309593E-6</v>
      </c>
      <c r="I269" s="19">
        <f>VLOOKUP($A269,'5 A data'!$A$5:$U$650,10,FALSE)</f>
        <v>-0.22600000000000001</v>
      </c>
      <c r="J269" s="32">
        <f>VLOOKUP($A269,'5 A data'!$A$5:$U$650,11,FALSE)</f>
        <v>0.3926990816987242</v>
      </c>
      <c r="K269" s="31"/>
      <c r="L269" s="31"/>
      <c r="M269" s="31">
        <f>I269*E269+G269</f>
        <v>-0.22582015844592657</v>
      </c>
      <c r="N269" s="31">
        <f>J269*F269+H269</f>
        <v>0.39316804225876012</v>
      </c>
      <c r="O269" s="20"/>
      <c r="P269" s="634">
        <f>VLOOKUP(B269,TwoStageCT!A$10:H$72,4,FALSE)/10000</f>
        <v>6.4429594675743464E-6</v>
      </c>
      <c r="Q269" s="58">
        <f>VLOOKUP($A269,'5 A data'!$A$5:$U$650,7,FALSE)*slidewire_res</f>
        <v>1E-3</v>
      </c>
      <c r="R269" s="347">
        <f t="shared" ref="R269:R275" si="546">current_coef*(I269-I270)*IF(I270=0,0,1)</f>
        <v>-8.6000000000000017E-3</v>
      </c>
      <c r="S269" s="4">
        <v>0</v>
      </c>
      <c r="T269" s="4">
        <f>BurdenUnc*K261</f>
        <v>-4.3200000000000009E-2</v>
      </c>
      <c r="U269" s="29">
        <f t="shared" ref="U269:U275" si="547">0.004*M269</f>
        <v>-9.032806337837063E-4</v>
      </c>
      <c r="V269" s="29">
        <f t="shared" si="525"/>
        <v>5.0000000000000001E-4</v>
      </c>
      <c r="W269" s="23">
        <f>VLOOKUP($D269,Uncertainties!$B$35:$D$41,2,FALSE)</f>
        <v>5.0000000000000044E-3</v>
      </c>
      <c r="X269" s="23"/>
      <c r="Y269" s="24">
        <f t="shared" ref="Y269:Y275" si="548">I269*aux_CT_ratio</f>
        <v>-1.7525126967627251E-5</v>
      </c>
      <c r="Z269" s="23">
        <f t="shared" ref="Z269:Z275" si="549">SQRT(SUMSQ(P269:Y269))</f>
        <v>4.4353875417433047E-2</v>
      </c>
      <c r="AA269" s="25">
        <f t="shared" ref="AA269:AA275" si="550">DoF_A(P269:Y269,$P$7:$Y$7)</f>
        <v>5.5468753962217114</v>
      </c>
      <c r="AB269" s="26">
        <f t="shared" ref="AB269:AB275" si="551">CoverFactor(AA269)</f>
        <v>2.4706049072305269</v>
      </c>
      <c r="AC269" s="14"/>
      <c r="AD269" s="635">
        <f>VLOOKUP(B269,TwoStageCT!A$10:H$72,7,FALSE)/10000</f>
        <v>4.6788986298833412E-6</v>
      </c>
      <c r="AE269" s="366">
        <f>IF(ABS(VLOOKUP($A269,'5 A data'!$A$5:$U$1148,6,FALSE))&lt;4.5,IF(ABS(VLOOKUP($A269,'5 A data'!$A$5:$U$1148,6,FALSE))&lt;1.25,0.0008,0.002),0.004)*VLOOKUP($A269,'5 A data'!$A$5:$U$1148,7,FALSE)*25*RADIANS(1/60)*100</f>
        <v>2.9088820866572159E-3</v>
      </c>
      <c r="AF269" s="23">
        <f t="shared" ref="AF269:AF275" si="552">current_coef*(J269-J270)*IF(J270=0,0,1)</f>
        <v>1.9198621771937641E-2</v>
      </c>
      <c r="AG269" s="29">
        <f t="shared" ref="AG269:AG275" si="553">0.001*N269</f>
        <v>3.9316804225876013E-4</v>
      </c>
      <c r="AH269" s="4">
        <f>BurdenUnc*L261</f>
        <v>6.544984694978731E-3</v>
      </c>
      <c r="AI269" s="4">
        <f t="shared" ref="AI269:AI275" si="554">0.004*N269</f>
        <v>1.5726721690350405E-3</v>
      </c>
      <c r="AJ269" s="4">
        <f t="shared" si="532"/>
        <v>5.0000000000000001E-4</v>
      </c>
      <c r="AK269" s="21">
        <f>VLOOKUP($D269,Uncertainties!$B$35:$D$41,3,FALSE)</f>
        <v>-1.1635528346628732E-2</v>
      </c>
      <c r="AL269" s="21"/>
      <c r="AM269" s="369">
        <f>SQRT((VLOOKUP($A269,'5 A data'!$A$5:$U$1148,7,FALSE)*mutual_ind)^2+(aux_CT_phase*J269)^2)</f>
        <v>1.7050687231449911E-3</v>
      </c>
      <c r="AN269" s="29">
        <f t="shared" ref="AN269:AN275" si="555">SQRT(SUMSQ(AD269:AM269))</f>
        <v>2.3686624445077659E-2</v>
      </c>
      <c r="AO269" s="14">
        <f t="shared" ref="AO269:AO275" si="556">DoF_A(AD269:AM269,$AD$7:$AM$7)</f>
        <v>10.846440106534205</v>
      </c>
      <c r="AP269" s="27">
        <f t="shared" ref="AP269:AP275" si="557">CoverFactor(AO269)</f>
        <v>2.1950770234029093</v>
      </c>
      <c r="AS269" s="27">
        <f>VLOOKUP($B269,TwoStageCT!$A$10:$H$72,5,FALSE)</f>
        <v>26.31606241070681</v>
      </c>
      <c r="AT269" s="27">
        <f>VLOOKUP($B269,TwoStageCT!$A$10:$H$72,8,FALSE)</f>
        <v>9.9413455012810044</v>
      </c>
    </row>
    <row r="270" spans="1:46" x14ac:dyDescent="0.2">
      <c r="A270" s="409">
        <v>378</v>
      </c>
      <c r="B270" s="5" t="str">
        <f>B259&amp;D270</f>
        <v>120/20010</v>
      </c>
      <c r="C270" s="19">
        <f>VLOOKUP($A270,'5 A data'!$A$5:$U$650,3,FALSE)</f>
        <v>2.1000057980615688E-2</v>
      </c>
      <c r="D270" s="163">
        <f>ROUND(VLOOKUP($A270,'5 A data'!$A$5:$U$650,9,FALSE)/10,0)*10</f>
        <v>10</v>
      </c>
      <c r="E270" s="23">
        <f t="shared" si="536"/>
        <v>0.99936709902044762</v>
      </c>
      <c r="F270" s="23">
        <f t="shared" si="537"/>
        <v>1.0011822386327505</v>
      </c>
      <c r="G270" s="486">
        <f>VLOOKUP(B270,TwoStageCT!A$10:H$72,3,FALSE)/10000</f>
        <v>3.4690340839935311E-5</v>
      </c>
      <c r="H270" s="486">
        <f>VLOOKUP(B270,TwoStageCT!A$10:H$72,6,FALSE)/10000</f>
        <v>2.6036797087866982E-6</v>
      </c>
      <c r="I270" s="19">
        <f>VLOOKUP($A270,'5 A data'!$A$5:$U$650,10,FALSE)</f>
        <v>-0.183</v>
      </c>
      <c r="J270" s="32">
        <f>VLOOKUP($A270,'5 A data'!$A$5:$U$650,11,FALSE)</f>
        <v>0.29670597283903599</v>
      </c>
      <c r="K270" s="31"/>
      <c r="L270" s="31"/>
      <c r="M270" s="31">
        <f t="shared" ref="M270:M275" si="558">I270*E270+G270</f>
        <v>-0.18284948877990198</v>
      </c>
      <c r="N270" s="31">
        <f t="shared" ref="N270:N275" si="559">J270*F270+H270</f>
        <v>0.29705935378240289</v>
      </c>
      <c r="O270" s="20"/>
      <c r="P270" s="634">
        <f>VLOOKUP(B270,TwoStageCT!A$10:H$72,4,FALSE)/10000</f>
        <v>5.0170517941146892E-6</v>
      </c>
      <c r="Q270" s="58">
        <f>VLOOKUP($A270,'5 A data'!$A$5:$U$650,7,FALSE)*slidewire_res</f>
        <v>1E-3</v>
      </c>
      <c r="R270" s="347">
        <f t="shared" si="546"/>
        <v>-5.1999999999999998E-3</v>
      </c>
      <c r="S270" s="4">
        <v>0</v>
      </c>
      <c r="T270" s="4">
        <f t="shared" ref="T270:T275" si="560">BurdenUnc*K262</f>
        <v>-3.8449999999999998E-2</v>
      </c>
      <c r="U270" s="29">
        <f t="shared" si="547"/>
        <v>-7.3139795511960792E-4</v>
      </c>
      <c r="V270" s="29">
        <f t="shared" si="525"/>
        <v>5.0000000000000001E-4</v>
      </c>
      <c r="W270" s="23">
        <f>VLOOKUP($D270,Uncertainties!$B$35:$D$41,2,FALSE)</f>
        <v>2.5000000000000022E-3</v>
      </c>
      <c r="X270" s="23"/>
      <c r="Y270" s="24">
        <f t="shared" si="548"/>
        <v>-1.4190700155202595E-5</v>
      </c>
      <c r="Z270" s="23">
        <f t="shared" si="549"/>
        <v>3.8903440330072772E-2</v>
      </c>
      <c r="AA270" s="25">
        <f t="shared" si="550"/>
        <v>5.2382718539538287</v>
      </c>
      <c r="AB270" s="26">
        <f t="shared" si="551"/>
        <v>2.5086094364689449</v>
      </c>
      <c r="AC270" s="14"/>
      <c r="AD270" s="635">
        <f>VLOOKUP(B270,TwoStageCT!A$10:H$72,7,FALSE)/10000</f>
        <v>2.600738521505678E-6</v>
      </c>
      <c r="AE270" s="366">
        <f>IF(ABS(VLOOKUP($A270,'5 A data'!$A$5:$U$1148,6,FALSE))&lt;4.5,IF(ABS(VLOOKUP($A270,'5 A data'!$A$5:$U$1148,6,FALSE))&lt;1.25,0.0008,0.002),0.004)*VLOOKUP($A270,'5 A data'!$A$5:$U$1148,7,FALSE)*25*RADIANS(1/60)*100</f>
        <v>2.9088820866572159E-3</v>
      </c>
      <c r="AF270" s="23">
        <f t="shared" si="552"/>
        <v>1.1053751929297412E-2</v>
      </c>
      <c r="AG270" s="29">
        <f t="shared" si="553"/>
        <v>2.9705935378240291E-4</v>
      </c>
      <c r="AH270" s="4">
        <f t="shared" ref="AH270:AH275" si="561">BurdenUnc*L262</f>
        <v>7.272205216643038E-3</v>
      </c>
      <c r="AI270" s="4">
        <f t="shared" si="554"/>
        <v>1.1882374151296116E-3</v>
      </c>
      <c r="AJ270" s="4">
        <f t="shared" si="532"/>
        <v>5.0000000000000001E-4</v>
      </c>
      <c r="AK270" s="21">
        <f>VLOOKUP($D270,Uncertainties!$B$35:$D$41,3,FALSE)</f>
        <v>4.363323129985941E-3</v>
      </c>
      <c r="AL270" s="21"/>
      <c r="AM270" s="369">
        <f>SQRT((VLOOKUP($A270,'5 A data'!$A$5:$U$1148,7,FALSE)*mutual_ind)^2+(aux_CT_phase*J270)^2)</f>
        <v>1.7029922230581589E-3</v>
      </c>
      <c r="AN270" s="29">
        <f t="shared" si="555"/>
        <v>1.4395170226439942E-2</v>
      </c>
      <c r="AO270" s="14">
        <f t="shared" si="556"/>
        <v>11.959039974702501</v>
      </c>
      <c r="AP270" s="27">
        <f t="shared" si="557"/>
        <v>2.1713984500118388</v>
      </c>
      <c r="AS270" s="27">
        <f>VLOOKUP($B270,TwoStageCT!$A$10:$H$72,5,FALSE)</f>
        <v>38.265350164989712</v>
      </c>
      <c r="AT270" s="27">
        <f>VLOOKUP($B270,TwoStageCT!$A$10:$H$72,8,FALSE)</f>
        <v>16.586629386739094</v>
      </c>
    </row>
    <row r="271" spans="1:46" x14ac:dyDescent="0.2">
      <c r="A271" s="409">
        <v>379</v>
      </c>
      <c r="B271" s="5" t="str">
        <f>B259&amp;D271</f>
        <v>120/20020</v>
      </c>
      <c r="C271" s="19">
        <f>VLOOKUP($A271,'5 A data'!$A$5:$U$650,3,FALSE)</f>
        <v>2.1000057980615688E-2</v>
      </c>
      <c r="D271" s="163">
        <f>ROUND(VLOOKUP($A271,'5 A data'!$A$5:$U$650,9,FALSE)/10,0)*10</f>
        <v>20</v>
      </c>
      <c r="E271" s="23">
        <f t="shared" si="536"/>
        <v>0.99936709902044762</v>
      </c>
      <c r="F271" s="23">
        <f t="shared" si="537"/>
        <v>1.0011822386327505</v>
      </c>
      <c r="G271" s="486">
        <f>VLOOKUP(B271,TwoStageCT!A$10:H$72,3,FALSE)/10000</f>
        <v>3.1280516301103777E-5</v>
      </c>
      <c r="H271" s="486">
        <f>VLOOKUP(B271,TwoStageCT!A$10:H$72,6,FALSE)/10000</f>
        <v>4.5493238991726806E-6</v>
      </c>
      <c r="I271" s="19">
        <f>VLOOKUP($A271,'5 A data'!$A$5:$U$650,10,FALSE)</f>
        <v>-0.157</v>
      </c>
      <c r="J271" s="32">
        <f>VLOOKUP($A271,'5 A data'!$A$5:$U$650,11,FALSE)</f>
        <v>0.24143721319254893</v>
      </c>
      <c r="K271" s="31"/>
      <c r="L271" s="31"/>
      <c r="M271" s="31">
        <f t="shared" si="558"/>
        <v>-0.15686935402990917</v>
      </c>
      <c r="N271" s="31">
        <f t="shared" si="559"/>
        <v>0.24172719891726796</v>
      </c>
      <c r="O271" s="20"/>
      <c r="P271" s="634">
        <f>VLOOKUP(B271,TwoStageCT!A$10:H$72,4,FALSE)/10000</f>
        <v>4.17832023036102E-6</v>
      </c>
      <c r="Q271" s="58">
        <f>VLOOKUP($A271,'5 A data'!$A$5:$U$650,7,FALSE)*slidewire_res</f>
        <v>1E-3</v>
      </c>
      <c r="R271" s="347">
        <f t="shared" si="546"/>
        <v>-3.9999999999999983E-3</v>
      </c>
      <c r="S271" s="4">
        <v>0</v>
      </c>
      <c r="T271" s="4">
        <f t="shared" si="560"/>
        <v>-3.4349999999999999E-2</v>
      </c>
      <c r="U271" s="29">
        <f t="shared" si="547"/>
        <v>-6.2747741611963667E-4</v>
      </c>
      <c r="V271" s="29">
        <f t="shared" si="525"/>
        <v>5.0000000000000001E-4</v>
      </c>
      <c r="W271" s="23">
        <f>VLOOKUP($D271,Uncertainties!$B$35:$D$41,2,FALSE)</f>
        <v>-1.0000000000000009E-3</v>
      </c>
      <c r="X271" s="23"/>
      <c r="Y271" s="24">
        <f t="shared" si="548"/>
        <v>-1.2174535105829549E-5</v>
      </c>
      <c r="Z271" s="23">
        <f t="shared" si="549"/>
        <v>3.4620317641312952E-2</v>
      </c>
      <c r="AA271" s="25">
        <f t="shared" si="550"/>
        <v>5.1583033270172773</v>
      </c>
      <c r="AB271" s="26">
        <f t="shared" si="551"/>
        <v>2.5194117651686048</v>
      </c>
      <c r="AC271" s="14"/>
      <c r="AD271" s="635">
        <f>VLOOKUP(B271,TwoStageCT!A$10:H$72,7,FALSE)/10000</f>
        <v>1.9770475075939077E-6</v>
      </c>
      <c r="AE271" s="366">
        <f>IF(ABS(VLOOKUP($A271,'5 A data'!$A$5:$U$1148,6,FALSE))&lt;4.5,IF(ABS(VLOOKUP($A271,'5 A data'!$A$5:$U$1148,6,FALSE))&lt;1.25,0.0008,0.002),0.004)*VLOOKUP($A271,'5 A data'!$A$5:$U$1148,7,FALSE)*25*RADIANS(1/60)*100</f>
        <v>2.9088820866572159E-3</v>
      </c>
      <c r="AF271" s="23">
        <f t="shared" si="552"/>
        <v>7.5630934253087647E-3</v>
      </c>
      <c r="AG271" s="29">
        <f t="shared" si="553"/>
        <v>2.4172719891726798E-4</v>
      </c>
      <c r="AH271" s="4">
        <f t="shared" si="561"/>
        <v>6.8358729036444568E-3</v>
      </c>
      <c r="AI271" s="4">
        <f t="shared" si="554"/>
        <v>9.6690879566907191E-4</v>
      </c>
      <c r="AJ271" s="4">
        <f t="shared" si="532"/>
        <v>5.0000000000000001E-4</v>
      </c>
      <c r="AK271" s="21">
        <f>VLOOKUP($D271,Uncertainties!$B$35:$D$41,3,FALSE)</f>
        <v>-1.454441043328647E-3</v>
      </c>
      <c r="AL271" s="21"/>
      <c r="AM271" s="369">
        <f>SQRT((VLOOKUP($A271,'5 A data'!$A$5:$U$1148,7,FALSE)*mutual_ind)^2+(aux_CT_phase*J271)^2)</f>
        <v>1.7020581543825786E-3</v>
      </c>
      <c r="AN271" s="29">
        <f t="shared" si="555"/>
        <v>1.0892515080768949E-2</v>
      </c>
      <c r="AO271" s="14">
        <f t="shared" si="556"/>
        <v>12.709034247184091</v>
      </c>
      <c r="AP271" s="27">
        <f t="shared" si="557"/>
        <v>2.1579815301037546</v>
      </c>
      <c r="AS271" s="27">
        <f>VLOOKUP($B271,TwoStageCT!$A$10:$H$72,5,FALSE)</f>
        <v>36.657700403051521</v>
      </c>
      <c r="AT271" s="27">
        <f>VLOOKUP($B271,TwoStageCT!$A$10:$H$72,8,FALSE)</f>
        <v>53.09445811850042</v>
      </c>
    </row>
    <row r="272" spans="1:46" x14ac:dyDescent="0.2">
      <c r="A272" s="409">
        <v>380</v>
      </c>
      <c r="B272" s="5" t="str">
        <f>B259&amp;D272</f>
        <v>120/20040</v>
      </c>
      <c r="C272" s="19">
        <f>VLOOKUP($A272,'5 A data'!$A$5:$U$650,3,FALSE)</f>
        <v>2.1000057980615688E-2</v>
      </c>
      <c r="D272" s="163">
        <f>ROUND(VLOOKUP($A272,'5 A data'!$A$5:$U$650,9,FALSE)/10,0)*10</f>
        <v>40</v>
      </c>
      <c r="E272" s="23">
        <f t="shared" si="536"/>
        <v>0.99936709902044762</v>
      </c>
      <c r="F272" s="23">
        <f t="shared" si="537"/>
        <v>1.0011822386327505</v>
      </c>
      <c r="G272" s="486">
        <f>VLOOKUP(B272,TwoStageCT!A$10:H$72,3,FALSE)/10000</f>
        <v>2.5200167333853628E-5</v>
      </c>
      <c r="H272" s="486">
        <f>VLOOKUP(B272,TwoStageCT!A$10:H$72,6,FALSE)/10000</f>
        <v>5.7416420558101514E-6</v>
      </c>
      <c r="I272" s="19">
        <f>VLOOKUP($A272,'5 A data'!$A$5:$U$650,10,FALSE)</f>
        <v>-0.13700000000000001</v>
      </c>
      <c r="J272" s="32">
        <f>VLOOKUP($A272,'5 A data'!$A$5:$U$650,11,FALSE)</f>
        <v>0.20362174606600511</v>
      </c>
      <c r="K272" s="31"/>
      <c r="L272" s="31"/>
      <c r="M272" s="31">
        <f t="shared" si="558"/>
        <v>-0.1368880923984675</v>
      </c>
      <c r="N272" s="31">
        <f t="shared" si="559"/>
        <v>0.20386821720272824</v>
      </c>
      <c r="O272" s="20"/>
      <c r="P272" s="634">
        <f>VLOOKUP(B272,TwoStageCT!A$10:H$72,4,FALSE)/10000</f>
        <v>3.3964590328801363E-6</v>
      </c>
      <c r="Q272" s="58">
        <f>VLOOKUP($A272,'5 A data'!$A$5:$U$650,7,FALSE)*slidewire_res</f>
        <v>1E-3</v>
      </c>
      <c r="R272" s="347">
        <f t="shared" si="546"/>
        <v>-1.5000000000000013E-3</v>
      </c>
      <c r="S272" s="4">
        <v>0</v>
      </c>
      <c r="T272" s="4">
        <f t="shared" si="560"/>
        <v>-3.125E-2</v>
      </c>
      <c r="U272" s="29">
        <f t="shared" si="547"/>
        <v>-5.4755236959387003E-4</v>
      </c>
      <c r="V272" s="29">
        <f t="shared" si="525"/>
        <v>5.0000000000000001E-4</v>
      </c>
      <c r="W272" s="23">
        <f>VLOOKUP($D272,Uncertainties!$B$35:$D$41,2,FALSE)</f>
        <v>-1.0000000000000009E-3</v>
      </c>
      <c r="X272" s="23"/>
      <c r="Y272" s="24">
        <f t="shared" si="548"/>
        <v>-1.0623638914004131E-5</v>
      </c>
      <c r="Z272" s="23">
        <f t="shared" si="549"/>
        <v>3.1326704869728723E-2</v>
      </c>
      <c r="AA272" s="25">
        <f t="shared" si="550"/>
        <v>5.0492371353197498</v>
      </c>
      <c r="AB272" s="26">
        <f t="shared" si="551"/>
        <v>2.5348581439436071</v>
      </c>
      <c r="AC272" s="14"/>
      <c r="AD272" s="635">
        <f>VLOOKUP(B272,TwoStageCT!A$10:H$72,7,FALSE)/10000</f>
        <v>1.6849048737447556E-6</v>
      </c>
      <c r="AE272" s="366">
        <f>IF(ABS(VLOOKUP($A272,'5 A data'!$A$5:$U$1148,6,FALSE))&lt;4.5,IF(ABS(VLOOKUP($A272,'5 A data'!$A$5:$U$1148,6,FALSE))&lt;1.25,0.0008,0.002),0.004)*VLOOKUP($A272,'5 A data'!$A$5:$U$1148,7,FALSE)*25*RADIANS(1/60)*100</f>
        <v>2.9088820866572159E-3</v>
      </c>
      <c r="AF272" s="23">
        <f t="shared" si="552"/>
        <v>2.6179938779914928E-3</v>
      </c>
      <c r="AG272" s="29">
        <f t="shared" si="553"/>
        <v>2.0386821720272825E-4</v>
      </c>
      <c r="AH272" s="4">
        <f t="shared" si="561"/>
        <v>6.1086523819801524E-3</v>
      </c>
      <c r="AI272" s="4">
        <f t="shared" si="554"/>
        <v>8.15472868810913E-4</v>
      </c>
      <c r="AJ272" s="4">
        <f t="shared" si="532"/>
        <v>5.0000000000000001E-4</v>
      </c>
      <c r="AK272" s="21">
        <f>VLOOKUP($D272,Uncertainties!$B$35:$D$41,3,FALSE)</f>
        <v>-2.908882086657183E-3</v>
      </c>
      <c r="AL272" s="21"/>
      <c r="AM272" s="369">
        <f>SQRT((VLOOKUP($A272,'5 A data'!$A$5:$U$1148,7,FALSE)*mutual_ind)^2+(aux_CT_phase*J272)^2)</f>
        <v>1.7015293745539157E-3</v>
      </c>
      <c r="AN272" s="29">
        <f t="shared" si="555"/>
        <v>8.0588137562763781E-3</v>
      </c>
      <c r="AO272" s="14">
        <f t="shared" si="556"/>
        <v>13.618419665720026</v>
      </c>
      <c r="AP272" s="27">
        <f t="shared" si="557"/>
        <v>2.1438532090524034</v>
      </c>
      <c r="AS272" s="27">
        <f>VLOOKUP($B272,TwoStageCT!$A$10:$H$72,5,FALSE)</f>
        <v>38.659909732018328</v>
      </c>
      <c r="AT272" s="27">
        <f>VLOOKUP($B272,TwoStageCT!$A$10:$H$72,8,FALSE)</f>
        <v>52.499330597885681</v>
      </c>
    </row>
    <row r="273" spans="1:46" x14ac:dyDescent="0.2">
      <c r="A273" s="409">
        <v>381</v>
      </c>
      <c r="B273" s="5" t="str">
        <f>B259&amp;D273</f>
        <v>120/20060</v>
      </c>
      <c r="C273" s="19">
        <f>VLOOKUP($A273,'5 A data'!$A$5:$U$650,3,FALSE)</f>
        <v>2.1000057980615688E-2</v>
      </c>
      <c r="D273" s="163">
        <f>ROUND(VLOOKUP($A273,'5 A data'!$A$5:$U$650,9,FALSE)/10,0)*10</f>
        <v>60</v>
      </c>
      <c r="E273" s="23">
        <f t="shared" si="536"/>
        <v>0.99936709902044762</v>
      </c>
      <c r="F273" s="23">
        <f t="shared" si="537"/>
        <v>1.0011822386327505</v>
      </c>
      <c r="G273" s="486">
        <f>VLOOKUP(B273,TwoStageCT!A$10:H$72,3,FALSE)/10000</f>
        <v>2.195627602528684E-5</v>
      </c>
      <c r="H273" s="486">
        <f>VLOOKUP(B273,TwoStageCT!A$10:H$72,6,FALSE)/10000</f>
        <v>5.5507836163637805E-6</v>
      </c>
      <c r="I273" s="19">
        <f>VLOOKUP($A273,'5 A data'!$A$5:$U$650,10,FALSE)</f>
        <v>-0.1295</v>
      </c>
      <c r="J273" s="32">
        <f>VLOOKUP($A273,'5 A data'!$A$5:$U$650,11,FALSE)</f>
        <v>0.19053177667604765</v>
      </c>
      <c r="K273" s="31"/>
      <c r="L273" s="31"/>
      <c r="M273" s="31">
        <f t="shared" si="558"/>
        <v>-0.12939608304712269</v>
      </c>
      <c r="N273" s="31">
        <f t="shared" si="559"/>
        <v>0.19076258148681702</v>
      </c>
      <c r="O273" s="20"/>
      <c r="P273" s="634">
        <f>VLOOKUP(B273,TwoStageCT!A$10:H$72,4,FALSE)/10000</f>
        <v>2.9709098248278708E-6</v>
      </c>
      <c r="Q273" s="58">
        <f>VLOOKUP($A273,'5 A data'!$A$5:$U$650,7,FALSE)*slidewire_res</f>
        <v>1E-3</v>
      </c>
      <c r="R273" s="347">
        <f t="shared" si="546"/>
        <v>-1.8000000000000017E-3</v>
      </c>
      <c r="S273" s="4">
        <v>0</v>
      </c>
      <c r="T273" s="4">
        <f t="shared" si="560"/>
        <v>-2.9625000000000002E-2</v>
      </c>
      <c r="U273" s="29">
        <f t="shared" si="547"/>
        <v>-5.1758433218849077E-4</v>
      </c>
      <c r="V273" s="29">
        <f t="shared" si="525"/>
        <v>5.0000000000000001E-4</v>
      </c>
      <c r="W273" s="23">
        <f>VLOOKUP($D273,Uncertainties!$B$35:$D$41,2,FALSE)</f>
        <v>-1.0000000000000009E-3</v>
      </c>
      <c r="X273" s="23"/>
      <c r="Y273" s="24">
        <f t="shared" si="548"/>
        <v>-1.0042052842069597E-5</v>
      </c>
      <c r="Z273" s="23">
        <f t="shared" si="549"/>
        <v>2.9722022613039942E-2</v>
      </c>
      <c r="AA273" s="25">
        <f t="shared" si="550"/>
        <v>5.065743844720191</v>
      </c>
      <c r="AB273" s="26">
        <f t="shared" si="551"/>
        <v>2.5324652139228263</v>
      </c>
      <c r="AC273" s="14"/>
      <c r="AD273" s="635">
        <f>VLOOKUP(B273,TwoStageCT!A$10:H$72,7,FALSE)/10000</f>
        <v>1.6017059195029239E-6</v>
      </c>
      <c r="AE273" s="366">
        <f>IF(ABS(VLOOKUP($A273,'5 A data'!$A$5:$U$1148,6,FALSE))&lt;4.5,IF(ABS(VLOOKUP($A273,'5 A data'!$A$5:$U$1148,6,FALSE))&lt;1.25,0.0008,0.002),0.004)*VLOOKUP($A273,'5 A data'!$A$5:$U$1148,7,FALSE)*25*RADIANS(1/60)*100</f>
        <v>2.9088820866572159E-3</v>
      </c>
      <c r="AF273" s="23">
        <f t="shared" si="552"/>
        <v>2.908882086657222E-3</v>
      </c>
      <c r="AG273" s="29">
        <f t="shared" si="553"/>
        <v>1.9076258148681703E-4</v>
      </c>
      <c r="AH273" s="4">
        <f t="shared" si="561"/>
        <v>4.7269333908179778E-3</v>
      </c>
      <c r="AI273" s="4">
        <f t="shared" si="554"/>
        <v>7.6305032594726813E-4</v>
      </c>
      <c r="AJ273" s="4">
        <f t="shared" si="532"/>
        <v>5.0000000000000001E-4</v>
      </c>
      <c r="AK273" s="21">
        <f>VLOOKUP($D273,Uncertainties!$B$35:$D$41,3,FALSE)</f>
        <v>-2.908882086657183E-3</v>
      </c>
      <c r="AL273" s="21"/>
      <c r="AM273" s="369">
        <f>SQRT((VLOOKUP($A273,'5 A data'!$A$5:$U$1148,7,FALSE)*mutual_ind)^2+(aux_CT_phase*J273)^2)</f>
        <v>1.7013672383223266E-3</v>
      </c>
      <c r="AN273" s="29">
        <f t="shared" si="555"/>
        <v>7.175790790636084E-3</v>
      </c>
      <c r="AO273" s="14">
        <f t="shared" si="556"/>
        <v>19.499536780967922</v>
      </c>
      <c r="AP273" s="27">
        <f t="shared" si="557"/>
        <v>2.085950803219101</v>
      </c>
      <c r="AS273" s="27">
        <f>VLOOKUP($B273,TwoStageCT!$A$10:$H$72,5,FALSE)</f>
        <v>42.291164682130272</v>
      </c>
      <c r="AT273" s="27">
        <f>VLOOKUP($B273,TwoStageCT!$A$10:$H$72,8,FALSE)</f>
        <v>48.978667479860043</v>
      </c>
    </row>
    <row r="274" spans="1:46" x14ac:dyDescent="0.2">
      <c r="A274" s="409">
        <v>382</v>
      </c>
      <c r="B274" s="5" t="str">
        <f>B259&amp;D274</f>
        <v>120/200100</v>
      </c>
      <c r="C274" s="19">
        <f>VLOOKUP($A274,'5 A data'!$A$5:$U$650,3,FALSE)</f>
        <v>2.1000057980615688E-2</v>
      </c>
      <c r="D274" s="164">
        <f>ROUND(VLOOKUP($A274,'5 A data'!$A$5:$U$650,9,FALSE)/10,0)*10</f>
        <v>100</v>
      </c>
      <c r="E274" s="23">
        <f t="shared" si="536"/>
        <v>0.99936709902044762</v>
      </c>
      <c r="F274" s="23">
        <f t="shared" si="537"/>
        <v>1.0011822386327505</v>
      </c>
      <c r="G274" s="486">
        <f>VLOOKUP(B274,TwoStageCT!A$10:H$72,3,FALSE)/10000</f>
        <v>1.6881396356939836E-5</v>
      </c>
      <c r="H274" s="486">
        <f>VLOOKUP(B274,TwoStageCT!A$10:H$72,6,FALSE)/10000</f>
        <v>7.3590724152435355E-6</v>
      </c>
      <c r="I274" s="19">
        <f>VLOOKUP($A274,'5 A data'!$A$5:$U$650,10,FALSE)</f>
        <v>-0.1205</v>
      </c>
      <c r="J274" s="32">
        <f>VLOOKUP($A274,'5 A data'!$A$5:$U$650,11,FALSE)</f>
        <v>0.17598736624276154</v>
      </c>
      <c r="K274" s="31"/>
      <c r="L274" s="31"/>
      <c r="M274" s="31">
        <f t="shared" si="558"/>
        <v>-0.120406854035607</v>
      </c>
      <c r="N274" s="31">
        <f t="shared" si="559"/>
        <v>0.17620278437842499</v>
      </c>
      <c r="O274" s="20"/>
      <c r="P274" s="634">
        <f>VLOOKUP(B274,TwoStageCT!A$10:H$72,4,FALSE)/10000</f>
        <v>2.4131313466023584E-6</v>
      </c>
      <c r="Q274" s="58">
        <f>VLOOKUP($A274,'5 A data'!$A$5:$U$650,7,FALSE)*slidewire_res</f>
        <v>1E-3</v>
      </c>
      <c r="R274" s="347">
        <f t="shared" si="546"/>
        <v>-5.0000000000000044E-4</v>
      </c>
      <c r="S274" s="4">
        <v>0</v>
      </c>
      <c r="T274" s="4">
        <f t="shared" si="560"/>
        <v>-2.6675000000000004E-2</v>
      </c>
      <c r="U274" s="29">
        <f t="shared" si="547"/>
        <v>-4.8162741614242801E-4</v>
      </c>
      <c r="V274" s="29">
        <f t="shared" si="525"/>
        <v>5.0000000000000001E-4</v>
      </c>
      <c r="W274" s="23">
        <f>VLOOKUP($D274,Uncertainties!$B$35:$D$41,2,FALSE)</f>
        <v>1.999999999999974E-3</v>
      </c>
      <c r="X274" s="23"/>
      <c r="Y274" s="24">
        <f t="shared" si="548"/>
        <v>-9.3441495557481574E-6</v>
      </c>
      <c r="Z274" s="23">
        <f t="shared" si="549"/>
        <v>2.6782227000462712E-2</v>
      </c>
      <c r="AA274" s="25">
        <f t="shared" si="550"/>
        <v>5.0808051275780608</v>
      </c>
      <c r="AB274" s="26">
        <f t="shared" si="551"/>
        <v>2.530299332560153</v>
      </c>
      <c r="AC274" s="14"/>
      <c r="AD274" s="635">
        <f>VLOOKUP(B274,TwoStageCT!A$10:H$72,7,FALSE)/10000</f>
        <v>1.6933288916776063E-6</v>
      </c>
      <c r="AE274" s="366">
        <f>IF(ABS(VLOOKUP($A274,'5 A data'!$A$5:$U$1148,6,FALSE))&lt;4.5,IF(ABS(VLOOKUP($A274,'5 A data'!$A$5:$U$1148,6,FALSE))&lt;1.25,0.0008,0.002),0.004)*VLOOKUP($A274,'5 A data'!$A$5:$U$1148,7,FALSE)*25*RADIANS(1/60)*100</f>
        <v>2.9088820866572159E-3</v>
      </c>
      <c r="AF274" s="23">
        <f t="shared" si="552"/>
        <v>8.7266462599715493E-4</v>
      </c>
      <c r="AG274" s="29">
        <f t="shared" si="553"/>
        <v>1.7620278437842498E-4</v>
      </c>
      <c r="AH274" s="4">
        <f t="shared" si="561"/>
        <v>1.2362748868293182E-3</v>
      </c>
      <c r="AI274" s="4">
        <f t="shared" si="554"/>
        <v>7.0481113751369993E-4</v>
      </c>
      <c r="AJ274" s="4">
        <f t="shared" si="532"/>
        <v>5.0000000000000001E-4</v>
      </c>
      <c r="AK274" s="21">
        <f>VLOOKUP($D274,Uncertainties!$B$35:$D$41,3,FALSE)</f>
        <v>-2.9088820866572385E-3</v>
      </c>
      <c r="AL274" s="21"/>
      <c r="AM274" s="369">
        <f>SQRT((VLOOKUP($A274,'5 A data'!$A$5:$U$1148,7,FALSE)*mutual_ind)^2+(aux_CT_phase*J274)^2)</f>
        <v>1.7011997012616174E-3</v>
      </c>
      <c r="AN274" s="29">
        <f t="shared" si="555"/>
        <v>4.7838267720668589E-3</v>
      </c>
      <c r="AO274" s="14">
        <f t="shared" si="556"/>
        <v>23.413980006053933</v>
      </c>
      <c r="AP274" s="27">
        <f t="shared" si="557"/>
        <v>2.0641831985701629</v>
      </c>
      <c r="AS274" s="27">
        <f>VLOOKUP($B274,TwoStageCT!$A$10:$H$72,5,FALSE)</f>
        <v>59.567261398457461</v>
      </c>
      <c r="AT274" s="27">
        <f>VLOOKUP($B274,TwoStageCT!$A$10:$H$72,8,FALSE)</f>
        <v>45.732629829898706</v>
      </c>
    </row>
    <row r="275" spans="1:46" x14ac:dyDescent="0.2">
      <c r="A275" s="409">
        <v>383</v>
      </c>
      <c r="B275" s="5" t="str">
        <f>B259&amp;D275</f>
        <v>120/200120</v>
      </c>
      <c r="C275" s="19">
        <f>VLOOKUP($A275,'5 A data'!$A$5:$U$650,3,FALSE)</f>
        <v>2.1000057980615688E-2</v>
      </c>
      <c r="D275" s="164">
        <f>ROUND(VLOOKUP($A275,'5 A data'!$A$5:$U$650,9,FALSE)/10,0)*10</f>
        <v>120</v>
      </c>
      <c r="E275" s="23">
        <f t="shared" si="536"/>
        <v>0.99936709902044762</v>
      </c>
      <c r="F275" s="23">
        <f t="shared" si="537"/>
        <v>1.0011822386327505</v>
      </c>
      <c r="G275" s="486">
        <f>VLOOKUP(B275,TwoStageCT!A$10:H$72,3,FALSE)/10000</f>
        <v>1.5213305302217845E-5</v>
      </c>
      <c r="H275" s="486">
        <f>VLOOKUP(B275,TwoStageCT!A$10:H$72,6,FALSE)/10000</f>
        <v>7.5885012454326174E-6</v>
      </c>
      <c r="I275" s="19">
        <f>VLOOKUP($A275,'5 A data'!$A$5:$U$650,10,FALSE)</f>
        <v>-0.11799999999999999</v>
      </c>
      <c r="J275" s="32">
        <f>VLOOKUP($A275,'5 A data'!$A$5:$U$650,11,FALSE)</f>
        <v>0.17162404311277576</v>
      </c>
      <c r="K275" s="31"/>
      <c r="L275" s="31"/>
      <c r="M275" s="31">
        <f t="shared" si="558"/>
        <v>-0.11791010437911061</v>
      </c>
      <c r="N275" s="31">
        <f t="shared" si="559"/>
        <v>0.17183453218809797</v>
      </c>
      <c r="O275" s="20"/>
      <c r="P275" s="634">
        <f>VLOOKUP(B275,TwoStageCT!A$10:H$72,4,FALSE)/10000</f>
        <v>2.2681305202526645E-6</v>
      </c>
      <c r="Q275" s="58">
        <f>VLOOKUP($A275,'5 A data'!$A$5:$U$650,7,FALSE)*slidewire_res</f>
        <v>1E-3</v>
      </c>
      <c r="R275" s="347">
        <f t="shared" si="546"/>
        <v>0</v>
      </c>
      <c r="S275" s="4">
        <v>0</v>
      </c>
      <c r="T275" s="4">
        <f t="shared" si="560"/>
        <v>-2.52E-2</v>
      </c>
      <c r="U275" s="29">
        <f t="shared" si="547"/>
        <v>-4.7164041751644243E-4</v>
      </c>
      <c r="V275" s="29">
        <f t="shared" si="525"/>
        <v>5.0000000000000001E-4</v>
      </c>
      <c r="W275" s="23">
        <f>VLOOKUP($D275,Uncertainties!$B$35:$D$41,2,FALSE)</f>
        <v>-1.0000000000000009E-3</v>
      </c>
      <c r="X275" s="23"/>
      <c r="Y275" s="24">
        <f t="shared" si="548"/>
        <v>-9.1502875317699801E-6</v>
      </c>
      <c r="Z275" s="23">
        <f t="shared" si="549"/>
        <v>2.524901054607117E-2</v>
      </c>
      <c r="AA275" s="25">
        <f t="shared" si="550"/>
        <v>5.0389919883035494</v>
      </c>
      <c r="AB275" s="26">
        <f t="shared" si="551"/>
        <v>2.5363535542987026</v>
      </c>
      <c r="AC275" s="14"/>
      <c r="AD275" s="635">
        <f>VLOOKUP(B275,TwoStageCT!A$10:H$72,7,FALSE)/10000</f>
        <v>1.7092397901526349E-6</v>
      </c>
      <c r="AE275" s="366">
        <f>IF(ABS(VLOOKUP($A275,'5 A data'!$A$5:$U$1148,6,FALSE))&lt;4.5,IF(ABS(VLOOKUP($A275,'5 A data'!$A$5:$U$1148,6,FALSE))&lt;1.25,0.0008,0.002),0.004)*VLOOKUP($A275,'5 A data'!$A$5:$U$1148,7,FALSE)*25*RADIANS(1/60)*100</f>
        <v>2.9088820866572159E-3</v>
      </c>
      <c r="AF275" s="23">
        <f t="shared" si="552"/>
        <v>0</v>
      </c>
      <c r="AG275" s="29">
        <f t="shared" si="553"/>
        <v>1.7183453218809797E-4</v>
      </c>
      <c r="AH275" s="4">
        <f t="shared" si="561"/>
        <v>1.4544410433285916E-4</v>
      </c>
      <c r="AI275" s="4">
        <f t="shared" si="554"/>
        <v>6.873381287523919E-4</v>
      </c>
      <c r="AJ275" s="4">
        <f t="shared" si="532"/>
        <v>5.0000000000000001E-4</v>
      </c>
      <c r="AK275" s="21">
        <f>VLOOKUP($D275,Uncertainties!$B$35:$D$41,3,FALSE)</f>
        <v>1.4544410433285915E-3</v>
      </c>
      <c r="AL275" s="21"/>
      <c r="AM275" s="369">
        <f>SQRT((VLOOKUP($A275,'5 A data'!$A$5:$U$1148,7,FALSE)*mutual_ind)^2+(aux_CT_phase*J275)^2)</f>
        <v>1.7011520299637143E-3</v>
      </c>
      <c r="AN275" s="29">
        <f t="shared" si="555"/>
        <v>3.7741263479537431E-3</v>
      </c>
      <c r="AO275" s="14">
        <f t="shared" si="556"/>
        <v>12.363897939040921</v>
      </c>
      <c r="AP275" s="27">
        <f t="shared" si="557"/>
        <v>2.1639355826756943</v>
      </c>
      <c r="AS275" s="27">
        <f>VLOOKUP($B275,TwoStageCT!$A$10:$H$72,5,FALSE)</f>
        <v>68.00069900375496</v>
      </c>
      <c r="AT275" s="27">
        <f>VLOOKUP($B275,TwoStageCT!$A$10:$H$72,8,FALSE)</f>
        <v>47.345132453902309</v>
      </c>
    </row>
    <row r="276" spans="1:46" x14ac:dyDescent="0.2">
      <c r="A276" s="409">
        <v>384</v>
      </c>
      <c r="P276" s="97"/>
      <c r="AD276" s="250"/>
    </row>
    <row r="277" spans="1:46" x14ac:dyDescent="0.2">
      <c r="A277" s="409">
        <v>385</v>
      </c>
      <c r="B277" s="474" t="str">
        <f>MID(D277,FIND("AT,",D277,1)-4,3)&amp;"/"&amp;MID(D277,FIND("AT,",D277,1)+4,3)</f>
        <v>120/200</v>
      </c>
      <c r="C277" t="s">
        <v>113</v>
      </c>
      <c r="D277" s="59" t="str">
        <f>VLOOKUP($A277,'5 A data'!$A$5:$U$574,2,FALSE)</f>
        <v>200/5 Range, 1 turns @ 5VA burden, vs 120 AT, 200 range, 2 Stage CT</v>
      </c>
      <c r="P277" s="97"/>
      <c r="R277" s="42"/>
      <c r="Z277" s="29"/>
      <c r="AA277" s="25"/>
      <c r="AD277" s="250"/>
      <c r="AN277" s="29"/>
      <c r="AO277" s="14"/>
    </row>
    <row r="278" spans="1:46" x14ac:dyDescent="0.2">
      <c r="A278" s="409">
        <v>386</v>
      </c>
      <c r="C278" s="19"/>
      <c r="M278" s="638" t="s">
        <v>160</v>
      </c>
      <c r="N278" s="638"/>
      <c r="O278" s="19"/>
      <c r="P278" s="97"/>
      <c r="R278" s="42"/>
      <c r="Z278" s="29"/>
      <c r="AA278" s="25"/>
      <c r="AD278" s="250"/>
      <c r="AN278" s="29"/>
      <c r="AO278" s="14"/>
    </row>
    <row r="279" spans="1:46" x14ac:dyDescent="0.2">
      <c r="A279" s="409">
        <v>387</v>
      </c>
      <c r="B279" s="5" t="str">
        <f>B277&amp;D279</f>
        <v>120/2005</v>
      </c>
      <c r="C279" s="19">
        <f>VLOOKUP($A279,'5 A data'!$A$5:$U$574,3,FALSE)</f>
        <v>0.21600059637204713</v>
      </c>
      <c r="D279" s="19">
        <f>ROUND(VLOOKUP($A279,'5 A data'!$A$5:$U$650,9,FALSE),0)</f>
        <v>5</v>
      </c>
      <c r="E279" s="23">
        <f>TestSetRatioCor</f>
        <v>0.99936709902044762</v>
      </c>
      <c r="F279" s="23">
        <f>TestSetPhaseCor</f>
        <v>1.0011822386327505</v>
      </c>
      <c r="G279" s="486">
        <f>VLOOKUP(B279,TwoStageCT!A$10:H$72,3,FALSE)/10000</f>
        <v>3.6805932694608759E-5</v>
      </c>
      <c r="H279" s="486">
        <f>VLOOKUP(B279,TwoStageCT!A$10:H$72,6,FALSE)/10000</f>
        <v>4.6965346060309593E-6</v>
      </c>
      <c r="I279" s="19">
        <f>VLOOKUP($A279,'5 A data'!$A$5:$U$650,10,FALSE)</f>
        <v>-0.68799999999999994</v>
      </c>
      <c r="J279" s="32">
        <f>VLOOKUP($A279,'5 A data'!$A$5:$U$650,11,FALSE)</f>
        <v>1.0471975511965976</v>
      </c>
      <c r="K279" s="22">
        <f>I279-I287</f>
        <v>-0.46399999999999997</v>
      </c>
      <c r="L279" s="22">
        <f>J279-J287</f>
        <v>0.64868070532455901</v>
      </c>
      <c r="M279" s="22">
        <f>I279*E279+G279</f>
        <v>-0.68752775819337331</v>
      </c>
      <c r="N279" s="22">
        <f>J279*F279+H279</f>
        <v>1.04844028513235</v>
      </c>
      <c r="O279" s="20"/>
      <c r="P279" s="634">
        <f>VLOOKUP(B279,TwoStageCT!A$10:H$72,4,FALSE)/10000</f>
        <v>6.4429594675743464E-6</v>
      </c>
      <c r="Q279" s="58">
        <f>VLOOKUP($A279,'5 A data'!$A$5:$U$650,7,FALSE)*slidewire_res</f>
        <v>2E-3</v>
      </c>
      <c r="R279" s="347">
        <f t="shared" ref="R279:R285" si="562">current_coef*(I279-I280)*IF(I280=0,0,1)</f>
        <v>-1.4799999999999992E-2</v>
      </c>
      <c r="S279" s="4">
        <v>0</v>
      </c>
      <c r="T279" s="21">
        <f>BurdenUnc*K279</f>
        <v>-2.3199999999999998E-2</v>
      </c>
      <c r="U279" s="29">
        <f>0.004*M279</f>
        <v>-2.7501110327734931E-3</v>
      </c>
      <c r="V279" s="29">
        <f t="shared" ref="V279:V293" si="563">earthing_Re</f>
        <v>5.0000000000000001E-4</v>
      </c>
      <c r="W279" s="23">
        <f>VLOOKUP($D279,Uncertainties!$B$35:$D$41,2,FALSE)</f>
        <v>5.0000000000000044E-3</v>
      </c>
      <c r="X279" s="23"/>
      <c r="Y279" s="24">
        <f t="shared" ref="Y279:Y285" si="564">I279*aux_CT_ratio</f>
        <v>-5.3350828998794459E-5</v>
      </c>
      <c r="Z279" s="23">
        <f t="shared" ref="Z279:Z285" si="565">SQRT(SUMSQ(P279:Y279))</f>
        <v>2.8179708985638298E-2</v>
      </c>
      <c r="AA279" s="25">
        <f t="shared" ref="AA279:AA285" si="566">DoF_A(P279:Y279,$P$7:$Y$7)</f>
        <v>9.3281189160650548</v>
      </c>
      <c r="AB279" s="26">
        <f t="shared" ref="AB279:AB285" si="567">CoverFactor(AA279)</f>
        <v>2.2376654912875051</v>
      </c>
      <c r="AC279" s="14"/>
      <c r="AD279" s="635">
        <f>VLOOKUP(B279,TwoStageCT!A$10:H$72,7,FALSE)/10000</f>
        <v>4.6788986298833412E-6</v>
      </c>
      <c r="AE279" s="366">
        <f>IF(ABS(VLOOKUP($A279,'5 A data'!$A$5:$U$1148,6,FALSE))&lt;4.5,IF(ABS(VLOOKUP($A279,'5 A data'!$A$5:$U$1148,6,FALSE))&lt;1.25,0.0008,0.002),0.004)*VLOOKUP($A279,'5 A data'!$A$5:$U$1148,7,FALSE)*25*RADIANS(1/60)*100</f>
        <v>5.8177641733144318E-3</v>
      </c>
      <c r="AF279" s="23">
        <f>current_coef*(J279-J280)*IF(J280=0,0,1)</f>
        <v>2.7925268031909246E-2</v>
      </c>
      <c r="AG279" s="29">
        <f t="shared" ref="AG279:AG285" si="568">0.001*N279</f>
        <v>1.0484402851323501E-3</v>
      </c>
      <c r="AH279" s="4">
        <f>BurdenUnc*L279</f>
        <v>3.2434035266227949E-2</v>
      </c>
      <c r="AI279" s="4">
        <f t="shared" ref="AI279:AI285" si="569">0.004*N279</f>
        <v>4.1937611405294005E-3</v>
      </c>
      <c r="AJ279" s="4">
        <f t="shared" ref="AJ279:AJ293" si="570">earthing_Im</f>
        <v>5.0000000000000001E-4</v>
      </c>
      <c r="AK279" s="21">
        <f>VLOOKUP($D279,Uncertainties!$B$35:$D$41,3,FALSE)</f>
        <v>-1.1635528346628732E-2</v>
      </c>
      <c r="AL279" s="21"/>
      <c r="AM279" s="369">
        <f>SQRT((VLOOKUP($A279,'5 A data'!$A$5:$U$1148,7,FALSE)*mutual_ind)^2+(aux_CT_phase*J279)^2)</f>
        <v>3.4176515984433472E-3</v>
      </c>
      <c r="AN279" s="29">
        <f t="shared" ref="AN279:AN285" si="571">SQRT(SUMSQ(AD279:AM279))</f>
        <v>4.5073677041729467E-2</v>
      </c>
      <c r="AO279" s="14">
        <f t="shared" ref="AO279:AO285" si="572">DoF_A(AD279:AM279,$AD$7:$AM$7)</f>
        <v>11.973076297717229</v>
      </c>
      <c r="AP279" s="27">
        <f t="shared" ref="AP279:AP285" si="573">CoverFactor(AO279)</f>
        <v>2.1711304835876222</v>
      </c>
      <c r="AS279" s="27">
        <f>VLOOKUP($B279,TwoStageCT!$A$10:$H$72,5,FALSE)</f>
        <v>26.31606241070681</v>
      </c>
      <c r="AT279" s="27">
        <f>VLOOKUP($B279,TwoStageCT!$A$10:$H$72,8,FALSE)</f>
        <v>9.9413455012810044</v>
      </c>
    </row>
    <row r="280" spans="1:46" x14ac:dyDescent="0.2">
      <c r="A280" s="409">
        <v>388</v>
      </c>
      <c r="B280" s="5" t="str">
        <f>B277&amp;D280</f>
        <v>120/20010</v>
      </c>
      <c r="C280" s="19">
        <f>VLOOKUP($A280,'5 A data'!$A$5:$U$650,3,FALSE)</f>
        <v>0.21600059637204713</v>
      </c>
      <c r="D280" s="163">
        <f>ROUND(VLOOKUP($A280,'5 A data'!$A$5:$U$650,9,FALSE)/10,0)*10</f>
        <v>10</v>
      </c>
      <c r="E280" s="23">
        <f t="shared" ref="E280:E293" si="574">TestSetRatioCor</f>
        <v>0.99936709902044762</v>
      </c>
      <c r="F280" s="23">
        <f t="shared" ref="F280:F293" si="575">TestSetPhaseCor</f>
        <v>1.0011822386327505</v>
      </c>
      <c r="G280" s="486">
        <f>VLOOKUP(B280,TwoStageCT!A$10:H$72,3,FALSE)/10000</f>
        <v>3.4690340839935311E-5</v>
      </c>
      <c r="H280" s="486">
        <f>VLOOKUP(B280,TwoStageCT!A$10:H$72,6,FALSE)/10000</f>
        <v>2.6036797087866982E-6</v>
      </c>
      <c r="I280" s="19">
        <f>VLOOKUP($A280,'5 A data'!$A$5:$U$650,10,FALSE)</f>
        <v>-0.61399999999999999</v>
      </c>
      <c r="J280" s="32">
        <f>VLOOKUP($A280,'5 A data'!$A$5:$U$650,11,FALSE)</f>
        <v>0.90757121103705141</v>
      </c>
      <c r="K280" s="22">
        <f t="shared" ref="K280:K285" si="576">I280-I288</f>
        <v>-0.43099999999999999</v>
      </c>
      <c r="L280" s="22">
        <f t="shared" ref="L280:L285" si="577">J280-J288</f>
        <v>0.60941079715468671</v>
      </c>
      <c r="M280" s="22">
        <f t="shared" ref="M280:M285" si="578">I280*E280+G280</f>
        <v>-0.61357670845771495</v>
      </c>
      <c r="N280" s="22">
        <f t="shared" ref="N280:N285" si="579">J280*F280+H280</f>
        <v>0.90864678046442038</v>
      </c>
      <c r="O280" s="20"/>
      <c r="P280" s="634">
        <f>VLOOKUP(B280,TwoStageCT!A$10:H$72,4,FALSE)/10000</f>
        <v>5.0170517941146892E-6</v>
      </c>
      <c r="Q280" s="58">
        <f>VLOOKUP($A280,'5 A data'!$A$5:$U$650,7,FALSE)*slidewire_res</f>
        <v>2E-3</v>
      </c>
      <c r="R280" s="347">
        <f t="shared" si="562"/>
        <v>-1.1199999999999988E-2</v>
      </c>
      <c r="S280" s="4">
        <v>0</v>
      </c>
      <c r="T280" s="21">
        <f t="shared" ref="T280:T285" si="580">BurdenUnc*K280</f>
        <v>-2.155E-2</v>
      </c>
      <c r="U280" s="29">
        <f t="shared" ref="U280:U285" si="581">0.004*M280</f>
        <v>-2.4543068338308597E-3</v>
      </c>
      <c r="V280" s="29">
        <f t="shared" si="563"/>
        <v>5.0000000000000001E-4</v>
      </c>
      <c r="W280" s="23">
        <f>VLOOKUP($D280,Uncertainties!$B$35:$D$41,2,FALSE)</f>
        <v>2.5000000000000022E-3</v>
      </c>
      <c r="X280" s="23"/>
      <c r="Y280" s="24">
        <f t="shared" si="564"/>
        <v>-4.7612513089040402E-5</v>
      </c>
      <c r="Z280" s="23">
        <f t="shared" si="565"/>
        <v>2.4624549014282474E-2</v>
      </c>
      <c r="AA280" s="25">
        <f t="shared" si="566"/>
        <v>7.9422415682840457</v>
      </c>
      <c r="AB280" s="26">
        <f t="shared" si="567"/>
        <v>2.2930126625503742</v>
      </c>
      <c r="AC280" s="14"/>
      <c r="AD280" s="635">
        <f>VLOOKUP(B280,TwoStageCT!A$10:H$72,7,FALSE)/10000</f>
        <v>2.600738521505678E-6</v>
      </c>
      <c r="AE280" s="366">
        <f>IF(ABS(VLOOKUP($A280,'5 A data'!$A$5:$U$1148,6,FALSE))&lt;4.5,IF(ABS(VLOOKUP($A280,'5 A data'!$A$5:$U$1148,6,FALSE))&lt;1.25,0.0008,0.002),0.004)*VLOOKUP($A280,'5 A data'!$A$5:$U$1148,7,FALSE)*25*RADIANS(1/60)*100</f>
        <v>5.8177641733144318E-3</v>
      </c>
      <c r="AF280" s="23">
        <f t="shared" ref="AF280:AF285" si="582">current_coef*(J280-J281)*IF(J281=0,0,1)</f>
        <v>2.3271056693257731E-2</v>
      </c>
      <c r="AG280" s="29">
        <f t="shared" si="568"/>
        <v>9.0864678046442035E-4</v>
      </c>
      <c r="AH280" s="4">
        <f t="shared" ref="AH280:AH285" si="583">BurdenUnc*L280</f>
        <v>3.0470539857734336E-2</v>
      </c>
      <c r="AI280" s="4">
        <f t="shared" si="569"/>
        <v>3.6345871218576814E-3</v>
      </c>
      <c r="AJ280" s="4">
        <f t="shared" si="570"/>
        <v>5.0000000000000001E-4</v>
      </c>
      <c r="AK280" s="21">
        <f>VLOOKUP($D280,Uncertainties!$B$35:$D$41,3,FALSE)</f>
        <v>4.363323129985941E-3</v>
      </c>
      <c r="AL280" s="21"/>
      <c r="AM280" s="369">
        <f>SQRT((VLOOKUP($A280,'5 A data'!$A$5:$U$1148,7,FALSE)*mutual_ind)^2+(aux_CT_phase*J280)^2)</f>
        <v>3.4133789092143626E-3</v>
      </c>
      <c r="AN280" s="29">
        <f t="shared" si="571"/>
        <v>3.9355023471156721E-2</v>
      </c>
      <c r="AO280" s="14">
        <f t="shared" si="572"/>
        <v>10.367557299924863</v>
      </c>
      <c r="AP280" s="27">
        <f t="shared" si="573"/>
        <v>2.2070084257546765</v>
      </c>
      <c r="AS280" s="27">
        <f>VLOOKUP($B280,TwoStageCT!$A$10:$H$72,5,FALSE)</f>
        <v>38.265350164989712</v>
      </c>
      <c r="AT280" s="27">
        <f>VLOOKUP($B280,TwoStageCT!$A$10:$H$72,8,FALSE)</f>
        <v>16.586629386739094</v>
      </c>
    </row>
    <row r="281" spans="1:46" x14ac:dyDescent="0.2">
      <c r="A281" s="409">
        <v>389</v>
      </c>
      <c r="B281" s="5" t="str">
        <f>B277&amp;D281</f>
        <v>120/20020</v>
      </c>
      <c r="C281" s="19">
        <f>VLOOKUP($A281,'5 A data'!$A$5:$U$650,3,FALSE)</f>
        <v>0.21600059637204713</v>
      </c>
      <c r="D281" s="163">
        <f>ROUND(VLOOKUP($A281,'5 A data'!$A$5:$U$650,9,FALSE)/10,0)*10</f>
        <v>20</v>
      </c>
      <c r="E281" s="23">
        <f t="shared" si="574"/>
        <v>0.99936709902044762</v>
      </c>
      <c r="F281" s="23">
        <f t="shared" si="575"/>
        <v>1.0011822386327505</v>
      </c>
      <c r="G281" s="486">
        <f>VLOOKUP(B281,TwoStageCT!A$10:H$72,3,FALSE)/10000</f>
        <v>3.1280516301103777E-5</v>
      </c>
      <c r="H281" s="486">
        <f>VLOOKUP(B281,TwoStageCT!A$10:H$72,6,FALSE)/10000</f>
        <v>4.5493238991726806E-6</v>
      </c>
      <c r="I281" s="19">
        <f>VLOOKUP($A281,'5 A data'!$A$5:$U$650,10,FALSE)</f>
        <v>-0.55800000000000005</v>
      </c>
      <c r="J281" s="32">
        <f>VLOOKUP($A281,'5 A data'!$A$5:$U$650,11,FALSE)</f>
        <v>0.79121592757076276</v>
      </c>
      <c r="K281" s="22">
        <f t="shared" si="576"/>
        <v>-0.40200000000000002</v>
      </c>
      <c r="L281" s="22">
        <f t="shared" si="577"/>
        <v>0.55123315542154239</v>
      </c>
      <c r="M281" s="22">
        <f t="shared" si="578"/>
        <v>-0.55761556073710872</v>
      </c>
      <c r="N281" s="22">
        <f t="shared" si="579"/>
        <v>0.79215588293108352</v>
      </c>
      <c r="O281" s="20"/>
      <c r="P281" s="634">
        <f>VLOOKUP(B281,TwoStageCT!A$10:H$72,4,FALSE)/10000</f>
        <v>4.17832023036102E-6</v>
      </c>
      <c r="Q281" s="364">
        <f>VLOOKUP($A281,'5 A data'!$A$5:$U$650,7,FALSE)*slidewire_res</f>
        <v>2E-3</v>
      </c>
      <c r="R281" s="347">
        <f t="shared" si="562"/>
        <v>-1.0000000000000009E-2</v>
      </c>
      <c r="S281" s="4">
        <v>0</v>
      </c>
      <c r="T281" s="21">
        <f t="shared" si="580"/>
        <v>-2.0100000000000003E-2</v>
      </c>
      <c r="U281" s="29">
        <f t="shared" si="581"/>
        <v>-2.2304622429484347E-3</v>
      </c>
      <c r="V281" s="29">
        <f t="shared" si="563"/>
        <v>5.0000000000000001E-4</v>
      </c>
      <c r="W281" s="23">
        <f>VLOOKUP($D281,Uncertainties!$B$35:$D$41,2,FALSE)</f>
        <v>-1.0000000000000009E-3</v>
      </c>
      <c r="X281" s="23"/>
      <c r="Y281" s="24">
        <f t="shared" si="564"/>
        <v>-4.3270003751929232E-5</v>
      </c>
      <c r="Z281" s="23">
        <f t="shared" si="565"/>
        <v>2.2676791033318704E-2</v>
      </c>
      <c r="AA281" s="25">
        <f t="shared" si="566"/>
        <v>7.6310591453096643</v>
      </c>
      <c r="AB281" s="26">
        <f t="shared" si="567"/>
        <v>2.3086761857338782</v>
      </c>
      <c r="AC281" s="14"/>
      <c r="AD281" s="635">
        <f>VLOOKUP(B281,TwoStageCT!A$10:H$72,7,FALSE)/10000</f>
        <v>1.9770475075939077E-6</v>
      </c>
      <c r="AE281" s="366">
        <f>IF(ABS(VLOOKUP($A281,'5 A data'!$A$5:$U$1148,6,FALSE))&lt;4.5,IF(ABS(VLOOKUP($A281,'5 A data'!$A$5:$U$1148,6,FALSE))&lt;1.25,0.0008,0.002),0.004)*VLOOKUP($A281,'5 A data'!$A$5:$U$1148,7,FALSE)*25*RADIANS(1/60)*100</f>
        <v>5.8177641733144318E-3</v>
      </c>
      <c r="AF281" s="23">
        <f t="shared" si="582"/>
        <v>1.6289739685280424E-2</v>
      </c>
      <c r="AG281" s="29">
        <f t="shared" si="568"/>
        <v>7.921558829310835E-4</v>
      </c>
      <c r="AH281" s="4">
        <f t="shared" si="583"/>
        <v>2.7561657771077122E-2</v>
      </c>
      <c r="AI281" s="4">
        <f t="shared" si="569"/>
        <v>3.168623531724334E-3</v>
      </c>
      <c r="AJ281" s="4">
        <f t="shared" si="570"/>
        <v>5.0000000000000001E-4</v>
      </c>
      <c r="AK281" s="21">
        <f>VLOOKUP($D281,Uncertainties!$B$35:$D$41,3,FALSE)</f>
        <v>-1.454441043328647E-3</v>
      </c>
      <c r="AL281" s="21"/>
      <c r="AM281" s="369">
        <f>SQRT((VLOOKUP($A281,'5 A data'!$A$5:$U$1148,7,FALSE)*mutual_ind)^2+(aux_CT_phase*J281)^2)</f>
        <v>3.4102812583362489E-3</v>
      </c>
      <c r="AN281" s="29">
        <f t="shared" si="571"/>
        <v>3.2916714371688617E-2</v>
      </c>
      <c r="AO281" s="14">
        <f t="shared" si="572"/>
        <v>9.0466183021204856</v>
      </c>
      <c r="AP281" s="27">
        <f t="shared" si="573"/>
        <v>2.2473449155811607</v>
      </c>
      <c r="AS281" s="27">
        <f>VLOOKUP($B281,TwoStageCT!$A$10:$H$72,5,FALSE)</f>
        <v>36.657700403051521</v>
      </c>
      <c r="AT281" s="27">
        <f>VLOOKUP($B281,TwoStageCT!$A$10:$H$72,8,FALSE)</f>
        <v>53.09445811850042</v>
      </c>
    </row>
    <row r="282" spans="1:46" x14ac:dyDescent="0.2">
      <c r="A282" s="409">
        <v>390</v>
      </c>
      <c r="B282" s="5" t="str">
        <f>B277&amp;D282</f>
        <v>120/20040</v>
      </c>
      <c r="C282" s="19">
        <f>VLOOKUP($A282,'5 A data'!$A$5:$U$650,3,FALSE)</f>
        <v>0.21600059637204713</v>
      </c>
      <c r="D282" s="163">
        <f>ROUND(VLOOKUP($A282,'5 A data'!$A$5:$U$650,9,FALSE)/10,0)*10</f>
        <v>40</v>
      </c>
      <c r="E282" s="23">
        <f t="shared" si="574"/>
        <v>0.99936709902044762</v>
      </c>
      <c r="F282" s="23">
        <f t="shared" si="575"/>
        <v>1.0011822386327505</v>
      </c>
      <c r="G282" s="486">
        <f>VLOOKUP(B282,TwoStageCT!A$10:H$72,3,FALSE)/10000</f>
        <v>2.5200167333853628E-5</v>
      </c>
      <c r="H282" s="486">
        <f>VLOOKUP(B282,TwoStageCT!A$10:H$72,6,FALSE)/10000</f>
        <v>5.7416420558101514E-6</v>
      </c>
      <c r="I282" s="19">
        <f>VLOOKUP($A282,'5 A data'!$A$5:$U$650,10,FALSE)</f>
        <v>-0.50800000000000001</v>
      </c>
      <c r="J282" s="32">
        <f>VLOOKUP($A282,'5 A data'!$A$5:$U$650,11,FALSE)</f>
        <v>0.70976722914436063</v>
      </c>
      <c r="K282" s="22">
        <f t="shared" si="576"/>
        <v>-0.37</v>
      </c>
      <c r="L282" s="22">
        <f t="shared" si="577"/>
        <v>0.5046910420350269</v>
      </c>
      <c r="M282" s="22">
        <f t="shared" si="578"/>
        <v>-0.50765328613505356</v>
      </c>
      <c r="N282" s="22">
        <f t="shared" si="579"/>
        <v>0.7106120850249712</v>
      </c>
      <c r="O282" s="20"/>
      <c r="P282" s="634">
        <f>VLOOKUP(B282,TwoStageCT!A$10:H$72,4,FALSE)/10000</f>
        <v>3.3964590328801363E-6</v>
      </c>
      <c r="Q282" s="58">
        <f>VLOOKUP($A282,'5 A data'!$A$5:$U$650,7,FALSE)*slidewire_res</f>
        <v>2E-3</v>
      </c>
      <c r="R282" s="347">
        <f t="shared" si="562"/>
        <v>-2.4000000000000024E-3</v>
      </c>
      <c r="S282" s="4">
        <v>0</v>
      </c>
      <c r="T282" s="21">
        <f t="shared" si="580"/>
        <v>-1.8499999999999999E-2</v>
      </c>
      <c r="U282" s="29">
        <f t="shared" si="581"/>
        <v>-2.0306131445402141E-3</v>
      </c>
      <c r="V282" s="29">
        <f t="shared" si="563"/>
        <v>5.0000000000000001E-4</v>
      </c>
      <c r="W282" s="23">
        <f>VLOOKUP($D282,Uncertainties!$B$35:$D$41,2,FALSE)</f>
        <v>-1.0000000000000009E-3</v>
      </c>
      <c r="X282" s="23"/>
      <c r="Y282" s="24">
        <f t="shared" si="564"/>
        <v>-3.9392763272365679E-5</v>
      </c>
      <c r="Z282" s="23">
        <f t="shared" si="565"/>
        <v>1.8904627821475662E-2</v>
      </c>
      <c r="AA282" s="25">
        <f t="shared" si="566"/>
        <v>5.448897042039925</v>
      </c>
      <c r="AB282" s="26">
        <f t="shared" si="567"/>
        <v>2.4820799032206762</v>
      </c>
      <c r="AC282" s="14"/>
      <c r="AD282" s="635">
        <f>VLOOKUP(B282,TwoStageCT!A$10:H$72,7,FALSE)/10000</f>
        <v>1.6849048737447556E-6</v>
      </c>
      <c r="AE282" s="366">
        <f>IF(ABS(VLOOKUP($A282,'5 A data'!$A$5:$U$1148,6,FALSE))&lt;4.5,IF(ABS(VLOOKUP($A282,'5 A data'!$A$5:$U$1148,6,FALSE))&lt;1.25,0.0008,0.002),0.004)*VLOOKUP($A282,'5 A data'!$A$5:$U$1148,7,FALSE)*25*RADIANS(1/60)*100</f>
        <v>5.8177641733144318E-3</v>
      </c>
      <c r="AF282" s="23">
        <f t="shared" si="582"/>
        <v>1.3962634015954635E-2</v>
      </c>
      <c r="AG282" s="29">
        <f t="shared" si="568"/>
        <v>7.1061208502497123E-4</v>
      </c>
      <c r="AH282" s="4">
        <f t="shared" si="583"/>
        <v>2.5234552101751347E-2</v>
      </c>
      <c r="AI282" s="4">
        <f t="shared" si="569"/>
        <v>2.8424483400998849E-3</v>
      </c>
      <c r="AJ282" s="4">
        <f t="shared" si="570"/>
        <v>5.0000000000000001E-4</v>
      </c>
      <c r="AK282" s="21">
        <f>VLOOKUP($D282,Uncertainties!$B$35:$D$41,3,FALSE)</f>
        <v>-2.908882086657183E-3</v>
      </c>
      <c r="AL282" s="21"/>
      <c r="AM282" s="369">
        <f>SQRT((VLOOKUP($A282,'5 A data'!$A$5:$U$1148,7,FALSE)*mutual_ind)^2+(aux_CT_phase*J282)^2)</f>
        <v>3.4083639734081806E-3</v>
      </c>
      <c r="AN282" s="29">
        <f t="shared" si="571"/>
        <v>2.9908145601583593E-2</v>
      </c>
      <c r="AO282" s="14">
        <f t="shared" si="572"/>
        <v>8.9927092568884905</v>
      </c>
      <c r="AP282" s="27">
        <f t="shared" si="573"/>
        <v>2.2492772805253902</v>
      </c>
      <c r="AS282" s="27">
        <f>VLOOKUP($B282,TwoStageCT!$A$10:$H$72,5,FALSE)</f>
        <v>38.659909732018328</v>
      </c>
      <c r="AT282" s="27">
        <f>VLOOKUP($B282,TwoStageCT!$A$10:$H$72,8,FALSE)</f>
        <v>52.499330597885681</v>
      </c>
    </row>
    <row r="283" spans="1:46" x14ac:dyDescent="0.2">
      <c r="A283" s="409">
        <v>391</v>
      </c>
      <c r="B283" s="5" t="str">
        <f>B277&amp;D283</f>
        <v>120/20060</v>
      </c>
      <c r="C283" s="19">
        <f>VLOOKUP($A283,'5 A data'!$A$5:$U$650,3,FALSE)</f>
        <v>0.21600059637204713</v>
      </c>
      <c r="D283" s="163">
        <f>ROUND(VLOOKUP($A283,'5 A data'!$A$5:$U$650,9,FALSE)/10,0)*10</f>
        <v>60</v>
      </c>
      <c r="E283" s="23">
        <f t="shared" si="574"/>
        <v>0.99936709902044762</v>
      </c>
      <c r="F283" s="23">
        <f t="shared" si="575"/>
        <v>1.0011822386327505</v>
      </c>
      <c r="G283" s="486">
        <f>VLOOKUP(B283,TwoStageCT!A$10:H$72,3,FALSE)/10000</f>
        <v>2.195627602528684E-5</v>
      </c>
      <c r="H283" s="486">
        <f>VLOOKUP(B283,TwoStageCT!A$10:H$72,6,FALSE)/10000</f>
        <v>5.5507836163637805E-6</v>
      </c>
      <c r="I283" s="19">
        <f>VLOOKUP($A283,'5 A data'!$A$5:$U$650,10,FALSE)</f>
        <v>-0.496</v>
      </c>
      <c r="J283" s="32">
        <f>VLOOKUP($A283,'5 A data'!$A$5:$U$650,11,FALSE)</f>
        <v>0.63995405906458747</v>
      </c>
      <c r="K283" s="22">
        <f t="shared" si="576"/>
        <v>-0.36599999999999999</v>
      </c>
      <c r="L283" s="22">
        <f t="shared" si="577"/>
        <v>0.44942228238853982</v>
      </c>
      <c r="M283" s="22">
        <f t="shared" si="578"/>
        <v>-0.49566412483811673</v>
      </c>
      <c r="N283" s="22">
        <f t="shared" si="579"/>
        <v>0.64071618826001553</v>
      </c>
      <c r="O283" s="20"/>
      <c r="P283" s="634">
        <f>VLOOKUP(B283,TwoStageCT!A$10:H$72,4,FALSE)/10000</f>
        <v>2.9709098248278708E-6</v>
      </c>
      <c r="Q283" s="58">
        <f>VLOOKUP($A283,'5 A data'!$A$5:$U$650,7,FALSE)*slidewire_res</f>
        <v>2E-3</v>
      </c>
      <c r="R283" s="347">
        <f t="shared" si="562"/>
        <v>-4.0000000000000036E-3</v>
      </c>
      <c r="S283" s="4">
        <v>0</v>
      </c>
      <c r="T283" s="21">
        <f t="shared" si="580"/>
        <v>-1.83E-2</v>
      </c>
      <c r="U283" s="29">
        <f t="shared" si="581"/>
        <v>-1.9826564993524671E-3</v>
      </c>
      <c r="V283" s="29">
        <f t="shared" si="563"/>
        <v>5.0000000000000001E-4</v>
      </c>
      <c r="W283" s="23">
        <f>VLOOKUP($D283,Uncertainties!$B$35:$D$41,2,FALSE)</f>
        <v>-1.0000000000000009E-3</v>
      </c>
      <c r="X283" s="23"/>
      <c r="Y283" s="24">
        <f t="shared" si="564"/>
        <v>-3.8462225557270424E-5</v>
      </c>
      <c r="Z283" s="23">
        <f t="shared" si="565"/>
        <v>1.8975574166900051E-2</v>
      </c>
      <c r="AA283" s="25">
        <f t="shared" si="566"/>
        <v>5.7654320347880335</v>
      </c>
      <c r="AB283" s="26">
        <f t="shared" si="567"/>
        <v>2.4467636184012562</v>
      </c>
      <c r="AC283" s="14"/>
      <c r="AD283" s="635">
        <f>VLOOKUP(B283,TwoStageCT!A$10:H$72,7,FALSE)/10000</f>
        <v>1.6017059195029239E-6</v>
      </c>
      <c r="AE283" s="366">
        <f>IF(ABS(VLOOKUP($A283,'5 A data'!$A$5:$U$1148,6,FALSE))&lt;4.5,IF(ABS(VLOOKUP($A283,'5 A data'!$A$5:$U$1148,6,FALSE))&lt;1.25,0.0008,0.002),0.004)*VLOOKUP($A283,'5 A data'!$A$5:$U$1148,7,FALSE)*25*RADIANS(1/60)*100</f>
        <v>5.8177641733144318E-3</v>
      </c>
      <c r="AF283" s="23">
        <f t="shared" si="582"/>
        <v>2.3271056693257731E-2</v>
      </c>
      <c r="AG283" s="29">
        <f t="shared" si="568"/>
        <v>6.4071618826001559E-4</v>
      </c>
      <c r="AH283" s="4">
        <f t="shared" si="583"/>
        <v>2.2471114119426993E-2</v>
      </c>
      <c r="AI283" s="4">
        <f t="shared" si="569"/>
        <v>2.5628647530400624E-3</v>
      </c>
      <c r="AJ283" s="4">
        <f t="shared" si="570"/>
        <v>5.0000000000000001E-4</v>
      </c>
      <c r="AK283" s="21">
        <f>VLOOKUP($D283,Uncertainties!$B$35:$D$41,3,FALSE)</f>
        <v>-2.908882086657183E-3</v>
      </c>
      <c r="AL283" s="21"/>
      <c r="AM283" s="369">
        <f>SQRT((VLOOKUP($A283,'5 A data'!$A$5:$U$1148,7,FALSE)*mutual_ind)^2+(aux_CT_phase*J283)^2)</f>
        <v>3.4068854626562901E-3</v>
      </c>
      <c r="AN283" s="29">
        <f t="shared" si="571"/>
        <v>3.3281176188002984E-2</v>
      </c>
      <c r="AO283" s="14">
        <f t="shared" si="572"/>
        <v>11.161470353949793</v>
      </c>
      <c r="AP283" s="27">
        <f t="shared" si="573"/>
        <v>2.1878443090257851</v>
      </c>
      <c r="AS283" s="27">
        <f>VLOOKUP($B283,TwoStageCT!$A$10:$H$72,5,FALSE)</f>
        <v>42.291164682130272</v>
      </c>
      <c r="AT283" s="27">
        <f>VLOOKUP($B283,TwoStageCT!$A$10:$H$72,8,FALSE)</f>
        <v>48.978667479860043</v>
      </c>
    </row>
    <row r="284" spans="1:46" x14ac:dyDescent="0.2">
      <c r="A284" s="409">
        <v>392</v>
      </c>
      <c r="B284" s="5" t="str">
        <f>B277&amp;D284</f>
        <v>120/200100</v>
      </c>
      <c r="C284" s="19">
        <f>VLOOKUP($A284,'5 A data'!$A$5:$U$650,3,FALSE)</f>
        <v>0.21600059637204713</v>
      </c>
      <c r="D284" s="164">
        <f>ROUND(VLOOKUP($A284,'5 A data'!$A$5:$U$650,9,FALSE)/10,0)*10</f>
        <v>100</v>
      </c>
      <c r="E284" s="23">
        <f t="shared" si="574"/>
        <v>0.99936709902044762</v>
      </c>
      <c r="F284" s="23">
        <f t="shared" si="575"/>
        <v>1.0011822386327505</v>
      </c>
      <c r="G284" s="486">
        <f>VLOOKUP(B284,TwoStageCT!A$10:H$72,3,FALSE)/10000</f>
        <v>1.6881396356939836E-5</v>
      </c>
      <c r="H284" s="486">
        <f>VLOOKUP(B284,TwoStageCT!A$10:H$72,6,FALSE)/10000</f>
        <v>7.3590724152435355E-6</v>
      </c>
      <c r="I284" s="19">
        <f>VLOOKUP($A284,'5 A data'!$A$5:$U$650,10,FALSE)</f>
        <v>-0.47599999999999998</v>
      </c>
      <c r="J284" s="32">
        <f>VLOOKUP($A284,'5 A data'!$A$5:$U$650,11,FALSE)</f>
        <v>0.52359877559829882</v>
      </c>
      <c r="K284" s="22">
        <f t="shared" si="576"/>
        <v>-0.35499999999999998</v>
      </c>
      <c r="L284" s="22">
        <f t="shared" si="577"/>
        <v>0.34906585039886584</v>
      </c>
      <c r="M284" s="22">
        <f t="shared" si="578"/>
        <v>-0.47568185773737615</v>
      </c>
      <c r="N284" s="22">
        <f t="shared" si="579"/>
        <v>0.52422515337128717</v>
      </c>
      <c r="O284" s="20"/>
      <c r="P284" s="634">
        <f>VLOOKUP(B284,TwoStageCT!A$10:H$72,4,FALSE)/10000</f>
        <v>2.4131313466023584E-6</v>
      </c>
      <c r="Q284" s="58">
        <f>VLOOKUP($A284,'5 A data'!$A$5:$U$650,7,FALSE)*slidewire_res</f>
        <v>2E-3</v>
      </c>
      <c r="R284" s="347">
        <f t="shared" si="562"/>
        <v>-2.7999999999999917E-3</v>
      </c>
      <c r="S284" s="4">
        <v>0</v>
      </c>
      <c r="T284" s="21">
        <f t="shared" si="580"/>
        <v>-1.7749999999999998E-2</v>
      </c>
      <c r="U284" s="29">
        <f t="shared" si="581"/>
        <v>-1.9027274309495047E-3</v>
      </c>
      <c r="V284" s="29">
        <f t="shared" si="563"/>
        <v>5.0000000000000001E-4</v>
      </c>
      <c r="W284" s="23">
        <f>VLOOKUP($D284,Uncertainties!$B$35:$D$41,2,FALSE)</f>
        <v>1.999999999999974E-3</v>
      </c>
      <c r="X284" s="23"/>
      <c r="Y284" s="24">
        <f t="shared" si="564"/>
        <v>-3.6911329365445006E-5</v>
      </c>
      <c r="Z284" s="23">
        <f t="shared" si="565"/>
        <v>1.8296836883623515E-2</v>
      </c>
      <c r="AA284" s="25">
        <f t="shared" si="566"/>
        <v>5.6397039407823231</v>
      </c>
      <c r="AB284" s="26">
        <f t="shared" si="567"/>
        <v>2.4601950878970582</v>
      </c>
      <c r="AC284" s="14"/>
      <c r="AD284" s="635">
        <f>VLOOKUP(B284,TwoStageCT!A$10:H$72,7,FALSE)/10000</f>
        <v>1.6933288916776063E-6</v>
      </c>
      <c r="AE284" s="366">
        <f>IF(ABS(VLOOKUP($A284,'5 A data'!$A$5:$U$1148,6,FALSE))&lt;4.5,IF(ABS(VLOOKUP($A284,'5 A data'!$A$5:$U$1148,6,FALSE))&lt;1.25,0.0008,0.002),0.004)*VLOOKUP($A284,'5 A data'!$A$5:$U$1148,7,FALSE)*25*RADIANS(1/60)*100</f>
        <v>5.8177641733144318E-3</v>
      </c>
      <c r="AF284" s="23">
        <f t="shared" si="582"/>
        <v>8.144869842640191E-3</v>
      </c>
      <c r="AG284" s="29">
        <f t="shared" si="568"/>
        <v>5.2422515337128715E-4</v>
      </c>
      <c r="AH284" s="4">
        <f t="shared" si="583"/>
        <v>1.7453292519943292E-2</v>
      </c>
      <c r="AI284" s="4">
        <f t="shared" si="569"/>
        <v>2.0969006134851486E-3</v>
      </c>
      <c r="AJ284" s="4">
        <f t="shared" si="570"/>
        <v>5.0000000000000001E-4</v>
      </c>
      <c r="AK284" s="21">
        <f>VLOOKUP($D284,Uncertainties!$B$35:$D$41,3,FALSE)</f>
        <v>-2.9088820866572385E-3</v>
      </c>
      <c r="AL284" s="21"/>
      <c r="AM284" s="369">
        <f>SQRT((VLOOKUP($A284,'5 A data'!$A$5:$U$1148,7,FALSE)*mutual_ind)^2+(aux_CT_phase*J284)^2)</f>
        <v>3.4047600416676756E-3</v>
      </c>
      <c r="AN284" s="29">
        <f t="shared" si="571"/>
        <v>2.0731099766138687E-2</v>
      </c>
      <c r="AO284" s="14">
        <f t="shared" si="572"/>
        <v>9.3741501476711075</v>
      </c>
      <c r="AP284" s="27">
        <f t="shared" si="573"/>
        <v>2.2361452757219369</v>
      </c>
      <c r="AS284" s="27">
        <f>VLOOKUP($B284,TwoStageCT!$A$10:$H$72,5,FALSE)</f>
        <v>59.567261398457461</v>
      </c>
      <c r="AT284" s="27">
        <f>VLOOKUP($B284,TwoStageCT!$A$10:$H$72,8,FALSE)</f>
        <v>45.732629829898706</v>
      </c>
    </row>
    <row r="285" spans="1:46" x14ac:dyDescent="0.2">
      <c r="A285" s="409">
        <v>393</v>
      </c>
      <c r="B285" s="5" t="str">
        <f>B277&amp;D285</f>
        <v>120/200120</v>
      </c>
      <c r="C285" s="19">
        <f>VLOOKUP($A285,'5 A data'!$A$5:$U$650,3,FALSE)</f>
        <v>0.21600059637204713</v>
      </c>
      <c r="D285" s="164">
        <f>ROUND(VLOOKUP($A285,'5 A data'!$A$5:$U$650,9,FALSE)/10,0)*10</f>
        <v>120</v>
      </c>
      <c r="E285" s="23">
        <f t="shared" si="574"/>
        <v>0.99936709902044762</v>
      </c>
      <c r="F285" s="23">
        <f t="shared" si="575"/>
        <v>1.0011822386327505</v>
      </c>
      <c r="G285" s="486">
        <f>VLOOKUP(B285,TwoStageCT!A$10:H$72,3,FALSE)/10000</f>
        <v>1.5213305302217845E-5</v>
      </c>
      <c r="H285" s="486">
        <f>VLOOKUP(B285,TwoStageCT!A$10:H$72,6,FALSE)/10000</f>
        <v>7.5885012454326174E-6</v>
      </c>
      <c r="I285" s="19">
        <f>VLOOKUP($A285,'5 A data'!$A$5:$U$650,10,FALSE)</f>
        <v>-0.46200000000000002</v>
      </c>
      <c r="J285" s="32">
        <f>VLOOKUP($A285,'5 A data'!$A$5:$U$650,11,FALSE)</f>
        <v>0.48287442638509787</v>
      </c>
      <c r="K285" s="22">
        <f t="shared" si="576"/>
        <v>-0.34300000000000003</v>
      </c>
      <c r="L285" s="22">
        <f t="shared" si="577"/>
        <v>0.31125038327232213</v>
      </c>
      <c r="M285" s="22">
        <f t="shared" si="578"/>
        <v>-0.46169238644214461</v>
      </c>
      <c r="N285" s="22">
        <f t="shared" si="579"/>
        <v>0.483452887687983</v>
      </c>
      <c r="O285" s="20"/>
      <c r="P285" s="634">
        <f>VLOOKUP(B285,TwoStageCT!A$10:H$72,4,FALSE)/10000</f>
        <v>2.2681305202526645E-6</v>
      </c>
      <c r="Q285" s="58">
        <f>VLOOKUP($A285,'5 A data'!$A$5:$U$650,7,FALSE)*slidewire_res</f>
        <v>2E-3</v>
      </c>
      <c r="R285" s="347">
        <f t="shared" si="562"/>
        <v>0</v>
      </c>
      <c r="S285" s="4">
        <v>0</v>
      </c>
      <c r="T285" s="21">
        <f t="shared" si="580"/>
        <v>-1.7150000000000002E-2</v>
      </c>
      <c r="U285" s="29">
        <f t="shared" si="581"/>
        <v>-1.8467695457685784E-3</v>
      </c>
      <c r="V285" s="29">
        <f t="shared" si="563"/>
        <v>5.0000000000000001E-4</v>
      </c>
      <c r="W285" s="23">
        <f>VLOOKUP($D285,Uncertainties!$B$35:$D$41,2,FALSE)</f>
        <v>-1.0000000000000009E-3</v>
      </c>
      <c r="X285" s="23"/>
      <c r="Y285" s="24">
        <f t="shared" si="564"/>
        <v>-3.5825702031167211E-5</v>
      </c>
      <c r="Z285" s="23">
        <f t="shared" si="565"/>
        <v>1.7400699594571491E-2</v>
      </c>
      <c r="AA285" s="25">
        <f t="shared" si="566"/>
        <v>5.2971140748775589</v>
      </c>
      <c r="AB285" s="26">
        <f t="shared" si="567"/>
        <v>2.5009267560257977</v>
      </c>
      <c r="AC285" s="14"/>
      <c r="AD285" s="635">
        <f>VLOOKUP(B285,TwoStageCT!A$10:H$72,7,FALSE)/10000</f>
        <v>1.7092397901526349E-6</v>
      </c>
      <c r="AE285" s="366">
        <f>IF(ABS(VLOOKUP($A285,'5 A data'!$A$5:$U$1148,6,FALSE))&lt;4.5,IF(ABS(VLOOKUP($A285,'5 A data'!$A$5:$U$1148,6,FALSE))&lt;1.25,0.0008,0.002),0.004)*VLOOKUP($A285,'5 A data'!$A$5:$U$1148,7,FALSE)*25*RADIANS(1/60)*100</f>
        <v>5.8177641733144318E-3</v>
      </c>
      <c r="AF285" s="23">
        <f t="shared" si="582"/>
        <v>0</v>
      </c>
      <c r="AG285" s="29">
        <f t="shared" si="568"/>
        <v>4.8345288768798301E-4</v>
      </c>
      <c r="AH285" s="4">
        <f t="shared" si="583"/>
        <v>1.5562519163616107E-2</v>
      </c>
      <c r="AI285" s="4">
        <f t="shared" si="569"/>
        <v>1.933811550751932E-3</v>
      </c>
      <c r="AJ285" s="4">
        <f t="shared" si="570"/>
        <v>5.0000000000000001E-4</v>
      </c>
      <c r="AK285" s="21">
        <f>VLOOKUP($D285,Uncertainties!$B$35:$D$41,3,FALSE)</f>
        <v>1.4544410433285915E-3</v>
      </c>
      <c r="AL285" s="21"/>
      <c r="AM285" s="369">
        <f>SQRT((VLOOKUP($A285,'5 A data'!$A$5:$U$1148,7,FALSE)*mutual_ind)^2+(aux_CT_phase*J285)^2)</f>
        <v>3.4041163087651571E-3</v>
      </c>
      <c r="AN285" s="29">
        <f t="shared" si="571"/>
        <v>1.7145411806552657E-2</v>
      </c>
      <c r="AO285" s="14">
        <f t="shared" si="572"/>
        <v>7.2069716562728576</v>
      </c>
      <c r="AP285" s="27">
        <f t="shared" si="573"/>
        <v>2.332604978505266</v>
      </c>
      <c r="AS285" s="27">
        <f>VLOOKUP($B285,TwoStageCT!$A$10:$H$72,5,FALSE)</f>
        <v>68.00069900375496</v>
      </c>
      <c r="AT285" s="27">
        <f>VLOOKUP($B285,TwoStageCT!$A$10:$H$72,8,FALSE)</f>
        <v>47.345132453902309</v>
      </c>
    </row>
    <row r="286" spans="1:46" x14ac:dyDescent="0.2">
      <c r="A286" s="409">
        <v>394</v>
      </c>
      <c r="B286" s="5"/>
      <c r="C286" s="19"/>
      <c r="D286" s="19"/>
      <c r="E286" s="23"/>
      <c r="F286" s="23"/>
      <c r="G286" s="347"/>
      <c r="H286" s="347"/>
      <c r="I286" s="19"/>
      <c r="J286" s="32"/>
      <c r="K286" s="31"/>
      <c r="L286" s="31"/>
      <c r="M286" s="638" t="s">
        <v>93</v>
      </c>
      <c r="N286" s="638"/>
      <c r="O286" s="20"/>
      <c r="P286" s="634"/>
      <c r="Q286" s="58"/>
      <c r="R286" s="347"/>
      <c r="S286" s="4"/>
      <c r="T286" s="4"/>
      <c r="U286" s="29"/>
      <c r="V286" s="29"/>
      <c r="W286" s="29"/>
      <c r="X286" s="29"/>
      <c r="Y286" s="24"/>
      <c r="Z286" s="29"/>
      <c r="AA286" s="25"/>
      <c r="AB286" s="26"/>
      <c r="AC286" s="14"/>
      <c r="AD286" s="635"/>
      <c r="AE286" s="35"/>
      <c r="AF286" s="28"/>
      <c r="AG286" s="29"/>
      <c r="AH286" s="4"/>
      <c r="AI286" s="4"/>
      <c r="AJ286" s="4"/>
      <c r="AK286" s="4"/>
      <c r="AL286" s="4"/>
      <c r="AM286" s="24"/>
      <c r="AN286" s="29"/>
      <c r="AO286" s="14"/>
      <c r="AP286" s="27"/>
    </row>
    <row r="287" spans="1:46" x14ac:dyDescent="0.2">
      <c r="A287" s="409">
        <v>395</v>
      </c>
      <c r="B287" s="5" t="str">
        <f>B277&amp;D287</f>
        <v>120/2005</v>
      </c>
      <c r="C287" s="19">
        <f>VLOOKUP($A287,'5 A data'!$A$5:$U$650,3,FALSE)</f>
        <v>2.1000057980615688E-2</v>
      </c>
      <c r="D287" s="19">
        <f>ROUND(VLOOKUP($A287,'5 A data'!$A$5:$U$650,9,FALSE),0)</f>
        <v>5</v>
      </c>
      <c r="E287" s="23">
        <f t="shared" si="574"/>
        <v>0.99936709902044762</v>
      </c>
      <c r="F287" s="23">
        <f t="shared" si="575"/>
        <v>1.0011822386327505</v>
      </c>
      <c r="G287" s="486">
        <f>VLOOKUP(B287,TwoStageCT!A$10:H$72,3,FALSE)/10000</f>
        <v>3.6805932694608759E-5</v>
      </c>
      <c r="H287" s="486">
        <f>VLOOKUP(B287,TwoStageCT!A$10:H$72,6,FALSE)/10000</f>
        <v>4.6965346060309593E-6</v>
      </c>
      <c r="I287" s="19">
        <f>VLOOKUP($A287,'5 A data'!$A$5:$U$650,10,FALSE)</f>
        <v>-0.224</v>
      </c>
      <c r="J287" s="32">
        <f>VLOOKUP($A287,'5 A data'!$A$5:$U$650,11,FALSE)</f>
        <v>0.39851684587203862</v>
      </c>
      <c r="K287" s="31"/>
      <c r="L287" s="31"/>
      <c r="M287" s="31">
        <f>I287*E287+G287</f>
        <v>-0.22382142424788565</v>
      </c>
      <c r="N287" s="31">
        <f>J287*F287+H287</f>
        <v>0.39899268441763647</v>
      </c>
      <c r="O287" s="20"/>
      <c r="P287" s="634">
        <f>VLOOKUP(B287,TwoStageCT!A$10:H$72,4,FALSE)/10000</f>
        <v>6.4429594675743464E-6</v>
      </c>
      <c r="Q287" s="58">
        <f>VLOOKUP($A287,'5 A data'!$A$5:$U$650,7,FALSE)*slidewire_res</f>
        <v>1E-3</v>
      </c>
      <c r="R287" s="347">
        <f t="shared" ref="R287:R293" si="584">current_coef*(I287-I288)*IF(I288=0,0,1)</f>
        <v>-8.2000000000000024E-3</v>
      </c>
      <c r="S287" s="4">
        <v>0</v>
      </c>
      <c r="T287" s="4">
        <f>BurdenUnc*K279</f>
        <v>-2.3199999999999998E-2</v>
      </c>
      <c r="U287" s="29">
        <f t="shared" ref="U287:U293" si="585">0.004*M287</f>
        <v>-8.9528569699154261E-4</v>
      </c>
      <c r="V287" s="29">
        <f t="shared" si="563"/>
        <v>5.0000000000000001E-4</v>
      </c>
      <c r="W287" s="23">
        <f>VLOOKUP($D287,Uncertainties!$B$35:$D$41,2,FALSE)</f>
        <v>5.0000000000000044E-3</v>
      </c>
      <c r="X287" s="23"/>
      <c r="Y287" s="24">
        <f t="shared" ref="Y287:Y293" si="586">I287*aux_CT_ratio</f>
        <v>-1.7370037348444708E-5</v>
      </c>
      <c r="Z287" s="23">
        <f t="shared" ref="Z287:Z293" si="587">SQRT(SUMSQ(P287:Y287))</f>
        <v>2.5150186474639943E-2</v>
      </c>
      <c r="AA287" s="25">
        <f t="shared" ref="AA287:AA293" si="588">DoF_A(P287:Y287,$P$7:$Y$7)</f>
        <v>6.7933827951619321</v>
      </c>
      <c r="AB287" s="26">
        <f t="shared" ref="AB287:AB293" si="589">CoverFactor(AA287)</f>
        <v>2.3593967371284044</v>
      </c>
      <c r="AC287" s="14"/>
      <c r="AD287" s="635">
        <f>VLOOKUP(B287,TwoStageCT!A$10:H$72,7,FALSE)/10000</f>
        <v>4.6788986298833412E-6</v>
      </c>
      <c r="AE287" s="366">
        <f>IF(ABS(VLOOKUP($A287,'5 A data'!$A$5:$U$1148,6,FALSE))&lt;4.5,IF(ABS(VLOOKUP($A287,'5 A data'!$A$5:$U$1148,6,FALSE))&lt;1.25,0.0008,0.002),0.004)*VLOOKUP($A287,'5 A data'!$A$5:$U$1148,7,FALSE)*25*RADIANS(1/60)*100</f>
        <v>2.9088820866572159E-3</v>
      </c>
      <c r="AF287" s="23">
        <f t="shared" ref="AF287:AF293" si="590">current_coef*(J287-J288)*IF(J288=0,0,1)</f>
        <v>2.0071286397934797E-2</v>
      </c>
      <c r="AG287" s="29">
        <f t="shared" ref="AG287:AG293" si="591">0.001*N287</f>
        <v>3.9899268441763647E-4</v>
      </c>
      <c r="AH287" s="4">
        <f>BurdenUnc*L279</f>
        <v>3.2434035266227949E-2</v>
      </c>
      <c r="AI287" s="4">
        <f t="shared" ref="AI287:AI293" si="592">0.004*N287</f>
        <v>1.5959707376705459E-3</v>
      </c>
      <c r="AJ287" s="4">
        <f t="shared" si="570"/>
        <v>5.0000000000000001E-4</v>
      </c>
      <c r="AK287" s="21">
        <f>VLOOKUP($D287,Uncertainties!$B$35:$D$41,3,FALSE)</f>
        <v>-1.1635528346628732E-2</v>
      </c>
      <c r="AL287" s="21"/>
      <c r="AM287" s="369">
        <f>SQRT((VLOOKUP($A287,'5 A data'!$A$5:$U$1148,7,FALSE)*mutual_ind)^2+(aux_CT_phase*J287)^2)</f>
        <v>1.7052130627972079E-3</v>
      </c>
      <c r="AN287" s="29">
        <f t="shared" ref="AN287:AN293" si="593">SQRT(SUMSQ(AD287:AM287))</f>
        <v>4.0056639742462957E-2</v>
      </c>
      <c r="AO287" s="14">
        <f t="shared" ref="AO287:AO293" si="594">DoF_A(AD287:AM287,$AD$7:$AM$7)</f>
        <v>10.08555493628155</v>
      </c>
      <c r="AP287" s="27">
        <f t="shared" ref="AP287:AP293" si="595">CoverFactor(AO287)</f>
        <v>2.2146268126743909</v>
      </c>
      <c r="AS287" s="27">
        <f>VLOOKUP($B287,TwoStageCT!$A$10:$H$72,5,FALSE)</f>
        <v>26.31606241070681</v>
      </c>
      <c r="AT287" s="27">
        <f>VLOOKUP($B287,TwoStageCT!$A$10:$H$72,8,FALSE)</f>
        <v>9.9413455012810044</v>
      </c>
    </row>
    <row r="288" spans="1:46" x14ac:dyDescent="0.2">
      <c r="A288" s="409">
        <v>396</v>
      </c>
      <c r="B288" s="5" t="str">
        <f>B277&amp;D288</f>
        <v>120/20010</v>
      </c>
      <c r="C288" s="19">
        <f>VLOOKUP($A288,'5 A data'!$A$5:$U$650,3,FALSE)</f>
        <v>2.1000057980615688E-2</v>
      </c>
      <c r="D288" s="163">
        <f>ROUND(VLOOKUP($A288,'5 A data'!$A$5:$U$650,9,FALSE)/10,0)*10</f>
        <v>10</v>
      </c>
      <c r="E288" s="23">
        <f t="shared" si="574"/>
        <v>0.99936709902044762</v>
      </c>
      <c r="F288" s="23">
        <f t="shared" si="575"/>
        <v>1.0011822386327505</v>
      </c>
      <c r="G288" s="486">
        <f>VLOOKUP(B288,TwoStageCT!A$10:H$72,3,FALSE)/10000</f>
        <v>3.4690340839935311E-5</v>
      </c>
      <c r="H288" s="486">
        <f>VLOOKUP(B288,TwoStageCT!A$10:H$72,6,FALSE)/10000</f>
        <v>2.6036797087866982E-6</v>
      </c>
      <c r="I288" s="19">
        <f>VLOOKUP($A288,'5 A data'!$A$5:$U$650,10,FALSE)</f>
        <v>-0.183</v>
      </c>
      <c r="J288" s="32">
        <f>VLOOKUP($A288,'5 A data'!$A$5:$U$650,11,FALSE)</f>
        <v>0.29816041388236464</v>
      </c>
      <c r="K288" s="31"/>
      <c r="L288" s="31"/>
      <c r="M288" s="31">
        <f t="shared" ref="M288:M293" si="596">I288*E288+G288</f>
        <v>-0.18284948877990198</v>
      </c>
      <c r="N288" s="31">
        <f t="shared" ref="N288:N293" si="597">J288*F288+H288</f>
        <v>0.29851551432212203</v>
      </c>
      <c r="O288" s="20"/>
      <c r="P288" s="634">
        <f>VLOOKUP(B288,TwoStageCT!A$10:H$72,4,FALSE)/10000</f>
        <v>5.0170517941146892E-6</v>
      </c>
      <c r="Q288" s="58">
        <f>VLOOKUP($A288,'5 A data'!$A$5:$U$650,7,FALSE)*slidewire_res</f>
        <v>1E-3</v>
      </c>
      <c r="R288" s="347">
        <f t="shared" si="584"/>
        <v>-5.3999999999999994E-3</v>
      </c>
      <c r="S288" s="4">
        <v>0</v>
      </c>
      <c r="T288" s="4">
        <f t="shared" ref="T288:T293" si="598">BurdenUnc*K280</f>
        <v>-2.155E-2</v>
      </c>
      <c r="U288" s="29">
        <f t="shared" si="585"/>
        <v>-7.3139795511960792E-4</v>
      </c>
      <c r="V288" s="29">
        <f t="shared" si="563"/>
        <v>5.0000000000000001E-4</v>
      </c>
      <c r="W288" s="23">
        <f>VLOOKUP($D288,Uncertainties!$B$35:$D$41,2,FALSE)</f>
        <v>2.5000000000000022E-3</v>
      </c>
      <c r="X288" s="23"/>
      <c r="Y288" s="24">
        <f t="shared" si="586"/>
        <v>-1.4190700155202595E-5</v>
      </c>
      <c r="Z288" s="23">
        <f t="shared" si="587"/>
        <v>2.2396376258572118E-2</v>
      </c>
      <c r="AA288" s="25">
        <f t="shared" si="588"/>
        <v>5.8096368533910221</v>
      </c>
      <c r="AB288" s="26">
        <f t="shared" si="589"/>
        <v>2.4422134861922968</v>
      </c>
      <c r="AC288" s="14"/>
      <c r="AD288" s="635">
        <f>VLOOKUP(B288,TwoStageCT!A$10:H$72,7,FALSE)/10000</f>
        <v>2.600738521505678E-6</v>
      </c>
      <c r="AE288" s="366">
        <f>IF(ABS(VLOOKUP($A288,'5 A data'!$A$5:$U$1148,6,FALSE))&lt;4.5,IF(ABS(VLOOKUP($A288,'5 A data'!$A$5:$U$1148,6,FALSE))&lt;1.25,0.0008,0.002),0.004)*VLOOKUP($A288,'5 A data'!$A$5:$U$1148,7,FALSE)*25*RADIANS(1/60)*100</f>
        <v>2.9088820866572159E-3</v>
      </c>
      <c r="AF288" s="23">
        <f t="shared" si="590"/>
        <v>1.163552834662886E-2</v>
      </c>
      <c r="AG288" s="29">
        <f t="shared" si="591"/>
        <v>2.9851551432212207E-4</v>
      </c>
      <c r="AH288" s="4">
        <f t="shared" ref="AH288:AH293" si="599">BurdenUnc*L280</f>
        <v>3.0470539857734336E-2</v>
      </c>
      <c r="AI288" s="4">
        <f t="shared" si="592"/>
        <v>1.1940620572884883E-3</v>
      </c>
      <c r="AJ288" s="4">
        <f t="shared" si="570"/>
        <v>5.0000000000000001E-4</v>
      </c>
      <c r="AK288" s="21">
        <f>VLOOKUP($D288,Uncertainties!$B$35:$D$41,3,FALSE)</f>
        <v>4.363323129985941E-3</v>
      </c>
      <c r="AL288" s="21"/>
      <c r="AM288" s="369">
        <f>SQRT((VLOOKUP($A288,'5 A data'!$A$5:$U$1148,7,FALSE)*mutual_ind)^2+(aux_CT_phase*J288)^2)</f>
        <v>1.7030193870888834E-3</v>
      </c>
      <c r="AN288" s="29">
        <f t="shared" si="593"/>
        <v>3.3105961402190312E-2</v>
      </c>
      <c r="AO288" s="14">
        <f t="shared" si="594"/>
        <v>6.8206321062559097</v>
      </c>
      <c r="AP288" s="27">
        <f t="shared" si="595"/>
        <v>2.357511502008439</v>
      </c>
      <c r="AS288" s="27">
        <f>VLOOKUP($B288,TwoStageCT!$A$10:$H$72,5,FALSE)</f>
        <v>38.265350164989712</v>
      </c>
      <c r="AT288" s="27">
        <f>VLOOKUP($B288,TwoStageCT!$A$10:$H$72,8,FALSE)</f>
        <v>16.586629386739094</v>
      </c>
    </row>
    <row r="289" spans="1:46" x14ac:dyDescent="0.2">
      <c r="A289" s="409">
        <v>397</v>
      </c>
      <c r="B289" s="5" t="str">
        <f>B277&amp;D289</f>
        <v>120/20020</v>
      </c>
      <c r="C289" s="19">
        <f>VLOOKUP($A289,'5 A data'!$A$5:$U$650,3,FALSE)</f>
        <v>2.1000057980615688E-2</v>
      </c>
      <c r="D289" s="163">
        <f>ROUND(VLOOKUP($A289,'5 A data'!$A$5:$U$650,9,FALSE)/10,0)*10</f>
        <v>20</v>
      </c>
      <c r="E289" s="23">
        <f t="shared" si="574"/>
        <v>0.99936709902044762</v>
      </c>
      <c r="F289" s="23">
        <f t="shared" si="575"/>
        <v>1.0011822386327505</v>
      </c>
      <c r="G289" s="486">
        <f>VLOOKUP(B289,TwoStageCT!A$10:H$72,3,FALSE)/10000</f>
        <v>3.1280516301103777E-5</v>
      </c>
      <c r="H289" s="486">
        <f>VLOOKUP(B289,TwoStageCT!A$10:H$72,6,FALSE)/10000</f>
        <v>4.5493238991726806E-6</v>
      </c>
      <c r="I289" s="19">
        <f>VLOOKUP($A289,'5 A data'!$A$5:$U$650,10,FALSE)</f>
        <v>-0.156</v>
      </c>
      <c r="J289" s="32">
        <f>VLOOKUP($A289,'5 A data'!$A$5:$U$650,11,FALSE)</f>
        <v>0.23998277214922034</v>
      </c>
      <c r="K289" s="31"/>
      <c r="L289" s="31"/>
      <c r="M289" s="31">
        <f t="shared" si="596"/>
        <v>-0.15586998693088872</v>
      </c>
      <c r="N289" s="31">
        <f t="shared" si="597"/>
        <v>0.24027103837754887</v>
      </c>
      <c r="O289" s="20"/>
      <c r="P289" s="634">
        <f>VLOOKUP(B289,TwoStageCT!A$10:H$72,4,FALSE)/10000</f>
        <v>4.17832023036102E-6</v>
      </c>
      <c r="Q289" s="58">
        <f>VLOOKUP($A289,'5 A data'!$A$5:$U$650,7,FALSE)*slidewire_res</f>
        <v>1E-3</v>
      </c>
      <c r="R289" s="347">
        <f t="shared" si="584"/>
        <v>-3.5999999999999977E-3</v>
      </c>
      <c r="S289" s="4">
        <v>0</v>
      </c>
      <c r="T289" s="4">
        <f t="shared" si="598"/>
        <v>-2.0100000000000003E-2</v>
      </c>
      <c r="U289" s="29">
        <f t="shared" si="585"/>
        <v>-6.2347994772355482E-4</v>
      </c>
      <c r="V289" s="29">
        <f t="shared" si="563"/>
        <v>5.0000000000000001E-4</v>
      </c>
      <c r="W289" s="23">
        <f>VLOOKUP($D289,Uncertainties!$B$35:$D$41,2,FALSE)</f>
        <v>-1.0000000000000009E-3</v>
      </c>
      <c r="X289" s="23"/>
      <c r="Y289" s="24">
        <f t="shared" si="586"/>
        <v>-1.209699029623828E-5</v>
      </c>
      <c r="Z289" s="23">
        <f t="shared" si="587"/>
        <v>2.0484357227912902E-2</v>
      </c>
      <c r="AA289" s="25">
        <f t="shared" si="588"/>
        <v>5.387957724171903</v>
      </c>
      <c r="AB289" s="26">
        <f t="shared" si="589"/>
        <v>2.4894845708344819</v>
      </c>
      <c r="AC289" s="14"/>
      <c r="AD289" s="635">
        <f>VLOOKUP(B289,TwoStageCT!A$10:H$72,7,FALSE)/10000</f>
        <v>1.9770475075939077E-6</v>
      </c>
      <c r="AE289" s="366">
        <f>IF(ABS(VLOOKUP($A289,'5 A data'!$A$5:$U$1148,6,FALSE))&lt;4.5,IF(ABS(VLOOKUP($A289,'5 A data'!$A$5:$U$1148,6,FALSE))&lt;1.25,0.0008,0.002),0.004)*VLOOKUP($A289,'5 A data'!$A$5:$U$1148,7,FALSE)*25*RADIANS(1/60)*100</f>
        <v>2.9088820866572159E-3</v>
      </c>
      <c r="AF289" s="23">
        <f t="shared" si="590"/>
        <v>6.9813170079773279E-3</v>
      </c>
      <c r="AG289" s="29">
        <f t="shared" si="591"/>
        <v>2.4027103837754888E-4</v>
      </c>
      <c r="AH289" s="4">
        <f t="shared" si="599"/>
        <v>2.7561657771077122E-2</v>
      </c>
      <c r="AI289" s="4">
        <f t="shared" si="592"/>
        <v>9.6108415351019551E-4</v>
      </c>
      <c r="AJ289" s="4">
        <f t="shared" si="570"/>
        <v>5.0000000000000001E-4</v>
      </c>
      <c r="AK289" s="21">
        <f>VLOOKUP($D289,Uncertainties!$B$35:$D$41,3,FALSE)</f>
        <v>-1.454441043328647E-3</v>
      </c>
      <c r="AL289" s="21"/>
      <c r="AM289" s="369">
        <f>SQRT((VLOOKUP($A289,'5 A data'!$A$5:$U$1148,7,FALSE)*mutual_ind)^2+(aux_CT_phase*J289)^2)</f>
        <v>1.7020361583963656E-3</v>
      </c>
      <c r="AN289" s="29">
        <f t="shared" si="593"/>
        <v>2.8689529517119314E-2</v>
      </c>
      <c r="AO289" s="14">
        <f t="shared" si="594"/>
        <v>5.8451583682641672</v>
      </c>
      <c r="AP289" s="27">
        <f t="shared" si="595"/>
        <v>2.4386192483457672</v>
      </c>
      <c r="AS289" s="27">
        <f>VLOOKUP($B289,TwoStageCT!$A$10:$H$72,5,FALSE)</f>
        <v>36.657700403051521</v>
      </c>
      <c r="AT289" s="27">
        <f>VLOOKUP($B289,TwoStageCT!$A$10:$H$72,8,FALSE)</f>
        <v>53.09445811850042</v>
      </c>
    </row>
    <row r="290" spans="1:46" x14ac:dyDescent="0.2">
      <c r="A290" s="409">
        <v>398</v>
      </c>
      <c r="B290" s="5" t="str">
        <f>B277&amp;D290</f>
        <v>120/20040</v>
      </c>
      <c r="C290" s="19">
        <f>VLOOKUP($A290,'5 A data'!$A$5:$U$650,3,FALSE)</f>
        <v>2.1000057980615688E-2</v>
      </c>
      <c r="D290" s="163">
        <f>ROUND(VLOOKUP($A290,'5 A data'!$A$5:$U$650,9,FALSE)/10,0)*10</f>
        <v>40</v>
      </c>
      <c r="E290" s="23">
        <f t="shared" si="574"/>
        <v>0.99936709902044762</v>
      </c>
      <c r="F290" s="23">
        <f t="shared" si="575"/>
        <v>1.0011822386327505</v>
      </c>
      <c r="G290" s="486">
        <f>VLOOKUP(B290,TwoStageCT!A$10:H$72,3,FALSE)/10000</f>
        <v>2.5200167333853628E-5</v>
      </c>
      <c r="H290" s="486">
        <f>VLOOKUP(B290,TwoStageCT!A$10:H$72,6,FALSE)/10000</f>
        <v>5.7416420558101514E-6</v>
      </c>
      <c r="I290" s="19">
        <f>VLOOKUP($A290,'5 A data'!$A$5:$U$650,10,FALSE)</f>
        <v>-0.13800000000000001</v>
      </c>
      <c r="J290" s="32">
        <f>VLOOKUP($A290,'5 A data'!$A$5:$U$650,11,FALSE)</f>
        <v>0.2050761871093337</v>
      </c>
      <c r="K290" s="31"/>
      <c r="L290" s="31"/>
      <c r="M290" s="31">
        <f t="shared" si="596"/>
        <v>-0.13788745949748793</v>
      </c>
      <c r="N290" s="31">
        <f t="shared" si="597"/>
        <v>0.20532437774244733</v>
      </c>
      <c r="O290" s="20"/>
      <c r="P290" s="634">
        <f>VLOOKUP(B290,TwoStageCT!A$10:H$72,4,FALSE)/10000</f>
        <v>3.3964590328801363E-6</v>
      </c>
      <c r="Q290" s="58">
        <f>VLOOKUP($A290,'5 A data'!$A$5:$U$650,7,FALSE)*slidewire_res</f>
        <v>1E-3</v>
      </c>
      <c r="R290" s="347">
        <f t="shared" si="584"/>
        <v>-1.6000000000000016E-3</v>
      </c>
      <c r="S290" s="4">
        <v>0</v>
      </c>
      <c r="T290" s="4">
        <f t="shared" si="598"/>
        <v>-1.8499999999999999E-2</v>
      </c>
      <c r="U290" s="29">
        <f t="shared" si="585"/>
        <v>-5.5154983798995176E-4</v>
      </c>
      <c r="V290" s="29">
        <f t="shared" si="563"/>
        <v>5.0000000000000001E-4</v>
      </c>
      <c r="W290" s="23">
        <f>VLOOKUP($D290,Uncertainties!$B$35:$D$41,2,FALSE)</f>
        <v>-1.0000000000000009E-3</v>
      </c>
      <c r="X290" s="23"/>
      <c r="Y290" s="24">
        <f t="shared" si="586"/>
        <v>-1.0701183723595402E-5</v>
      </c>
      <c r="Z290" s="23">
        <f t="shared" si="587"/>
        <v>1.8637712662101371E-2</v>
      </c>
      <c r="AA290" s="25">
        <f t="shared" si="588"/>
        <v>5.1501926597713323</v>
      </c>
      <c r="AB290" s="26">
        <f t="shared" si="589"/>
        <v>2.5205314740171678</v>
      </c>
      <c r="AC290" s="14"/>
      <c r="AD290" s="635">
        <f>VLOOKUP(B290,TwoStageCT!A$10:H$72,7,FALSE)/10000</f>
        <v>1.6849048737447556E-6</v>
      </c>
      <c r="AE290" s="366">
        <f>IF(ABS(VLOOKUP($A290,'5 A data'!$A$5:$U$1148,6,FALSE))&lt;4.5,IF(ABS(VLOOKUP($A290,'5 A data'!$A$5:$U$1148,6,FALSE))&lt;1.25,0.0008,0.002),0.004)*VLOOKUP($A290,'5 A data'!$A$5:$U$1148,7,FALSE)*25*RADIANS(1/60)*100</f>
        <v>2.9088820866572159E-3</v>
      </c>
      <c r="AF290" s="23">
        <f t="shared" si="590"/>
        <v>2.9088820866572107E-3</v>
      </c>
      <c r="AG290" s="29">
        <f t="shared" si="591"/>
        <v>2.0532437774244732E-4</v>
      </c>
      <c r="AH290" s="4">
        <f t="shared" si="599"/>
        <v>2.5234552101751347E-2</v>
      </c>
      <c r="AI290" s="4">
        <f t="shared" si="592"/>
        <v>8.2129751096978929E-4</v>
      </c>
      <c r="AJ290" s="4">
        <f t="shared" si="570"/>
        <v>5.0000000000000001E-4</v>
      </c>
      <c r="AK290" s="21">
        <f>VLOOKUP($D290,Uncertainties!$B$35:$D$41,3,FALSE)</f>
        <v>-2.908882086657183E-3</v>
      </c>
      <c r="AL290" s="21"/>
      <c r="AM290" s="369">
        <f>SQRT((VLOOKUP($A290,'5 A data'!$A$5:$U$1148,7,FALSE)*mutual_ind)^2+(aux_CT_phase*J290)^2)</f>
        <v>1.7015480534634398E-3</v>
      </c>
      <c r="AN290" s="29">
        <f t="shared" si="593"/>
        <v>2.5807544654170397E-2</v>
      </c>
      <c r="AO290" s="14">
        <f t="shared" si="594"/>
        <v>5.4673996195149641</v>
      </c>
      <c r="AP290" s="27">
        <f t="shared" si="595"/>
        <v>2.4798730372715028</v>
      </c>
      <c r="AS290" s="27">
        <f>VLOOKUP($B290,TwoStageCT!$A$10:$H$72,5,FALSE)</f>
        <v>38.659909732018328</v>
      </c>
      <c r="AT290" s="27">
        <f>VLOOKUP($B290,TwoStageCT!$A$10:$H$72,8,FALSE)</f>
        <v>52.499330597885681</v>
      </c>
    </row>
    <row r="291" spans="1:46" x14ac:dyDescent="0.2">
      <c r="A291" s="409">
        <v>399</v>
      </c>
      <c r="B291" s="5" t="str">
        <f>B277&amp;D291</f>
        <v>120/20060</v>
      </c>
      <c r="C291" s="19">
        <f>VLOOKUP($A291,'5 A data'!$A$5:$U$650,3,FALSE)</f>
        <v>2.1000057980615688E-2</v>
      </c>
      <c r="D291" s="163">
        <f>ROUND(VLOOKUP($A291,'5 A data'!$A$5:$U$650,9,FALSE)/10,0)*10</f>
        <v>60</v>
      </c>
      <c r="E291" s="23">
        <f t="shared" si="574"/>
        <v>0.99936709902044762</v>
      </c>
      <c r="F291" s="23">
        <f t="shared" si="575"/>
        <v>1.0011822386327505</v>
      </c>
      <c r="G291" s="486">
        <f>VLOOKUP(B291,TwoStageCT!A$10:H$72,3,FALSE)/10000</f>
        <v>2.195627602528684E-5</v>
      </c>
      <c r="H291" s="486">
        <f>VLOOKUP(B291,TwoStageCT!A$10:H$72,6,FALSE)/10000</f>
        <v>5.5507836163637805E-6</v>
      </c>
      <c r="I291" s="19">
        <f>VLOOKUP($A291,'5 A data'!$A$5:$U$650,10,FALSE)</f>
        <v>-0.13</v>
      </c>
      <c r="J291" s="32">
        <f>VLOOKUP($A291,'5 A data'!$A$5:$U$650,11,FALSE)</f>
        <v>0.19053177667604765</v>
      </c>
      <c r="K291" s="31"/>
      <c r="L291" s="31"/>
      <c r="M291" s="31">
        <f t="shared" si="596"/>
        <v>-0.12989576659663293</v>
      </c>
      <c r="N291" s="31">
        <f t="shared" si="597"/>
        <v>0.19076258148681702</v>
      </c>
      <c r="O291" s="20"/>
      <c r="P291" s="634">
        <f>VLOOKUP(B291,TwoStageCT!A$10:H$72,4,FALSE)/10000</f>
        <v>2.9709098248278708E-6</v>
      </c>
      <c r="Q291" s="58">
        <f>VLOOKUP($A291,'5 A data'!$A$5:$U$650,7,FALSE)*slidewire_res</f>
        <v>1E-3</v>
      </c>
      <c r="R291" s="347">
        <f t="shared" si="584"/>
        <v>-1.8000000000000017E-3</v>
      </c>
      <c r="S291" s="4">
        <v>0</v>
      </c>
      <c r="T291" s="4">
        <f t="shared" si="598"/>
        <v>-1.83E-2</v>
      </c>
      <c r="U291" s="29">
        <f t="shared" si="585"/>
        <v>-5.1958306638653169E-4</v>
      </c>
      <c r="V291" s="29">
        <f t="shared" si="563"/>
        <v>5.0000000000000001E-4</v>
      </c>
      <c r="W291" s="23">
        <f>VLOOKUP($D291,Uncertainties!$B$35:$D$41,2,FALSE)</f>
        <v>-1.0000000000000009E-3</v>
      </c>
      <c r="X291" s="23"/>
      <c r="Y291" s="24">
        <f t="shared" si="586"/>
        <v>-1.0080825246865232E-5</v>
      </c>
      <c r="Z291" s="23">
        <f t="shared" si="587"/>
        <v>1.8456708184619992E-2</v>
      </c>
      <c r="AA291" s="25">
        <f t="shared" si="588"/>
        <v>5.1729232434910282</v>
      </c>
      <c r="AB291" s="26">
        <f t="shared" si="589"/>
        <v>2.5174048221417205</v>
      </c>
      <c r="AC291" s="14"/>
      <c r="AD291" s="635">
        <f>VLOOKUP(B291,TwoStageCT!A$10:H$72,7,FALSE)/10000</f>
        <v>1.6017059195029239E-6</v>
      </c>
      <c r="AE291" s="366">
        <f>IF(ABS(VLOOKUP($A291,'5 A data'!$A$5:$U$1148,6,FALSE))&lt;4.5,IF(ABS(VLOOKUP($A291,'5 A data'!$A$5:$U$1148,6,FALSE))&lt;1.25,0.0008,0.002),0.004)*VLOOKUP($A291,'5 A data'!$A$5:$U$1148,7,FALSE)*25*RADIANS(1/60)*100</f>
        <v>2.9088820866572159E-3</v>
      </c>
      <c r="AF291" s="23">
        <f t="shared" si="590"/>
        <v>3.1997702953229404E-3</v>
      </c>
      <c r="AG291" s="29">
        <f t="shared" si="591"/>
        <v>1.9076258148681703E-4</v>
      </c>
      <c r="AH291" s="4">
        <f t="shared" si="599"/>
        <v>2.2471114119426993E-2</v>
      </c>
      <c r="AI291" s="4">
        <f t="shared" si="592"/>
        <v>7.6305032594726813E-4</v>
      </c>
      <c r="AJ291" s="4">
        <f t="shared" si="570"/>
        <v>5.0000000000000001E-4</v>
      </c>
      <c r="AK291" s="21">
        <f>VLOOKUP($D291,Uncertainties!$B$35:$D$41,3,FALSE)</f>
        <v>-2.908882086657183E-3</v>
      </c>
      <c r="AL291" s="21"/>
      <c r="AM291" s="369">
        <f>SQRT((VLOOKUP($A291,'5 A data'!$A$5:$U$1148,7,FALSE)*mutual_ind)^2+(aux_CT_phase*J291)^2)</f>
        <v>1.7013672383223266E-3</v>
      </c>
      <c r="AN291" s="29">
        <f t="shared" si="593"/>
        <v>2.3148995202963228E-2</v>
      </c>
      <c r="AO291" s="14">
        <f t="shared" si="594"/>
        <v>5.6264708567406743</v>
      </c>
      <c r="AP291" s="27">
        <f t="shared" si="595"/>
        <v>2.4616526616486718</v>
      </c>
      <c r="AS291" s="27">
        <f>VLOOKUP($B291,TwoStageCT!$A$10:$H$72,5,FALSE)</f>
        <v>42.291164682130272</v>
      </c>
      <c r="AT291" s="27">
        <f>VLOOKUP($B291,TwoStageCT!$A$10:$H$72,8,FALSE)</f>
        <v>48.978667479860043</v>
      </c>
    </row>
    <row r="292" spans="1:46" x14ac:dyDescent="0.2">
      <c r="A292" s="409">
        <v>400</v>
      </c>
      <c r="B292" s="5" t="str">
        <f>B277&amp;D292</f>
        <v>120/200100</v>
      </c>
      <c r="C292" s="19">
        <f>VLOOKUP($A292,'5 A data'!$A$5:$U$650,3,FALSE)</f>
        <v>2.1000057980615688E-2</v>
      </c>
      <c r="D292" s="164">
        <f>ROUND(VLOOKUP($A292,'5 A data'!$A$5:$U$650,9,FALSE)/10,0)*10</f>
        <v>100</v>
      </c>
      <c r="E292" s="23">
        <f t="shared" si="574"/>
        <v>0.99936709902044762</v>
      </c>
      <c r="F292" s="23">
        <f t="shared" si="575"/>
        <v>1.0011822386327505</v>
      </c>
      <c r="G292" s="486">
        <f>VLOOKUP(B292,TwoStageCT!A$10:H$72,3,FALSE)/10000</f>
        <v>1.6881396356939836E-5</v>
      </c>
      <c r="H292" s="486">
        <f>VLOOKUP(B292,TwoStageCT!A$10:H$72,6,FALSE)/10000</f>
        <v>7.3590724152435355E-6</v>
      </c>
      <c r="I292" s="19">
        <f>VLOOKUP($A292,'5 A data'!$A$5:$U$650,10,FALSE)</f>
        <v>-0.121</v>
      </c>
      <c r="J292" s="32">
        <f>VLOOKUP($A292,'5 A data'!$A$5:$U$650,11,FALSE)</f>
        <v>0.17453292519943295</v>
      </c>
      <c r="K292" s="31"/>
      <c r="L292" s="31"/>
      <c r="M292" s="31">
        <f t="shared" si="596"/>
        <v>-0.12090653758511721</v>
      </c>
      <c r="N292" s="31">
        <f t="shared" si="597"/>
        <v>0.17474662383870593</v>
      </c>
      <c r="O292" s="20"/>
      <c r="P292" s="634">
        <f>VLOOKUP(B292,TwoStageCT!A$10:H$72,4,FALSE)/10000</f>
        <v>2.4131313466023584E-6</v>
      </c>
      <c r="Q292" s="58">
        <f>VLOOKUP($A292,'5 A data'!$A$5:$U$650,7,FALSE)*slidewire_res</f>
        <v>1E-3</v>
      </c>
      <c r="R292" s="347">
        <f t="shared" si="584"/>
        <v>-4.000000000000004E-4</v>
      </c>
      <c r="S292" s="4">
        <v>0</v>
      </c>
      <c r="T292" s="4">
        <f t="shared" si="598"/>
        <v>-1.7749999999999998E-2</v>
      </c>
      <c r="U292" s="29">
        <f t="shared" si="585"/>
        <v>-4.8362615034046888E-4</v>
      </c>
      <c r="V292" s="29">
        <f t="shared" si="563"/>
        <v>5.0000000000000001E-4</v>
      </c>
      <c r="W292" s="23">
        <f>VLOOKUP($D292,Uncertainties!$B$35:$D$41,2,FALSE)</f>
        <v>1.999999999999974E-3</v>
      </c>
      <c r="X292" s="23"/>
      <c r="Y292" s="24">
        <f t="shared" si="586"/>
        <v>-9.3829219605437922E-6</v>
      </c>
      <c r="Z292" s="23">
        <f t="shared" si="587"/>
        <v>1.7908279875960182E-2</v>
      </c>
      <c r="AA292" s="25">
        <f t="shared" si="588"/>
        <v>5.1803495764441454</v>
      </c>
      <c r="AB292" s="26">
        <f t="shared" si="589"/>
        <v>2.5163909464323861</v>
      </c>
      <c r="AC292" s="14"/>
      <c r="AD292" s="635">
        <f>VLOOKUP(B292,TwoStageCT!A$10:H$72,7,FALSE)/10000</f>
        <v>1.6933288916776063E-6</v>
      </c>
      <c r="AE292" s="366">
        <f>IF(ABS(VLOOKUP($A292,'5 A data'!$A$5:$U$1148,6,FALSE))&lt;4.5,IF(ABS(VLOOKUP($A292,'5 A data'!$A$5:$U$1148,6,FALSE))&lt;1.25,0.0008,0.002),0.004)*VLOOKUP($A292,'5 A data'!$A$5:$U$1148,7,FALSE)*25*RADIANS(1/60)*100</f>
        <v>2.9088820866572159E-3</v>
      </c>
      <c r="AF292" s="23">
        <f t="shared" si="590"/>
        <v>5.8177641733143666E-4</v>
      </c>
      <c r="AG292" s="29">
        <f t="shared" si="591"/>
        <v>1.7474662383870594E-4</v>
      </c>
      <c r="AH292" s="4">
        <f t="shared" si="599"/>
        <v>1.7453292519943292E-2</v>
      </c>
      <c r="AI292" s="4">
        <f t="shared" si="592"/>
        <v>6.9898649535482375E-4</v>
      </c>
      <c r="AJ292" s="4">
        <f t="shared" si="570"/>
        <v>5.0000000000000001E-4</v>
      </c>
      <c r="AK292" s="21">
        <f>VLOOKUP($D292,Uncertainties!$B$35:$D$41,3,FALSE)</f>
        <v>-2.9088820866572385E-3</v>
      </c>
      <c r="AL292" s="21"/>
      <c r="AM292" s="369">
        <f>SQRT((VLOOKUP($A292,'5 A data'!$A$5:$U$1148,7,FALSE)*mutual_ind)^2+(aux_CT_phase*J292)^2)</f>
        <v>1.7011836780036968E-3</v>
      </c>
      <c r="AN292" s="29">
        <f t="shared" si="593"/>
        <v>1.8042788610730949E-2</v>
      </c>
      <c r="AO292" s="14">
        <f t="shared" si="594"/>
        <v>5.7038117349786841</v>
      </c>
      <c r="AP292" s="27">
        <f t="shared" si="595"/>
        <v>2.4532537988332153</v>
      </c>
      <c r="AS292" s="27">
        <f>VLOOKUP($B292,TwoStageCT!$A$10:$H$72,5,FALSE)</f>
        <v>59.567261398457461</v>
      </c>
      <c r="AT292" s="27">
        <f>VLOOKUP($B292,TwoStageCT!$A$10:$H$72,8,FALSE)</f>
        <v>45.732629829898706</v>
      </c>
    </row>
    <row r="293" spans="1:46" x14ac:dyDescent="0.2">
      <c r="A293" s="409">
        <v>401</v>
      </c>
      <c r="B293" s="5" t="str">
        <f>B277&amp;D293</f>
        <v>120/200120</v>
      </c>
      <c r="C293" s="19">
        <f>VLOOKUP($A293,'5 A data'!$A$5:$U$650,3,FALSE)</f>
        <v>2.1000057980615688E-2</v>
      </c>
      <c r="D293" s="164">
        <f>ROUND(VLOOKUP($A293,'5 A data'!$A$5:$U$650,9,FALSE)/10,0)*10</f>
        <v>120</v>
      </c>
      <c r="E293" s="23">
        <f t="shared" si="574"/>
        <v>0.99936709902044762</v>
      </c>
      <c r="F293" s="23">
        <f t="shared" si="575"/>
        <v>1.0011822386327505</v>
      </c>
      <c r="G293" s="486">
        <f>VLOOKUP(B293,TwoStageCT!A$10:H$72,3,FALSE)/10000</f>
        <v>1.5213305302217845E-5</v>
      </c>
      <c r="H293" s="486">
        <f>VLOOKUP(B293,TwoStageCT!A$10:H$72,6,FALSE)/10000</f>
        <v>7.5885012454326174E-6</v>
      </c>
      <c r="I293" s="19">
        <f>VLOOKUP($A293,'5 A data'!$A$5:$U$650,10,FALSE)</f>
        <v>-0.11899999999999999</v>
      </c>
      <c r="J293" s="32">
        <f>VLOOKUP($A293,'5 A data'!$A$5:$U$650,11,FALSE)</f>
        <v>0.17162404311277576</v>
      </c>
      <c r="K293" s="31"/>
      <c r="L293" s="31"/>
      <c r="M293" s="31">
        <f t="shared" si="596"/>
        <v>-0.11890947147813105</v>
      </c>
      <c r="N293" s="31">
        <f t="shared" si="597"/>
        <v>0.17183453218809797</v>
      </c>
      <c r="O293" s="20"/>
      <c r="P293" s="634">
        <f>VLOOKUP(B293,TwoStageCT!A$10:H$72,4,FALSE)/10000</f>
        <v>2.2681305202526645E-6</v>
      </c>
      <c r="Q293" s="58">
        <f>VLOOKUP($A293,'5 A data'!$A$5:$U$650,7,FALSE)*slidewire_res</f>
        <v>1E-3</v>
      </c>
      <c r="R293" s="347">
        <f t="shared" si="584"/>
        <v>0</v>
      </c>
      <c r="S293" s="4">
        <v>0</v>
      </c>
      <c r="T293" s="4">
        <f t="shared" si="598"/>
        <v>-1.7150000000000002E-2</v>
      </c>
      <c r="U293" s="29">
        <f t="shared" si="585"/>
        <v>-4.7563788591252422E-4</v>
      </c>
      <c r="V293" s="29">
        <f t="shared" si="563"/>
        <v>5.0000000000000001E-4</v>
      </c>
      <c r="W293" s="23">
        <f>VLOOKUP($D293,Uncertainties!$B$35:$D$41,2,FALSE)</f>
        <v>-1.0000000000000009E-3</v>
      </c>
      <c r="X293" s="23"/>
      <c r="Y293" s="24">
        <f t="shared" si="586"/>
        <v>-9.2278323413612514E-6</v>
      </c>
      <c r="Z293" s="23">
        <f t="shared" si="587"/>
        <v>1.7222044643300086E-2</v>
      </c>
      <c r="AA293" s="25">
        <f t="shared" si="588"/>
        <v>5.0844590104623801</v>
      </c>
      <c r="AB293" s="26">
        <f t="shared" si="589"/>
        <v>2.5297763834274107</v>
      </c>
      <c r="AC293" s="14"/>
      <c r="AD293" s="635">
        <f>VLOOKUP(B293,TwoStageCT!A$10:H$72,7,FALSE)/10000</f>
        <v>1.7092397901526349E-6</v>
      </c>
      <c r="AE293" s="366">
        <f>IF(ABS(VLOOKUP($A293,'5 A data'!$A$5:$U$1148,6,FALSE))&lt;4.5,IF(ABS(VLOOKUP($A293,'5 A data'!$A$5:$U$1148,6,FALSE))&lt;1.25,0.0008,0.002),0.004)*VLOOKUP($A293,'5 A data'!$A$5:$U$1148,7,FALSE)*25*RADIANS(1/60)*100</f>
        <v>2.9088820866572159E-3</v>
      </c>
      <c r="AF293" s="23">
        <f t="shared" si="590"/>
        <v>0</v>
      </c>
      <c r="AG293" s="29">
        <f t="shared" si="591"/>
        <v>1.7183453218809797E-4</v>
      </c>
      <c r="AH293" s="4">
        <f t="shared" si="599"/>
        <v>1.5562519163616107E-2</v>
      </c>
      <c r="AI293" s="4">
        <f t="shared" si="592"/>
        <v>6.873381287523919E-4</v>
      </c>
      <c r="AJ293" s="4">
        <f t="shared" si="570"/>
        <v>5.0000000000000001E-4</v>
      </c>
      <c r="AK293" s="21">
        <f>VLOOKUP($D293,Uncertainties!$B$35:$D$41,3,FALSE)</f>
        <v>1.4544410433285915E-3</v>
      </c>
      <c r="AL293" s="21"/>
      <c r="AM293" s="369">
        <f>SQRT((VLOOKUP($A293,'5 A data'!$A$5:$U$1148,7,FALSE)*mutual_ind)^2+(aux_CT_phase*J293)^2)</f>
        <v>1.7011520299637143E-3</v>
      </c>
      <c r="AN293" s="29">
        <f t="shared" si="593"/>
        <v>1.6012959702089807E-2</v>
      </c>
      <c r="AO293" s="14">
        <f t="shared" si="594"/>
        <v>5.5966710273714382</v>
      </c>
      <c r="AP293" s="27">
        <f t="shared" si="595"/>
        <v>2.4649667671133018</v>
      </c>
      <c r="AS293" s="27">
        <f>VLOOKUP($B293,TwoStageCT!$A$10:$H$72,5,FALSE)</f>
        <v>68.00069900375496</v>
      </c>
      <c r="AT293" s="27">
        <f>VLOOKUP($B293,TwoStageCT!$A$10:$H$72,8,FALSE)</f>
        <v>47.345132453902309</v>
      </c>
    </row>
    <row r="294" spans="1:46" x14ac:dyDescent="0.2">
      <c r="A294" s="409">
        <v>402</v>
      </c>
      <c r="R294" s="42"/>
    </row>
    <row r="295" spans="1:46" x14ac:dyDescent="0.2">
      <c r="A295" s="409">
        <v>403</v>
      </c>
      <c r="B295" s="474" t="str">
        <f>MID(D295,FIND("AT,",D295,1)-4,3)&amp;"/"&amp;MID(D295,FIND("AT,",D295,1)+4,3)</f>
        <v>120/200</v>
      </c>
      <c r="C295" t="s">
        <v>113</v>
      </c>
      <c r="D295" s="59" t="str">
        <f>VLOOKUP($A295,'5 A data'!$A$5:$U$574,2,FALSE)</f>
        <v>200/5 Range, 1 turns @ 1VA burden, vs 120 AT, 200 range, 2 Stage CT</v>
      </c>
      <c r="P295" s="97"/>
      <c r="R295" s="42"/>
      <c r="Z295" s="29"/>
      <c r="AA295" s="25"/>
      <c r="AD295" s="250"/>
      <c r="AN295" s="29"/>
      <c r="AO295" s="14"/>
    </row>
    <row r="296" spans="1:46" x14ac:dyDescent="0.2">
      <c r="A296" s="409">
        <v>404</v>
      </c>
      <c r="C296" s="19"/>
      <c r="M296" s="639" t="s">
        <v>472</v>
      </c>
      <c r="N296" s="639"/>
      <c r="O296" s="19"/>
      <c r="P296" s="97"/>
      <c r="R296" s="42"/>
      <c r="Z296" s="29"/>
      <c r="AA296" s="25"/>
      <c r="AD296" s="250"/>
      <c r="AN296" s="29"/>
      <c r="AO296" s="14"/>
    </row>
    <row r="297" spans="1:46" x14ac:dyDescent="0.2">
      <c r="A297" s="409">
        <v>405</v>
      </c>
      <c r="B297" s="5" t="str">
        <f>B295&amp;D297</f>
        <v>120/2005</v>
      </c>
      <c r="C297" s="19">
        <f>VLOOKUP($A297,'5 A data'!$A$5:$U$574,3,FALSE)</f>
        <v>0.21600059637204713</v>
      </c>
      <c r="D297" s="19">
        <f>ROUND(VLOOKUP($A297,'5 A data'!$A$5:$U$650,9,FALSE),0)</f>
        <v>5</v>
      </c>
      <c r="E297" s="23">
        <f>TestSetRatioCor</f>
        <v>0.99936709902044762</v>
      </c>
      <c r="F297" s="23">
        <f>TestSetPhaseCor</f>
        <v>1.0011822386327505</v>
      </c>
      <c r="G297" s="486">
        <f>VLOOKUP(B297,TwoStageCT!A$10:H$72,3,FALSE)/10000</f>
        <v>3.6805932694608759E-5</v>
      </c>
      <c r="H297" s="486">
        <f>VLOOKUP(B297,TwoStageCT!A$10:H$72,6,FALSE)/10000</f>
        <v>4.6965346060309593E-6</v>
      </c>
      <c r="I297" s="19">
        <f>VLOOKUP($A297,'5 A data'!$A$5:$U$650,10,FALSE)</f>
        <v>-0.32800000000000001</v>
      </c>
      <c r="J297" s="32">
        <f>VLOOKUP($A297,'5 A data'!$A$5:$U$650,11,FALSE)</f>
        <v>0.53523430394492766</v>
      </c>
      <c r="K297" s="22">
        <f>I297-I305</f>
        <v>-0.10100000000000001</v>
      </c>
      <c r="L297" s="22">
        <f>J297-J305</f>
        <v>0.14108078120287487</v>
      </c>
      <c r="M297" s="492">
        <f>I297*E297+G297</f>
        <v>-0.32775560254601221</v>
      </c>
      <c r="N297" s="492">
        <f>J297*F297+H297</f>
        <v>0.53587177515123063</v>
      </c>
      <c r="O297" s="20"/>
      <c r="P297" s="634">
        <f>VLOOKUP(B297,TwoStageCT!A$10:H$72,4,FALSE)/10000</f>
        <v>6.4429594675743464E-6</v>
      </c>
      <c r="Q297" s="58">
        <f>VLOOKUP($A297,'5 A data'!$A$5:$U$650,7,FALSE)*slidewire_res</f>
        <v>1E-3</v>
      </c>
      <c r="R297" s="347">
        <f t="shared" ref="R297:R303" si="600">current_coef*(I297-I298)*IF(I298=0,0,1)</f>
        <v>-9.7999999999999979E-3</v>
      </c>
      <c r="S297" s="4">
        <v>0</v>
      </c>
      <c r="T297" s="21">
        <f>BurdenUnc*K297</f>
        <v>-5.0500000000000007E-3</v>
      </c>
      <c r="U297" s="29">
        <f>0.004*M297</f>
        <v>-1.3110224101840488E-3</v>
      </c>
      <c r="V297" s="29">
        <f t="shared" ref="V297:V311" si="601">earthing_Re</f>
        <v>5.0000000000000001E-4</v>
      </c>
      <c r="W297" s="23">
        <f>VLOOKUP($D297,Uncertainties!$B$35:$D$41,2,FALSE)</f>
        <v>5.0000000000000044E-3</v>
      </c>
      <c r="X297" s="23"/>
      <c r="Y297" s="24">
        <f t="shared" ref="Y297:Y303" si="602">I297*aux_CT_ratio</f>
        <v>-2.5434697545936896E-5</v>
      </c>
      <c r="Z297" s="23">
        <f t="shared" ref="Z297:Z303" si="603">SQRT(SUMSQ(P297:Y297))</f>
        <v>1.2227508666755087E-2</v>
      </c>
      <c r="AA297" s="25">
        <f t="shared" ref="AA297:AA303" si="604">DoF_A(P297:Y297,$P$7:$Y$7)</f>
        <v>11.035575291837523</v>
      </c>
      <c r="AB297" s="26">
        <f t="shared" ref="AB297:AB303" si="605">CoverFactor(AA297)</f>
        <v>2.1906799911184551</v>
      </c>
      <c r="AC297" s="14"/>
      <c r="AD297" s="635">
        <f>VLOOKUP(B297,TwoStageCT!A$10:H$72,7,FALSE)/10000</f>
        <v>4.6788986298833412E-6</v>
      </c>
      <c r="AE297" s="366">
        <f>IF(ABS(VLOOKUP($A297,'5 A data'!$A$5:$U$1148,6,FALSE))&lt;4.5,IF(ABS(VLOOKUP($A297,'5 A data'!$A$5:$U$1148,6,FALSE))&lt;1.25,0.0008,0.002),0.004)*VLOOKUP($A297,'5 A data'!$A$5:$U$1148,7,FALSE)*25*RADIANS(1/60)*100</f>
        <v>2.9088820866572159E-3</v>
      </c>
      <c r="AF297" s="23">
        <f>current_coef*(J297-J298)*IF(J298=0,0,1)</f>
        <v>2.0362174606600492E-2</v>
      </c>
      <c r="AG297" s="29">
        <f t="shared" ref="AG297:AG303" si="606">0.001*N297</f>
        <v>5.3587177515123068E-4</v>
      </c>
      <c r="AH297" s="4">
        <f>BurdenUnc*L297</f>
        <v>7.0540390601437439E-3</v>
      </c>
      <c r="AI297" s="4">
        <f t="shared" ref="AI297:AI303" si="607">0.004*N297</f>
        <v>2.1434871006049227E-3</v>
      </c>
      <c r="AJ297" s="4">
        <f t="shared" ref="AJ297:AJ311" si="608">earthing_Im</f>
        <v>5.0000000000000001E-4</v>
      </c>
      <c r="AK297" s="21">
        <f>VLOOKUP($D297,Uncertainties!$B$35:$D$41,3,FALSE)</f>
        <v>-1.1635528346628732E-2</v>
      </c>
      <c r="AL297" s="21"/>
      <c r="AM297" s="369">
        <f>SQRT((VLOOKUP($A297,'5 A data'!$A$5:$U$1148,7,FALSE)*mutual_ind)^2+(aux_CT_phase*J297)^2)</f>
        <v>1.7092112435240074E-3</v>
      </c>
      <c r="AN297" s="29">
        <f t="shared" ref="AN297:AN303" si="609">SQRT(SUMSQ(AD297:AM297))</f>
        <v>2.4824944252665307E-2</v>
      </c>
      <c r="AO297" s="14">
        <f t="shared" ref="AO297:AO303" si="610">DoF_A(AD297:AM297,$AD$7:$AM$7)</f>
        <v>10.444506447447663</v>
      </c>
      <c r="AP297" s="27">
        <f t="shared" ref="AP297:AP303" si="611">CoverFactor(AO297)</f>
        <v>2.205009153241658</v>
      </c>
      <c r="AS297" s="27">
        <f>VLOOKUP($B297,TwoStageCT!$A$10:$H$72,5,FALSE)</f>
        <v>26.31606241070681</v>
      </c>
      <c r="AT297" s="27">
        <f>VLOOKUP($B297,TwoStageCT!$A$10:$H$72,8,FALSE)</f>
        <v>9.9413455012810044</v>
      </c>
    </row>
    <row r="298" spans="1:46" x14ac:dyDescent="0.2">
      <c r="A298" s="409">
        <v>406</v>
      </c>
      <c r="B298" s="5" t="str">
        <f>B295&amp;D298</f>
        <v>120/20010</v>
      </c>
      <c r="C298" s="19">
        <f>VLOOKUP($A298,'5 A data'!$A$5:$U$650,3,FALSE)</f>
        <v>0.21600059637204713</v>
      </c>
      <c r="D298" s="163">
        <f>ROUND(VLOOKUP($A298,'5 A data'!$A$5:$U$650,9,FALSE)/10,0)*10</f>
        <v>10</v>
      </c>
      <c r="E298" s="23">
        <f t="shared" ref="E298:E311" si="612">TestSetRatioCor</f>
        <v>0.99936709902044762</v>
      </c>
      <c r="F298" s="23">
        <f t="shared" ref="F298:F311" si="613">TestSetPhaseCor</f>
        <v>1.0011822386327505</v>
      </c>
      <c r="G298" s="486">
        <f>VLOOKUP(B298,TwoStageCT!A$10:H$72,3,FALSE)/10000</f>
        <v>3.4690340839935311E-5</v>
      </c>
      <c r="H298" s="486">
        <f>VLOOKUP(B298,TwoStageCT!A$10:H$72,6,FALSE)/10000</f>
        <v>2.6036797087866982E-6</v>
      </c>
      <c r="I298" s="19">
        <f>VLOOKUP($A298,'5 A data'!$A$5:$U$650,10,FALSE)</f>
        <v>-0.27900000000000003</v>
      </c>
      <c r="J298" s="32">
        <f>VLOOKUP($A298,'5 A data'!$A$5:$U$650,11,FALSE)</f>
        <v>0.4334234309119252</v>
      </c>
      <c r="K298" s="22">
        <f t="shared" ref="K298:K303" si="614">I298-I306</f>
        <v>-9.3000000000000027E-2</v>
      </c>
      <c r="L298" s="22">
        <f t="shared" ref="L298:L303" si="615">J298-J306</f>
        <v>0.13380857598623191</v>
      </c>
      <c r="M298" s="492">
        <f t="shared" ref="M298:M303" si="616">I298*E298+G298</f>
        <v>-0.27878873028586498</v>
      </c>
      <c r="N298" s="492">
        <f t="shared" ref="N298:N303" si="617">J298*F298+H298</f>
        <v>0.43393844451599733</v>
      </c>
      <c r="O298" s="20"/>
      <c r="P298" s="634">
        <f>VLOOKUP(B298,TwoStageCT!A$10:H$72,4,FALSE)/10000</f>
        <v>5.0170517941146892E-6</v>
      </c>
      <c r="Q298" s="58">
        <f>VLOOKUP($A298,'5 A data'!$A$5:$U$650,7,FALSE)*slidewire_res</f>
        <v>1E-3</v>
      </c>
      <c r="R298" s="347">
        <f t="shared" si="600"/>
        <v>-7.6000000000000069E-3</v>
      </c>
      <c r="S298" s="4">
        <v>0</v>
      </c>
      <c r="T298" s="21">
        <f t="shared" ref="T298:T303" si="618">BurdenUnc*K298</f>
        <v>-4.6500000000000014E-3</v>
      </c>
      <c r="U298" s="29">
        <f t="shared" ref="U298:U303" si="619">0.004*M298</f>
        <v>-1.11515492114346E-3</v>
      </c>
      <c r="V298" s="29">
        <f t="shared" si="601"/>
        <v>5.0000000000000001E-4</v>
      </c>
      <c r="W298" s="23">
        <f>VLOOKUP($D298,Uncertainties!$B$35:$D$41,2,FALSE)</f>
        <v>2.5000000000000022E-3</v>
      </c>
      <c r="X298" s="23"/>
      <c r="Y298" s="24">
        <f t="shared" si="602"/>
        <v>-2.1635001875964616E-5</v>
      </c>
      <c r="Z298" s="23">
        <f t="shared" si="603"/>
        <v>9.3875749659997655E-3</v>
      </c>
      <c r="AA298" s="25">
        <f t="shared" si="604"/>
        <v>10.16002563922731</v>
      </c>
      <c r="AB298" s="26">
        <f t="shared" si="605"/>
        <v>2.2125690560257594</v>
      </c>
      <c r="AC298" s="14"/>
      <c r="AD298" s="635">
        <f>VLOOKUP(B298,TwoStageCT!A$10:H$72,7,FALSE)/10000</f>
        <v>2.600738521505678E-6</v>
      </c>
      <c r="AE298" s="366">
        <f>IF(ABS(VLOOKUP($A298,'5 A data'!$A$5:$U$1148,6,FALSE))&lt;4.5,IF(ABS(VLOOKUP($A298,'5 A data'!$A$5:$U$1148,6,FALSE))&lt;1.25,0.0008,0.002),0.004)*VLOOKUP($A298,'5 A data'!$A$5:$U$1148,7,FALSE)*25*RADIANS(1/60)*100</f>
        <v>2.9088820866572159E-3</v>
      </c>
      <c r="AF298" s="23">
        <f t="shared" ref="AF298:AF303" si="620">current_coef*(J298-J299)*IF(J299=0,0,1)</f>
        <v>1.4544410433286081E-2</v>
      </c>
      <c r="AG298" s="29">
        <f t="shared" si="606"/>
        <v>4.3393844451599734E-4</v>
      </c>
      <c r="AH298" s="4">
        <f t="shared" ref="AH298:AH303" si="621">BurdenUnc*L298</f>
        <v>6.6904287993115961E-3</v>
      </c>
      <c r="AI298" s="4">
        <f t="shared" si="607"/>
        <v>1.7357537780639894E-3</v>
      </c>
      <c r="AJ298" s="4">
        <f t="shared" si="608"/>
        <v>5.0000000000000001E-4</v>
      </c>
      <c r="AK298" s="21">
        <f>VLOOKUP($D298,Uncertainties!$B$35:$D$41,3,FALSE)</f>
        <v>4.363323129985941E-3</v>
      </c>
      <c r="AL298" s="21"/>
      <c r="AM298" s="369">
        <f>SQRT((VLOOKUP($A298,'5 A data'!$A$5:$U$1148,7,FALSE)*mutual_ind)^2+(aux_CT_phase*J298)^2)</f>
        <v>1.7061233946600346E-3</v>
      </c>
      <c r="AN298" s="29">
        <f t="shared" si="609"/>
        <v>1.7034198063150024E-2</v>
      </c>
      <c r="AO298" s="14">
        <f t="shared" si="610"/>
        <v>8.9594075213673605</v>
      </c>
      <c r="AP298" s="27">
        <f t="shared" si="611"/>
        <v>2.2504842162251486</v>
      </c>
      <c r="AS298" s="27">
        <f>VLOOKUP($B298,TwoStageCT!$A$10:$H$72,5,FALSE)</f>
        <v>38.265350164989712</v>
      </c>
      <c r="AT298" s="27">
        <f>VLOOKUP($B298,TwoStageCT!$A$10:$H$72,8,FALSE)</f>
        <v>16.586629386739094</v>
      </c>
    </row>
    <row r="299" spans="1:46" x14ac:dyDescent="0.2">
      <c r="A299" s="409">
        <v>407</v>
      </c>
      <c r="B299" s="5" t="str">
        <f>B295&amp;D299</f>
        <v>120/20020</v>
      </c>
      <c r="C299" s="19">
        <f>VLOOKUP($A299,'5 A data'!$A$5:$U$650,3,FALSE)</f>
        <v>0.21600059637204713</v>
      </c>
      <c r="D299" s="163">
        <f>ROUND(VLOOKUP($A299,'5 A data'!$A$5:$U$650,9,FALSE)/10,0)*10</f>
        <v>20</v>
      </c>
      <c r="E299" s="23">
        <f t="shared" si="612"/>
        <v>0.99936709902044762</v>
      </c>
      <c r="F299" s="23">
        <f t="shared" si="613"/>
        <v>1.0011822386327505</v>
      </c>
      <c r="G299" s="486">
        <f>VLOOKUP(B299,TwoStageCT!A$10:H$72,3,FALSE)/10000</f>
        <v>3.1280516301103777E-5</v>
      </c>
      <c r="H299" s="486">
        <f>VLOOKUP(B299,TwoStageCT!A$10:H$72,6,FALSE)/10000</f>
        <v>4.5493238991726806E-6</v>
      </c>
      <c r="I299" s="19">
        <f>VLOOKUP($A299,'5 A data'!$A$5:$U$650,10,FALSE)</f>
        <v>-0.24099999999999999</v>
      </c>
      <c r="J299" s="32">
        <f>VLOOKUP($A299,'5 A data'!$A$5:$U$650,11,FALSE)</f>
        <v>0.36070137874549479</v>
      </c>
      <c r="K299" s="22">
        <f t="shared" si="614"/>
        <v>-8.3999999999999991E-2</v>
      </c>
      <c r="L299" s="22">
        <f t="shared" si="615"/>
        <v>0.11926416555294586</v>
      </c>
      <c r="M299" s="492">
        <f t="shared" si="616"/>
        <v>-0.24081619034762677</v>
      </c>
      <c r="N299" s="492">
        <f t="shared" si="617"/>
        <v>0.36113236317423325</v>
      </c>
      <c r="O299" s="20"/>
      <c r="P299" s="634">
        <f>VLOOKUP(B299,TwoStageCT!A$10:H$72,4,FALSE)/10000</f>
        <v>4.17832023036102E-6</v>
      </c>
      <c r="Q299" s="364">
        <f>VLOOKUP($A299,'5 A data'!$A$5:$U$650,7,FALSE)*slidewire_res</f>
        <v>1E-3</v>
      </c>
      <c r="R299" s="347">
        <f t="shared" si="600"/>
        <v>-4.5999999999999991E-3</v>
      </c>
      <c r="S299" s="4">
        <v>0</v>
      </c>
      <c r="T299" s="21">
        <f t="shared" si="618"/>
        <v>-4.1999999999999997E-3</v>
      </c>
      <c r="U299" s="29">
        <f t="shared" si="619"/>
        <v>-9.6326476139050709E-4</v>
      </c>
      <c r="V299" s="29">
        <f t="shared" si="601"/>
        <v>5.0000000000000001E-4</v>
      </c>
      <c r="W299" s="23">
        <f>VLOOKUP($D299,Uncertainties!$B$35:$D$41,2,FALSE)</f>
        <v>-1.0000000000000009E-3</v>
      </c>
      <c r="X299" s="23"/>
      <c r="Y299" s="24">
        <f t="shared" si="602"/>
        <v>-1.8688299111496315E-5</v>
      </c>
      <c r="Z299" s="23">
        <f t="shared" si="603"/>
        <v>6.4790621012165272E-3</v>
      </c>
      <c r="AA299" s="25">
        <f t="shared" si="604"/>
        <v>11.574380063822908</v>
      </c>
      <c r="AB299" s="26">
        <f t="shared" si="605"/>
        <v>2.1790194900317337</v>
      </c>
      <c r="AC299" s="14"/>
      <c r="AD299" s="635">
        <f>VLOOKUP(B299,TwoStageCT!A$10:H$72,7,FALSE)/10000</f>
        <v>1.9770475075939077E-6</v>
      </c>
      <c r="AE299" s="366">
        <f>IF(ABS(VLOOKUP($A299,'5 A data'!$A$5:$U$1148,6,FALSE))&lt;4.5,IF(ABS(VLOOKUP($A299,'5 A data'!$A$5:$U$1148,6,FALSE))&lt;1.25,0.0008,0.002),0.004)*VLOOKUP($A299,'5 A data'!$A$5:$U$1148,7,FALSE)*25*RADIANS(1/60)*100</f>
        <v>2.9088820866572159E-3</v>
      </c>
      <c r="AF299" s="23">
        <f t="shared" si="620"/>
        <v>9.3084226773030854E-3</v>
      </c>
      <c r="AG299" s="29">
        <f t="shared" si="606"/>
        <v>3.6113236317423327E-4</v>
      </c>
      <c r="AH299" s="4">
        <f t="shared" si="621"/>
        <v>5.9632082776472934E-3</v>
      </c>
      <c r="AI299" s="4">
        <f t="shared" si="607"/>
        <v>1.4445294526969331E-3</v>
      </c>
      <c r="AJ299" s="4">
        <f t="shared" si="608"/>
        <v>5.0000000000000001E-4</v>
      </c>
      <c r="AK299" s="21">
        <f>VLOOKUP($D299,Uncertainties!$B$35:$D$41,3,FALSE)</f>
        <v>-1.454441043328647E-3</v>
      </c>
      <c r="AL299" s="21"/>
      <c r="AM299" s="369">
        <f>SQRT((VLOOKUP($A299,'5 A data'!$A$5:$U$1148,7,FALSE)*mutual_ind)^2+(aux_CT_phase*J299)^2)</f>
        <v>1.704312597631989E-3</v>
      </c>
      <c r="AN299" s="29">
        <f t="shared" si="609"/>
        <v>1.1753950259684204E-2</v>
      </c>
      <c r="AO299" s="14">
        <f t="shared" si="610"/>
        <v>10.773310764699819</v>
      </c>
      <c r="AP299" s="27">
        <f t="shared" si="611"/>
        <v>2.1968229873073155</v>
      </c>
      <c r="AS299" s="27">
        <f>VLOOKUP($B299,TwoStageCT!$A$10:$H$72,5,FALSE)</f>
        <v>36.657700403051521</v>
      </c>
      <c r="AT299" s="27">
        <f>VLOOKUP($B299,TwoStageCT!$A$10:$H$72,8,FALSE)</f>
        <v>53.09445811850042</v>
      </c>
    </row>
    <row r="300" spans="1:46" x14ac:dyDescent="0.2">
      <c r="A300" s="409">
        <v>408</v>
      </c>
      <c r="B300" s="5" t="str">
        <f>B295&amp;D300</f>
        <v>120/20040</v>
      </c>
      <c r="C300" s="19">
        <f>VLOOKUP($A300,'5 A data'!$A$5:$U$650,3,FALSE)</f>
        <v>0.21600059637204713</v>
      </c>
      <c r="D300" s="163">
        <f>ROUND(VLOOKUP($A300,'5 A data'!$A$5:$U$650,9,FALSE)/10,0)*10</f>
        <v>40</v>
      </c>
      <c r="E300" s="23">
        <f t="shared" si="612"/>
        <v>0.99936709902044762</v>
      </c>
      <c r="F300" s="23">
        <f t="shared" si="613"/>
        <v>1.0011822386327505</v>
      </c>
      <c r="G300" s="486">
        <f>VLOOKUP(B300,TwoStageCT!A$10:H$72,3,FALSE)/10000</f>
        <v>2.5200167333853628E-5</v>
      </c>
      <c r="H300" s="486">
        <f>VLOOKUP(B300,TwoStageCT!A$10:H$72,6,FALSE)/10000</f>
        <v>5.7416420558101514E-6</v>
      </c>
      <c r="I300" s="19">
        <f>VLOOKUP($A300,'5 A data'!$A$5:$U$650,10,FALSE)</f>
        <v>-0.218</v>
      </c>
      <c r="J300" s="32">
        <f>VLOOKUP($A300,'5 A data'!$A$5:$U$650,11,FALSE)</f>
        <v>0.31415926535897937</v>
      </c>
      <c r="K300" s="22">
        <f t="shared" si="614"/>
        <v>-7.9999999999999988E-2</v>
      </c>
      <c r="L300" s="22">
        <f t="shared" si="615"/>
        <v>0.10908307824964567</v>
      </c>
      <c r="M300" s="492">
        <f t="shared" si="616"/>
        <v>-0.21783682741912375</v>
      </c>
      <c r="N300" s="492">
        <f t="shared" si="617"/>
        <v>0.31453641822137907</v>
      </c>
      <c r="O300" s="20"/>
      <c r="P300" s="634">
        <f>VLOOKUP(B300,TwoStageCT!A$10:H$72,4,FALSE)/10000</f>
        <v>3.3964590328801363E-6</v>
      </c>
      <c r="Q300" s="58">
        <f>VLOOKUP($A300,'5 A data'!$A$5:$U$650,7,FALSE)*slidewire_res</f>
        <v>1E-3</v>
      </c>
      <c r="R300" s="347">
        <f t="shared" si="600"/>
        <v>-2.4000000000000024E-3</v>
      </c>
      <c r="S300" s="4">
        <v>0</v>
      </c>
      <c r="T300" s="21">
        <f t="shared" si="618"/>
        <v>-3.9999999999999992E-3</v>
      </c>
      <c r="U300" s="29">
        <f t="shared" si="619"/>
        <v>-8.7134730967649502E-4</v>
      </c>
      <c r="V300" s="29">
        <f t="shared" si="601"/>
        <v>5.0000000000000001E-4</v>
      </c>
      <c r="W300" s="23">
        <f>VLOOKUP($D300,Uncertainties!$B$35:$D$41,2,FALSE)</f>
        <v>-1.0000000000000009E-3</v>
      </c>
      <c r="X300" s="23"/>
      <c r="Y300" s="24">
        <f t="shared" si="602"/>
        <v>-1.6904768490897081E-5</v>
      </c>
      <c r="Z300" s="23">
        <f t="shared" si="603"/>
        <v>4.9769009876842194E-3</v>
      </c>
      <c r="AA300" s="25">
        <f t="shared" si="604"/>
        <v>10.533918354377843</v>
      </c>
      <c r="AB300" s="26">
        <f t="shared" si="605"/>
        <v>2.2027268638332083</v>
      </c>
      <c r="AC300" s="14"/>
      <c r="AD300" s="635">
        <f>VLOOKUP(B300,TwoStageCT!A$10:H$72,7,FALSE)/10000</f>
        <v>1.6849048737447556E-6</v>
      </c>
      <c r="AE300" s="366">
        <f>IF(ABS(VLOOKUP($A300,'5 A data'!$A$5:$U$1148,6,FALSE))&lt;4.5,IF(ABS(VLOOKUP($A300,'5 A data'!$A$5:$U$1148,6,FALSE))&lt;1.25,0.0008,0.002),0.004)*VLOOKUP($A300,'5 A data'!$A$5:$U$1148,7,FALSE)*25*RADIANS(1/60)*100</f>
        <v>2.9088820866572159E-3</v>
      </c>
      <c r="AF300" s="23">
        <f t="shared" si="620"/>
        <v>4.072434921320112E-3</v>
      </c>
      <c r="AG300" s="29">
        <f t="shared" si="606"/>
        <v>3.1453641822137905E-4</v>
      </c>
      <c r="AH300" s="4">
        <f t="shared" si="621"/>
        <v>5.454153912482284E-3</v>
      </c>
      <c r="AI300" s="4">
        <f t="shared" si="607"/>
        <v>1.2581456728855162E-3</v>
      </c>
      <c r="AJ300" s="4">
        <f t="shared" si="608"/>
        <v>5.0000000000000001E-4</v>
      </c>
      <c r="AK300" s="21">
        <f>VLOOKUP($D300,Uncertainties!$B$35:$D$41,3,FALSE)</f>
        <v>-2.908882086657183E-3</v>
      </c>
      <c r="AL300" s="21"/>
      <c r="AM300" s="369">
        <f>SQRT((VLOOKUP($A300,'5 A data'!$A$5:$U$1148,7,FALSE)*mutual_ind)^2+(aux_CT_phase*J300)^2)</f>
        <v>1.7033269280805781E-3</v>
      </c>
      <c r="AN300" s="29">
        <f t="shared" si="609"/>
        <v>8.2515998589970767E-3</v>
      </c>
      <c r="AO300" s="14">
        <f t="shared" si="610"/>
        <v>18.234865974684777</v>
      </c>
      <c r="AP300" s="27">
        <f t="shared" si="611"/>
        <v>2.0950813874546657</v>
      </c>
      <c r="AS300" s="27">
        <f>VLOOKUP($B300,TwoStageCT!$A$10:$H$72,5,FALSE)</f>
        <v>38.659909732018328</v>
      </c>
      <c r="AT300" s="27">
        <f>VLOOKUP($B300,TwoStageCT!$A$10:$H$72,8,FALSE)</f>
        <v>52.499330597885681</v>
      </c>
    </row>
    <row r="301" spans="1:46" x14ac:dyDescent="0.2">
      <c r="A301" s="409">
        <v>409</v>
      </c>
      <c r="B301" s="5" t="str">
        <f>B295&amp;D301</f>
        <v>120/20060</v>
      </c>
      <c r="C301" s="19">
        <f>VLOOKUP($A301,'5 A data'!$A$5:$U$650,3,FALSE)</f>
        <v>0.21600059637204713</v>
      </c>
      <c r="D301" s="163">
        <f>ROUND(VLOOKUP($A301,'5 A data'!$A$5:$U$650,9,FALSE)/10,0)*10</f>
        <v>60</v>
      </c>
      <c r="E301" s="23">
        <f t="shared" si="612"/>
        <v>0.99936709902044762</v>
      </c>
      <c r="F301" s="23">
        <f t="shared" si="613"/>
        <v>1.0011822386327505</v>
      </c>
      <c r="G301" s="486">
        <f>VLOOKUP(B301,TwoStageCT!A$10:H$72,3,FALSE)/10000</f>
        <v>2.195627602528684E-5</v>
      </c>
      <c r="H301" s="486">
        <f>VLOOKUP(B301,TwoStageCT!A$10:H$72,6,FALSE)/10000</f>
        <v>5.5507836163637805E-6</v>
      </c>
      <c r="I301" s="19">
        <f>VLOOKUP($A301,'5 A data'!$A$5:$U$650,10,FALSE)</f>
        <v>-0.20599999999999999</v>
      </c>
      <c r="J301" s="32">
        <f>VLOOKUP($A301,'5 A data'!$A$5:$U$650,11,FALSE)</f>
        <v>0.29379709075237881</v>
      </c>
      <c r="K301" s="22">
        <f t="shared" si="614"/>
        <v>-7.5999999999999984E-2</v>
      </c>
      <c r="L301" s="22">
        <f t="shared" si="615"/>
        <v>0.10326531407633116</v>
      </c>
      <c r="M301" s="492">
        <f t="shared" si="616"/>
        <v>-0.20584766612218691</v>
      </c>
      <c r="N301" s="492">
        <f t="shared" si="617"/>
        <v>0.29414997980687235</v>
      </c>
      <c r="O301" s="20"/>
      <c r="P301" s="634">
        <f>VLOOKUP(B301,TwoStageCT!A$10:H$72,4,FALSE)/10000</f>
        <v>2.9709098248278708E-6</v>
      </c>
      <c r="Q301" s="58">
        <f>VLOOKUP($A301,'5 A data'!$A$5:$U$650,7,FALSE)*slidewire_res</f>
        <v>1E-3</v>
      </c>
      <c r="R301" s="347">
        <f t="shared" si="600"/>
        <v>-2.7999999999999969E-3</v>
      </c>
      <c r="S301" s="4">
        <v>0</v>
      </c>
      <c r="T301" s="21">
        <f t="shared" si="618"/>
        <v>-3.7999999999999996E-3</v>
      </c>
      <c r="U301" s="29">
        <f t="shared" si="619"/>
        <v>-8.2339066448874768E-4</v>
      </c>
      <c r="V301" s="29">
        <f t="shared" si="601"/>
        <v>5.0000000000000001E-4</v>
      </c>
      <c r="W301" s="23">
        <f>VLOOKUP($D301,Uncertainties!$B$35:$D$41,2,FALSE)</f>
        <v>-1.0000000000000009E-3</v>
      </c>
      <c r="X301" s="23"/>
      <c r="Y301" s="24">
        <f t="shared" si="602"/>
        <v>-1.5974230775801829E-5</v>
      </c>
      <c r="Z301" s="23">
        <f t="shared" si="603"/>
        <v>5.0207804362191804E-3</v>
      </c>
      <c r="AA301" s="25">
        <f t="shared" si="604"/>
        <v>11.685399507491521</v>
      </c>
      <c r="AB301" s="26">
        <f t="shared" si="605"/>
        <v>2.1767634569779699</v>
      </c>
      <c r="AC301" s="14"/>
      <c r="AD301" s="635">
        <f>VLOOKUP(B301,TwoStageCT!A$10:H$72,7,FALSE)/10000</f>
        <v>1.6017059195029239E-6</v>
      </c>
      <c r="AE301" s="366">
        <f>IF(ABS(VLOOKUP($A301,'5 A data'!$A$5:$U$1148,6,FALSE))&lt;4.5,IF(ABS(VLOOKUP($A301,'5 A data'!$A$5:$U$1148,6,FALSE))&lt;1.25,0.0008,0.002),0.004)*VLOOKUP($A301,'5 A data'!$A$5:$U$1148,7,FALSE)*25*RADIANS(1/60)*100</f>
        <v>2.9088820866572159E-3</v>
      </c>
      <c r="AF301" s="23">
        <f t="shared" si="620"/>
        <v>4.6542113386515488E-3</v>
      </c>
      <c r="AG301" s="29">
        <f t="shared" si="606"/>
        <v>2.9414997980687236E-4</v>
      </c>
      <c r="AH301" s="4">
        <f t="shared" si="621"/>
        <v>5.1632657038165582E-3</v>
      </c>
      <c r="AI301" s="4">
        <f t="shared" si="607"/>
        <v>1.1765999192274894E-3</v>
      </c>
      <c r="AJ301" s="4">
        <f t="shared" si="608"/>
        <v>5.0000000000000001E-4</v>
      </c>
      <c r="AK301" s="21">
        <f>VLOOKUP($D301,Uncertainties!$B$35:$D$41,3,FALSE)</f>
        <v>-2.908882086657183E-3</v>
      </c>
      <c r="AL301" s="21"/>
      <c r="AM301" s="369">
        <f>SQRT((VLOOKUP($A301,'5 A data'!$A$5:$U$1148,7,FALSE)*mutual_ind)^2+(aux_CT_phase*J301)^2)</f>
        <v>1.7029382922069904E-3</v>
      </c>
      <c r="AN301" s="29">
        <f t="shared" si="609"/>
        <v>8.3585344932149697E-3</v>
      </c>
      <c r="AO301" s="14">
        <f t="shared" si="610"/>
        <v>18.910584577038527</v>
      </c>
      <c r="AP301" s="27">
        <f t="shared" si="611"/>
        <v>2.0900434260721883</v>
      </c>
      <c r="AS301" s="27">
        <f>VLOOKUP($B301,TwoStageCT!$A$10:$H$72,5,FALSE)</f>
        <v>42.291164682130272</v>
      </c>
      <c r="AT301" s="27">
        <f>VLOOKUP($B301,TwoStageCT!$A$10:$H$72,8,FALSE)</f>
        <v>48.978667479860043</v>
      </c>
    </row>
    <row r="302" spans="1:46" x14ac:dyDescent="0.2">
      <c r="A302" s="409">
        <v>410</v>
      </c>
      <c r="B302" s="5" t="str">
        <f>B295&amp;D302</f>
        <v>120/200100</v>
      </c>
      <c r="C302" s="19">
        <f>VLOOKUP($A302,'5 A data'!$A$5:$U$650,3,FALSE)</f>
        <v>0.21600059637204713</v>
      </c>
      <c r="D302" s="164">
        <f>ROUND(VLOOKUP($A302,'5 A data'!$A$5:$U$650,9,FALSE)/10,0)*10</f>
        <v>100</v>
      </c>
      <c r="E302" s="23">
        <f t="shared" si="612"/>
        <v>0.99936709902044762</v>
      </c>
      <c r="F302" s="23">
        <f t="shared" si="613"/>
        <v>1.0011822386327505</v>
      </c>
      <c r="G302" s="486">
        <f>VLOOKUP(B302,TwoStageCT!A$10:H$72,3,FALSE)/10000</f>
        <v>1.6881396356939836E-5</v>
      </c>
      <c r="H302" s="486">
        <f>VLOOKUP(B302,TwoStageCT!A$10:H$72,6,FALSE)/10000</f>
        <v>7.3590724152435355E-6</v>
      </c>
      <c r="I302" s="19">
        <f>VLOOKUP($A302,'5 A data'!$A$5:$U$650,10,FALSE)</f>
        <v>-0.192</v>
      </c>
      <c r="J302" s="32">
        <f>VLOOKUP($A302,'5 A data'!$A$5:$U$650,11,FALSE)</f>
        <v>0.27052603405912107</v>
      </c>
      <c r="K302" s="22">
        <f t="shared" si="614"/>
        <v>-7.1000000000000008E-2</v>
      </c>
      <c r="L302" s="22">
        <f t="shared" si="615"/>
        <v>9.599310885968812E-2</v>
      </c>
      <c r="M302" s="492">
        <f t="shared" si="616"/>
        <v>-0.19186160161556901</v>
      </c>
      <c r="N302" s="492">
        <f t="shared" si="617"/>
        <v>0.27085321946016577</v>
      </c>
      <c r="O302" s="20"/>
      <c r="P302" s="634">
        <f>VLOOKUP(B302,TwoStageCT!A$10:H$72,4,FALSE)/10000</f>
        <v>2.4131313466023584E-6</v>
      </c>
      <c r="Q302" s="58">
        <f>VLOOKUP($A302,'5 A data'!$A$5:$U$650,7,FALSE)*slidewire_res</f>
        <v>1E-3</v>
      </c>
      <c r="R302" s="347">
        <f t="shared" si="600"/>
        <v>-4.000000000000004E-4</v>
      </c>
      <c r="S302" s="4">
        <v>0</v>
      </c>
      <c r="T302" s="21">
        <f t="shared" si="618"/>
        <v>-3.5500000000000006E-3</v>
      </c>
      <c r="U302" s="29">
        <f t="shared" si="619"/>
        <v>-7.6744640646227602E-4</v>
      </c>
      <c r="V302" s="29">
        <f t="shared" si="601"/>
        <v>5.0000000000000001E-4</v>
      </c>
      <c r="W302" s="23">
        <f>VLOOKUP($D302,Uncertainties!$B$35:$D$41,2,FALSE)</f>
        <v>1.999999999999974E-3</v>
      </c>
      <c r="X302" s="23"/>
      <c r="Y302" s="24">
        <f t="shared" si="602"/>
        <v>-1.4888603441524037E-5</v>
      </c>
      <c r="Z302" s="23">
        <f t="shared" si="603"/>
        <v>4.3129689867314252E-3</v>
      </c>
      <c r="AA302" s="25">
        <f t="shared" si="604"/>
        <v>10.381238971796412</v>
      </c>
      <c r="AB302" s="26">
        <f t="shared" si="605"/>
        <v>2.2066505394090044</v>
      </c>
      <c r="AC302" s="14"/>
      <c r="AD302" s="635">
        <f>VLOOKUP(B302,TwoStageCT!A$10:H$72,7,FALSE)/10000</f>
        <v>1.6933288916776063E-6</v>
      </c>
      <c r="AE302" s="366">
        <f>IF(ABS(VLOOKUP($A302,'5 A data'!$A$5:$U$1148,6,FALSE))&lt;4.5,IF(ABS(VLOOKUP($A302,'5 A data'!$A$5:$U$1148,6,FALSE))&lt;1.25,0.0008,0.002),0.004)*VLOOKUP($A302,'5 A data'!$A$5:$U$1148,7,FALSE)*25*RADIANS(1/60)*100</f>
        <v>2.9088820866572159E-3</v>
      </c>
      <c r="AF302" s="23">
        <f t="shared" si="620"/>
        <v>2.0362174606600616E-3</v>
      </c>
      <c r="AG302" s="29">
        <f t="shared" si="606"/>
        <v>2.708532194601658E-4</v>
      </c>
      <c r="AH302" s="4">
        <f t="shared" si="621"/>
        <v>4.799655442984406E-3</v>
      </c>
      <c r="AI302" s="4">
        <f t="shared" si="607"/>
        <v>1.0834128778406632E-3</v>
      </c>
      <c r="AJ302" s="4">
        <f t="shared" si="608"/>
        <v>5.0000000000000001E-4</v>
      </c>
      <c r="AK302" s="21">
        <f>VLOOKUP($D302,Uncertainties!$B$35:$D$41,3,FALSE)</f>
        <v>-2.9088820866572385E-3</v>
      </c>
      <c r="AL302" s="21"/>
      <c r="AM302" s="369">
        <f>SQRT((VLOOKUP($A302,'5 A data'!$A$5:$U$1148,7,FALSE)*mutual_ind)^2+(aux_CT_phase*J302)^2)</f>
        <v>1.7025259171230369E-3</v>
      </c>
      <c r="AN302" s="29">
        <f t="shared" si="609"/>
        <v>6.9643238151897166E-3</v>
      </c>
      <c r="AO302" s="14">
        <f t="shared" si="610"/>
        <v>17.876507613483945</v>
      </c>
      <c r="AP302" s="27">
        <f t="shared" si="611"/>
        <v>2.0979159444694098</v>
      </c>
      <c r="AS302" s="27">
        <f>VLOOKUP($B302,TwoStageCT!$A$10:$H$72,5,FALSE)</f>
        <v>59.567261398457461</v>
      </c>
      <c r="AT302" s="27">
        <f>VLOOKUP($B302,TwoStageCT!$A$10:$H$72,8,FALSE)</f>
        <v>45.732629829898706</v>
      </c>
    </row>
    <row r="303" spans="1:46" x14ac:dyDescent="0.2">
      <c r="A303" s="409">
        <v>411</v>
      </c>
      <c r="B303" s="5" t="str">
        <f>B295&amp;D303</f>
        <v>120/200120</v>
      </c>
      <c r="C303" s="19">
        <f>VLOOKUP($A303,'5 A data'!$A$5:$U$650,3,FALSE)</f>
        <v>0.21600059637204713</v>
      </c>
      <c r="D303" s="164">
        <f>ROUND(VLOOKUP($A303,'5 A data'!$A$5:$U$650,9,FALSE)/10,0)*10</f>
        <v>120</v>
      </c>
      <c r="E303" s="23">
        <f t="shared" si="612"/>
        <v>0.99936709902044762</v>
      </c>
      <c r="F303" s="23">
        <f t="shared" si="613"/>
        <v>1.0011822386327505</v>
      </c>
      <c r="G303" s="486">
        <f>VLOOKUP(B303,TwoStageCT!A$10:H$72,3,FALSE)/10000</f>
        <v>1.5213305302217845E-5</v>
      </c>
      <c r="H303" s="486">
        <f>VLOOKUP(B303,TwoStageCT!A$10:H$72,6,FALSE)/10000</f>
        <v>7.5885012454326174E-6</v>
      </c>
      <c r="I303" s="19">
        <f>VLOOKUP($A303,'5 A data'!$A$5:$U$650,10,FALSE)</f>
        <v>-0.19</v>
      </c>
      <c r="J303" s="32">
        <f>VLOOKUP($A303,'5 A data'!$A$5:$U$650,11,FALSE)</f>
        <v>0.26034494675582076</v>
      </c>
      <c r="K303" s="22">
        <f t="shared" si="614"/>
        <v>-7.1000000000000008E-2</v>
      </c>
      <c r="L303" s="22">
        <f t="shared" si="615"/>
        <v>8.8720903643044996E-2</v>
      </c>
      <c r="M303" s="492">
        <f t="shared" si="616"/>
        <v>-0.18986453550858284</v>
      </c>
      <c r="N303" s="492">
        <f t="shared" si="617"/>
        <v>0.26066032511096227</v>
      </c>
      <c r="O303" s="20"/>
      <c r="P303" s="634">
        <f>VLOOKUP(B303,TwoStageCT!A$10:H$72,4,FALSE)/10000</f>
        <v>2.2681305202526645E-6</v>
      </c>
      <c r="Q303" s="58">
        <f>VLOOKUP($A303,'5 A data'!$A$5:$U$650,7,FALSE)*slidewire_res</f>
        <v>1E-3</v>
      </c>
      <c r="R303" s="347">
        <f t="shared" si="600"/>
        <v>0</v>
      </c>
      <c r="S303" s="4">
        <v>0</v>
      </c>
      <c r="T303" s="21">
        <f t="shared" si="618"/>
        <v>-3.5500000000000006E-3</v>
      </c>
      <c r="U303" s="29">
        <f t="shared" si="619"/>
        <v>-7.5945814203433142E-4</v>
      </c>
      <c r="V303" s="29">
        <f t="shared" si="601"/>
        <v>5.0000000000000001E-4</v>
      </c>
      <c r="W303" s="23">
        <f>VLOOKUP($D303,Uncertainties!$B$35:$D$41,2,FALSE)</f>
        <v>-1.0000000000000009E-3</v>
      </c>
      <c r="X303" s="23"/>
      <c r="Y303" s="24">
        <f t="shared" si="602"/>
        <v>-1.4733513822341494E-5</v>
      </c>
      <c r="Z303" s="23">
        <f t="shared" si="603"/>
        <v>3.9280400825790788E-3</v>
      </c>
      <c r="AA303" s="25">
        <f t="shared" si="604"/>
        <v>7.4110365193264256</v>
      </c>
      <c r="AB303" s="26">
        <f t="shared" si="605"/>
        <v>2.3206873216061488</v>
      </c>
      <c r="AC303" s="14"/>
      <c r="AD303" s="635">
        <f>VLOOKUP(B303,TwoStageCT!A$10:H$72,7,FALSE)/10000</f>
        <v>1.7092397901526349E-6</v>
      </c>
      <c r="AE303" s="366">
        <f>IF(ABS(VLOOKUP($A303,'5 A data'!$A$5:$U$1148,6,FALSE))&lt;4.5,IF(ABS(VLOOKUP($A303,'5 A data'!$A$5:$U$1148,6,FALSE))&lt;1.25,0.0008,0.002),0.004)*VLOOKUP($A303,'5 A data'!$A$5:$U$1148,7,FALSE)*25*RADIANS(1/60)*100</f>
        <v>2.9088820866572159E-3</v>
      </c>
      <c r="AF303" s="23">
        <f t="shared" si="620"/>
        <v>0</v>
      </c>
      <c r="AG303" s="29">
        <f t="shared" si="606"/>
        <v>2.6066032511096226E-4</v>
      </c>
      <c r="AH303" s="4">
        <f t="shared" si="621"/>
        <v>4.4360451821522503E-3</v>
      </c>
      <c r="AI303" s="4">
        <f t="shared" si="607"/>
        <v>1.042641300443849E-3</v>
      </c>
      <c r="AJ303" s="4">
        <f t="shared" si="608"/>
        <v>5.0000000000000001E-4</v>
      </c>
      <c r="AK303" s="21">
        <f>VLOOKUP($D303,Uncertainties!$B$35:$D$41,3,FALSE)</f>
        <v>1.4544410433285915E-3</v>
      </c>
      <c r="AL303" s="21"/>
      <c r="AM303" s="369">
        <f>SQRT((VLOOKUP($A303,'5 A data'!$A$5:$U$1148,7,FALSE)*mutual_ind)^2+(aux_CT_phase*J303)^2)</f>
        <v>1.7023561686575405E-3</v>
      </c>
      <c r="AN303" s="29">
        <f t="shared" si="609"/>
        <v>5.8786524589939338E-3</v>
      </c>
      <c r="AO303" s="14">
        <f t="shared" si="610"/>
        <v>12.697709267663026</v>
      </c>
      <c r="AP303" s="27">
        <f t="shared" si="611"/>
        <v>2.1581713222788297</v>
      </c>
      <c r="AS303" s="27">
        <f>VLOOKUP($B303,TwoStageCT!$A$10:$H$72,5,FALSE)</f>
        <v>68.00069900375496</v>
      </c>
      <c r="AT303" s="27">
        <f>VLOOKUP($B303,TwoStageCT!$A$10:$H$72,8,FALSE)</f>
        <v>47.345132453902309</v>
      </c>
    </row>
    <row r="304" spans="1:46" x14ac:dyDescent="0.2">
      <c r="A304" s="409">
        <v>412</v>
      </c>
      <c r="B304" s="5"/>
      <c r="C304" s="19"/>
      <c r="D304" s="19"/>
      <c r="E304" s="23"/>
      <c r="F304" s="23"/>
      <c r="G304" s="347"/>
      <c r="H304" s="347"/>
      <c r="I304" s="19"/>
      <c r="J304" s="32"/>
      <c r="K304" s="31"/>
      <c r="L304" s="31"/>
      <c r="M304" s="638" t="s">
        <v>93</v>
      </c>
      <c r="N304" s="638"/>
      <c r="O304" s="20"/>
      <c r="P304" s="634"/>
      <c r="Q304" s="58"/>
      <c r="R304" s="347"/>
      <c r="S304" s="4"/>
      <c r="T304" s="4"/>
      <c r="U304" s="29"/>
      <c r="V304" s="29"/>
      <c r="W304" s="29"/>
      <c r="X304" s="29"/>
      <c r="Y304" s="24"/>
      <c r="Z304" s="29"/>
      <c r="AA304" s="25"/>
      <c r="AB304" s="26"/>
      <c r="AC304" s="14"/>
      <c r="AD304" s="635"/>
      <c r="AE304" s="35"/>
      <c r="AF304" s="28"/>
      <c r="AG304" s="29"/>
      <c r="AH304" s="4"/>
      <c r="AI304" s="4"/>
      <c r="AJ304" s="4"/>
      <c r="AK304" s="4"/>
      <c r="AL304" s="4"/>
      <c r="AM304" s="24"/>
      <c r="AN304" s="29"/>
      <c r="AO304" s="14"/>
      <c r="AP304" s="27"/>
    </row>
    <row r="305" spans="1:46" x14ac:dyDescent="0.2">
      <c r="A305" s="409">
        <v>413</v>
      </c>
      <c r="B305" s="5" t="str">
        <f>B295&amp;D305</f>
        <v>120/2005</v>
      </c>
      <c r="C305" s="19">
        <f>VLOOKUP($A305,'5 A data'!$A$5:$U$650,3,FALSE)</f>
        <v>2.1000057980615688E-2</v>
      </c>
      <c r="D305" s="19">
        <f>ROUND(VLOOKUP($A305,'5 A data'!$A$5:$U$650,9,FALSE),0)</f>
        <v>5</v>
      </c>
      <c r="E305" s="23">
        <f t="shared" si="612"/>
        <v>0.99936709902044762</v>
      </c>
      <c r="F305" s="23">
        <f t="shared" si="613"/>
        <v>1.0011822386327505</v>
      </c>
      <c r="G305" s="486">
        <f>VLOOKUP(B305,TwoStageCT!A$10:H$72,3,FALSE)/10000</f>
        <v>3.6805932694608759E-5</v>
      </c>
      <c r="H305" s="486">
        <f>VLOOKUP(B305,TwoStageCT!A$10:H$72,6,FALSE)/10000</f>
        <v>4.6965346060309593E-6</v>
      </c>
      <c r="I305" s="19">
        <f>VLOOKUP($A305,'5 A data'!$A$5:$U$650,10,FALSE)</f>
        <v>-0.22700000000000001</v>
      </c>
      <c r="J305" s="32">
        <f>VLOOKUP($A305,'5 A data'!$A$5:$U$650,11,FALSE)</f>
        <v>0.39415352274205279</v>
      </c>
      <c r="K305" s="31"/>
      <c r="L305" s="31"/>
      <c r="M305" s="31">
        <f>I305*E305+G305</f>
        <v>-0.226819525544947</v>
      </c>
      <c r="N305" s="31">
        <f>J305*F305+H305</f>
        <v>0.39462420279847921</v>
      </c>
      <c r="O305" s="20"/>
      <c r="P305" s="634">
        <f>VLOOKUP(B305,TwoStageCT!A$10:H$72,4,FALSE)/10000</f>
        <v>6.4429594675743464E-6</v>
      </c>
      <c r="Q305" s="58">
        <f>VLOOKUP($A305,'5 A data'!$A$5:$U$650,7,FALSE)*slidewire_res</f>
        <v>1E-3</v>
      </c>
      <c r="R305" s="347">
        <f t="shared" ref="R305:R310" si="622">current_coef*(I305-I306)*IF(I306=0,0,1)</f>
        <v>-8.2000000000000024E-3</v>
      </c>
      <c r="S305" s="4">
        <v>0</v>
      </c>
      <c r="T305" s="4">
        <f>BurdenUnc*K297</f>
        <v>-5.0500000000000007E-3</v>
      </c>
      <c r="U305" s="29">
        <f t="shared" ref="U305:U311" si="623">0.004*M305</f>
        <v>-9.0727810217978804E-4</v>
      </c>
      <c r="V305" s="29">
        <f t="shared" si="601"/>
        <v>5.0000000000000001E-4</v>
      </c>
      <c r="W305" s="23">
        <f>VLOOKUP($D305,Uncertainties!$B$35:$D$41,2,FALSE)</f>
        <v>5.0000000000000044E-3</v>
      </c>
      <c r="X305" s="23"/>
      <c r="Y305" s="24">
        <f t="shared" ref="Y305:Y311" si="624">I305*aux_CT_ratio</f>
        <v>-1.7602671777218521E-5</v>
      </c>
      <c r="Z305" s="23">
        <f t="shared" ref="Z305:Z311" si="625">SQRT(SUMSQ(P305:Y305))</f>
        <v>1.0946049740453195E-2</v>
      </c>
      <c r="AA305" s="25">
        <f t="shared" ref="AA305:AA311" si="626">DoF_A(P305:Y305,$P$7:$Y$7)</f>
        <v>13.235282844538084</v>
      </c>
      <c r="AB305" s="26">
        <f t="shared" ref="AB305:AB311" si="627">CoverFactor(AA305)</f>
        <v>2.1495497781755017</v>
      </c>
      <c r="AC305" s="14"/>
      <c r="AD305" s="635">
        <f>VLOOKUP(B305,TwoStageCT!A$10:H$72,7,FALSE)/10000</f>
        <v>4.6788986298833412E-6</v>
      </c>
      <c r="AE305" s="366">
        <f>IF(ABS(VLOOKUP($A305,'5 A data'!$A$5:$U$1148,6,FALSE))&lt;4.5,IF(ABS(VLOOKUP($A305,'5 A data'!$A$5:$U$1148,6,FALSE))&lt;1.25,0.0008,0.002),0.004)*VLOOKUP($A305,'5 A data'!$A$5:$U$1148,7,FALSE)*25*RADIANS(1/60)*100</f>
        <v>2.9088820866572159E-3</v>
      </c>
      <c r="AF305" s="23">
        <f t="shared" ref="AF305:AF311" si="628">current_coef*(J305-J306)*IF(J306=0,0,1)</f>
        <v>1.8907733563271901E-2</v>
      </c>
      <c r="AG305" s="29">
        <f t="shared" ref="AG305:AG311" si="629">0.001*N305</f>
        <v>3.9462420279847923E-4</v>
      </c>
      <c r="AH305" s="4">
        <f>BurdenUnc*L297</f>
        <v>7.0540390601437439E-3</v>
      </c>
      <c r="AI305" s="4">
        <f t="shared" ref="AI305:AI311" si="630">0.004*N305</f>
        <v>1.5784968111939169E-3</v>
      </c>
      <c r="AJ305" s="4">
        <f t="shared" si="608"/>
        <v>5.0000000000000001E-4</v>
      </c>
      <c r="AK305" s="21">
        <f>VLOOKUP($D305,Uncertainties!$B$35:$D$41,3,FALSE)</f>
        <v>-1.1635528346628732E-2</v>
      </c>
      <c r="AL305" s="21"/>
      <c r="AM305" s="369">
        <f>SQRT((VLOOKUP($A305,'5 A data'!$A$5:$U$1148,7,FALSE)*mutual_ind)^2+(aux_CT_phase*J305)^2)</f>
        <v>1.7051046102016308E-3</v>
      </c>
      <c r="AN305" s="29">
        <f t="shared" ref="AN305:AN311" si="631">SQRT(SUMSQ(AD305:AM305))</f>
        <v>2.3599020202737131E-2</v>
      </c>
      <c r="AO305" s="14">
        <f t="shared" ref="AO305:AO311" si="632">DoF_A(AD305:AM305,$AD$7:$AM$7)</f>
        <v>11.261743470711991</v>
      </c>
      <c r="AP305" s="27">
        <f t="shared" ref="AP305:AP311" si="633">CoverFactor(AO305)</f>
        <v>2.1856357189400724</v>
      </c>
      <c r="AS305" s="27">
        <f>VLOOKUP($B305,TwoStageCT!$A$10:$H$72,5,FALSE)</f>
        <v>26.31606241070681</v>
      </c>
      <c r="AT305" s="27">
        <f>VLOOKUP($B305,TwoStageCT!$A$10:$H$72,8,FALSE)</f>
        <v>9.9413455012810044</v>
      </c>
    </row>
    <row r="306" spans="1:46" x14ac:dyDescent="0.2">
      <c r="A306" s="409">
        <v>414</v>
      </c>
      <c r="B306" s="5" t="str">
        <f>B295&amp;D306</f>
        <v>120/20010</v>
      </c>
      <c r="C306" s="19">
        <f>VLOOKUP($A306,'5 A data'!$A$5:$U$650,3,FALSE)</f>
        <v>2.1000057980615688E-2</v>
      </c>
      <c r="D306" s="163">
        <f>ROUND(VLOOKUP($A306,'5 A data'!$A$5:$U$650,9,FALSE)/10,0)*10</f>
        <v>10</v>
      </c>
      <c r="E306" s="23">
        <f t="shared" si="612"/>
        <v>0.99936709902044762</v>
      </c>
      <c r="F306" s="23">
        <f t="shared" si="613"/>
        <v>1.0011822386327505</v>
      </c>
      <c r="G306" s="486">
        <f>VLOOKUP(B306,TwoStageCT!A$10:H$72,3,FALSE)/10000</f>
        <v>3.4690340839935311E-5</v>
      </c>
      <c r="H306" s="486">
        <f>VLOOKUP(B306,TwoStageCT!A$10:H$72,6,FALSE)/10000</f>
        <v>2.6036797087866982E-6</v>
      </c>
      <c r="I306" s="19">
        <f>VLOOKUP($A306,'5 A data'!$A$5:$U$650,10,FALSE)</f>
        <v>-0.186</v>
      </c>
      <c r="J306" s="32">
        <f>VLOOKUP($A306,'5 A data'!$A$5:$U$650,11,FALSE)</f>
        <v>0.29961485492569329</v>
      </c>
      <c r="K306" s="31"/>
      <c r="L306" s="31"/>
      <c r="M306" s="31">
        <f t="shared" ref="M306:M311" si="634">I306*E306+G306</f>
        <v>-0.1858475900769633</v>
      </c>
      <c r="N306" s="31">
        <f t="shared" ref="N306:N311" si="635">J306*F306+H306</f>
        <v>0.29997167486184112</v>
      </c>
      <c r="O306" s="20"/>
      <c r="P306" s="634">
        <f>VLOOKUP(B306,TwoStageCT!A$10:H$72,4,FALSE)/10000</f>
        <v>5.0170517941146892E-6</v>
      </c>
      <c r="Q306" s="58">
        <f>VLOOKUP($A306,'5 A data'!$A$5:$U$650,7,FALSE)*slidewire_res</f>
        <v>1E-3</v>
      </c>
      <c r="R306" s="347">
        <f t="shared" si="622"/>
        <v>-5.7999999999999996E-3</v>
      </c>
      <c r="S306" s="4">
        <v>0</v>
      </c>
      <c r="T306" s="4">
        <f t="shared" ref="T306:T311" si="636">BurdenUnc*K298</f>
        <v>-4.6500000000000014E-3</v>
      </c>
      <c r="U306" s="29">
        <f t="shared" si="623"/>
        <v>-7.4339036030785324E-4</v>
      </c>
      <c r="V306" s="29">
        <f t="shared" si="601"/>
        <v>5.0000000000000001E-4</v>
      </c>
      <c r="W306" s="23">
        <f>VLOOKUP($D306,Uncertainties!$B$35:$D$41,2,FALSE)</f>
        <v>2.5000000000000022E-3</v>
      </c>
      <c r="X306" s="23"/>
      <c r="Y306" s="24">
        <f t="shared" si="624"/>
        <v>-1.4423334583976409E-5</v>
      </c>
      <c r="Z306" s="23">
        <f t="shared" si="625"/>
        <v>7.9570951000467426E-3</v>
      </c>
      <c r="AA306" s="25">
        <f t="shared" si="626"/>
        <v>12.402230904776347</v>
      </c>
      <c r="AB306" s="26">
        <f t="shared" si="627"/>
        <v>2.1632564808182768</v>
      </c>
      <c r="AC306" s="14"/>
      <c r="AD306" s="635">
        <f>VLOOKUP(B306,TwoStageCT!A$10:H$72,7,FALSE)/10000</f>
        <v>2.600738521505678E-6</v>
      </c>
      <c r="AE306" s="366">
        <f>IF(ABS(VLOOKUP($A306,'5 A data'!$A$5:$U$1148,6,FALSE))&lt;4.5,IF(ABS(VLOOKUP($A306,'5 A data'!$A$5:$U$1148,6,FALSE))&lt;1.25,0.0008,0.002),0.004)*VLOOKUP($A306,'5 A data'!$A$5:$U$1148,7,FALSE)*25*RADIANS(1/60)*100</f>
        <v>2.9088820866572159E-3</v>
      </c>
      <c r="AF306" s="23">
        <f t="shared" si="628"/>
        <v>1.1635528346628871E-2</v>
      </c>
      <c r="AG306" s="29">
        <f t="shared" si="629"/>
        <v>2.9997167486184111E-4</v>
      </c>
      <c r="AH306" s="4">
        <f t="shared" ref="AH306:AH311" si="637">BurdenUnc*L298</f>
        <v>6.6904287993115961E-3</v>
      </c>
      <c r="AI306" s="4">
        <f t="shared" si="630"/>
        <v>1.1998866994473644E-3</v>
      </c>
      <c r="AJ306" s="4">
        <f t="shared" si="608"/>
        <v>5.0000000000000001E-4</v>
      </c>
      <c r="AK306" s="21">
        <f>VLOOKUP($D306,Uncertainties!$B$35:$D$41,3,FALSE)</f>
        <v>4.363323129985941E-3</v>
      </c>
      <c r="AL306" s="21"/>
      <c r="AM306" s="369">
        <f>SQRT((VLOOKUP($A306,'5 A data'!$A$5:$U$1148,7,FALSE)*mutual_ind)^2+(aux_CT_phase*J306)^2)</f>
        <v>1.7030466835145975E-3</v>
      </c>
      <c r="AN306" s="29">
        <f t="shared" si="631"/>
        <v>1.4571466193280229E-2</v>
      </c>
      <c r="AO306" s="14">
        <f t="shared" si="632"/>
        <v>10.963768476704686</v>
      </c>
      <c r="AP306" s="27">
        <f t="shared" si="633"/>
        <v>2.1923296134444654</v>
      </c>
      <c r="AS306" s="27">
        <f>VLOOKUP($B306,TwoStageCT!$A$10:$H$72,5,FALSE)</f>
        <v>38.265350164989712</v>
      </c>
      <c r="AT306" s="27">
        <f>VLOOKUP($B306,TwoStageCT!$A$10:$H$72,8,FALSE)</f>
        <v>16.586629386739094</v>
      </c>
    </row>
    <row r="307" spans="1:46" x14ac:dyDescent="0.2">
      <c r="A307" s="409">
        <v>415</v>
      </c>
      <c r="B307" s="5" t="str">
        <f>B295&amp;D307</f>
        <v>120/20020</v>
      </c>
      <c r="C307" s="19">
        <f>VLOOKUP($A307,'5 A data'!$A$5:$U$650,3,FALSE)</f>
        <v>2.1000057980615688E-2</v>
      </c>
      <c r="D307" s="163">
        <f>ROUND(VLOOKUP($A307,'5 A data'!$A$5:$U$650,9,FALSE)/10,0)*10</f>
        <v>20</v>
      </c>
      <c r="E307" s="23">
        <f t="shared" si="612"/>
        <v>0.99936709902044762</v>
      </c>
      <c r="F307" s="23">
        <f t="shared" si="613"/>
        <v>1.0011822386327505</v>
      </c>
      <c r="G307" s="486">
        <f>VLOOKUP(B307,TwoStageCT!A$10:H$72,3,FALSE)/10000</f>
        <v>3.1280516301103777E-5</v>
      </c>
      <c r="H307" s="486">
        <f>VLOOKUP(B307,TwoStageCT!A$10:H$72,6,FALSE)/10000</f>
        <v>4.5493238991726806E-6</v>
      </c>
      <c r="I307" s="19">
        <f>VLOOKUP($A307,'5 A data'!$A$5:$U$650,10,FALSE)</f>
        <v>-0.157</v>
      </c>
      <c r="J307" s="32">
        <f>VLOOKUP($A307,'5 A data'!$A$5:$U$650,11,FALSE)</f>
        <v>0.24143721319254893</v>
      </c>
      <c r="K307" s="31"/>
      <c r="L307" s="31"/>
      <c r="M307" s="31">
        <f t="shared" si="634"/>
        <v>-0.15686935402990917</v>
      </c>
      <c r="N307" s="31">
        <f t="shared" si="635"/>
        <v>0.24172719891726796</v>
      </c>
      <c r="O307" s="20"/>
      <c r="P307" s="634">
        <f>VLOOKUP(B307,TwoStageCT!A$10:H$72,4,FALSE)/10000</f>
        <v>4.17832023036102E-6</v>
      </c>
      <c r="Q307" s="58">
        <f>VLOOKUP($A307,'5 A data'!$A$5:$U$650,7,FALSE)*slidewire_res</f>
        <v>1E-3</v>
      </c>
      <c r="R307" s="347">
        <f t="shared" si="622"/>
        <v>-3.7999999999999978E-3</v>
      </c>
      <c r="S307" s="4">
        <v>0</v>
      </c>
      <c r="T307" s="4">
        <f t="shared" si="636"/>
        <v>-4.1999999999999997E-3</v>
      </c>
      <c r="U307" s="29">
        <f t="shared" si="623"/>
        <v>-6.2747741611963667E-4</v>
      </c>
      <c r="V307" s="29">
        <f t="shared" si="601"/>
        <v>5.0000000000000001E-4</v>
      </c>
      <c r="W307" s="23">
        <f>VLOOKUP($D307,Uncertainties!$B$35:$D$41,2,FALSE)</f>
        <v>-1.0000000000000009E-3</v>
      </c>
      <c r="X307" s="23"/>
      <c r="Y307" s="24">
        <f t="shared" si="624"/>
        <v>-1.2174535105829549E-5</v>
      </c>
      <c r="Z307" s="23">
        <f t="shared" si="625"/>
        <v>5.89269832805016E-3</v>
      </c>
      <c r="AA307" s="25">
        <f t="shared" si="626"/>
        <v>11.564810248370078</v>
      </c>
      <c r="AB307" s="26">
        <f t="shared" si="627"/>
        <v>2.179216184883241</v>
      </c>
      <c r="AC307" s="14"/>
      <c r="AD307" s="635">
        <f>VLOOKUP(B307,TwoStageCT!A$10:H$72,7,FALSE)/10000</f>
        <v>1.9770475075939077E-6</v>
      </c>
      <c r="AE307" s="366">
        <f>IF(ABS(VLOOKUP($A307,'5 A data'!$A$5:$U$1148,6,FALSE))&lt;4.5,IF(ABS(VLOOKUP($A307,'5 A data'!$A$5:$U$1148,6,FALSE))&lt;1.25,0.0008,0.002),0.004)*VLOOKUP($A307,'5 A data'!$A$5:$U$1148,7,FALSE)*25*RADIANS(1/60)*100</f>
        <v>2.9088820866572159E-3</v>
      </c>
      <c r="AF307" s="23">
        <f t="shared" si="628"/>
        <v>7.2722052166430467E-3</v>
      </c>
      <c r="AG307" s="29">
        <f t="shared" si="629"/>
        <v>2.4172719891726798E-4</v>
      </c>
      <c r="AH307" s="4">
        <f t="shared" si="637"/>
        <v>5.9632082776472934E-3</v>
      </c>
      <c r="AI307" s="4">
        <f t="shared" si="630"/>
        <v>9.6690879566907191E-4</v>
      </c>
      <c r="AJ307" s="4">
        <f t="shared" si="608"/>
        <v>5.0000000000000001E-4</v>
      </c>
      <c r="AK307" s="21">
        <f>VLOOKUP($D307,Uncertainties!$B$35:$D$41,3,FALSE)</f>
        <v>-1.454441043328647E-3</v>
      </c>
      <c r="AL307" s="21"/>
      <c r="AM307" s="369">
        <f>SQRT((VLOOKUP($A307,'5 A data'!$A$5:$U$1148,7,FALSE)*mutual_ind)^2+(aux_CT_phase*J307)^2)</f>
        <v>1.7020581543825786E-3</v>
      </c>
      <c r="AN307" s="29">
        <f t="shared" si="631"/>
        <v>1.0156877765613869E-2</v>
      </c>
      <c r="AO307" s="14">
        <f t="shared" si="632"/>
        <v>12.840635795548195</v>
      </c>
      <c r="AP307" s="27">
        <f t="shared" si="633"/>
        <v>2.1558026859399315</v>
      </c>
      <c r="AS307" s="27">
        <f>VLOOKUP($B307,TwoStageCT!$A$10:$H$72,5,FALSE)</f>
        <v>36.657700403051521</v>
      </c>
      <c r="AT307" s="27">
        <f>VLOOKUP($B307,TwoStageCT!$A$10:$H$72,8,FALSE)</f>
        <v>53.09445811850042</v>
      </c>
    </row>
    <row r="308" spans="1:46" x14ac:dyDescent="0.2">
      <c r="A308" s="409">
        <v>416</v>
      </c>
      <c r="B308" s="5" t="str">
        <f>B295&amp;D308</f>
        <v>120/20040</v>
      </c>
      <c r="C308" s="19">
        <f>VLOOKUP($A308,'5 A data'!$A$5:$U$650,3,FALSE)</f>
        <v>2.1000057980615688E-2</v>
      </c>
      <c r="D308" s="163">
        <f>ROUND(VLOOKUP($A308,'5 A data'!$A$5:$U$650,9,FALSE)/10,0)*10</f>
        <v>40</v>
      </c>
      <c r="E308" s="23">
        <f t="shared" si="612"/>
        <v>0.99936709902044762</v>
      </c>
      <c r="F308" s="23">
        <f t="shared" si="613"/>
        <v>1.0011822386327505</v>
      </c>
      <c r="G308" s="486">
        <f>VLOOKUP(B308,TwoStageCT!A$10:H$72,3,FALSE)/10000</f>
        <v>2.5200167333853628E-5</v>
      </c>
      <c r="H308" s="486">
        <f>VLOOKUP(B308,TwoStageCT!A$10:H$72,6,FALSE)/10000</f>
        <v>5.7416420558101514E-6</v>
      </c>
      <c r="I308" s="19">
        <f>VLOOKUP($A308,'5 A data'!$A$5:$U$650,10,FALSE)</f>
        <v>-0.13800000000000001</v>
      </c>
      <c r="J308" s="32">
        <f>VLOOKUP($A308,'5 A data'!$A$5:$U$650,11,FALSE)</f>
        <v>0.2050761871093337</v>
      </c>
      <c r="K308" s="31"/>
      <c r="L308" s="31"/>
      <c r="M308" s="31">
        <f t="shared" si="634"/>
        <v>-0.13788745949748793</v>
      </c>
      <c r="N308" s="31">
        <f t="shared" si="635"/>
        <v>0.20532437774244733</v>
      </c>
      <c r="O308" s="20"/>
      <c r="P308" s="634">
        <f>VLOOKUP(B308,TwoStageCT!A$10:H$72,4,FALSE)/10000</f>
        <v>3.3964590328801363E-6</v>
      </c>
      <c r="Q308" s="58">
        <f>VLOOKUP($A308,'5 A data'!$A$5:$U$650,7,FALSE)*slidewire_res</f>
        <v>1E-3</v>
      </c>
      <c r="R308" s="347">
        <f t="shared" si="622"/>
        <v>-1.6000000000000016E-3</v>
      </c>
      <c r="S308" s="4">
        <v>0</v>
      </c>
      <c r="T308" s="4">
        <f t="shared" si="636"/>
        <v>-3.9999999999999992E-3</v>
      </c>
      <c r="U308" s="29">
        <f t="shared" si="623"/>
        <v>-5.5154983798995176E-4</v>
      </c>
      <c r="V308" s="29">
        <f t="shared" si="601"/>
        <v>5.0000000000000001E-4</v>
      </c>
      <c r="W308" s="23">
        <f>VLOOKUP($D308,Uncertainties!$B$35:$D$41,2,FALSE)</f>
        <v>-1.0000000000000009E-3</v>
      </c>
      <c r="X308" s="23"/>
      <c r="Y308" s="24">
        <f t="shared" si="624"/>
        <v>-1.0701183723595402E-5</v>
      </c>
      <c r="Z308" s="23">
        <f t="shared" si="625"/>
        <v>4.5950335444971228E-3</v>
      </c>
      <c r="AA308" s="25">
        <f t="shared" si="626"/>
        <v>8.4399939773416826</v>
      </c>
      <c r="AB308" s="26">
        <f t="shared" si="627"/>
        <v>2.2707266780560973</v>
      </c>
      <c r="AC308" s="14"/>
      <c r="AD308" s="635">
        <f>VLOOKUP(B308,TwoStageCT!A$10:H$72,7,FALSE)/10000</f>
        <v>1.6849048737447556E-6</v>
      </c>
      <c r="AE308" s="366">
        <f>IF(ABS(VLOOKUP($A308,'5 A data'!$A$5:$U$1148,6,FALSE))&lt;4.5,IF(ABS(VLOOKUP($A308,'5 A data'!$A$5:$U$1148,6,FALSE))&lt;1.25,0.0008,0.002),0.004)*VLOOKUP($A308,'5 A data'!$A$5:$U$1148,7,FALSE)*25*RADIANS(1/60)*100</f>
        <v>2.9088820866572159E-3</v>
      </c>
      <c r="AF308" s="23">
        <f t="shared" si="628"/>
        <v>2.9088820866572107E-3</v>
      </c>
      <c r="AG308" s="29">
        <f t="shared" si="629"/>
        <v>2.0532437774244732E-4</v>
      </c>
      <c r="AH308" s="4">
        <f t="shared" si="637"/>
        <v>5.454153912482284E-3</v>
      </c>
      <c r="AI308" s="4">
        <f t="shared" si="630"/>
        <v>8.2129751096978929E-4</v>
      </c>
      <c r="AJ308" s="4">
        <f t="shared" si="608"/>
        <v>5.0000000000000001E-4</v>
      </c>
      <c r="AK308" s="21">
        <f>VLOOKUP($D308,Uncertainties!$B$35:$D$41,3,FALSE)</f>
        <v>-2.908882086657183E-3</v>
      </c>
      <c r="AL308" s="21"/>
      <c r="AM308" s="369">
        <f>SQRT((VLOOKUP($A308,'5 A data'!$A$5:$U$1148,7,FALSE)*mutual_ind)^2+(aux_CT_phase*J308)^2)</f>
        <v>1.7015480534634398E-3</v>
      </c>
      <c r="AN308" s="29">
        <f t="shared" si="631"/>
        <v>7.6807900766810077E-3</v>
      </c>
      <c r="AO308" s="14">
        <f t="shared" si="632"/>
        <v>16.329427135111068</v>
      </c>
      <c r="AP308" s="27">
        <f t="shared" si="633"/>
        <v>2.1116656194106969</v>
      </c>
      <c r="AS308" s="27">
        <f>VLOOKUP($B308,TwoStageCT!$A$10:$H$72,5,FALSE)</f>
        <v>38.659909732018328</v>
      </c>
      <c r="AT308" s="27">
        <f>VLOOKUP($B308,TwoStageCT!$A$10:$H$72,8,FALSE)</f>
        <v>52.499330597885681</v>
      </c>
    </row>
    <row r="309" spans="1:46" x14ac:dyDescent="0.2">
      <c r="A309" s="409">
        <v>417</v>
      </c>
      <c r="B309" s="5" t="str">
        <f>B295&amp;D309</f>
        <v>120/20060</v>
      </c>
      <c r="C309" s="19">
        <f>VLOOKUP($A309,'5 A data'!$A$5:$U$650,3,FALSE)</f>
        <v>2.1000057980615688E-2</v>
      </c>
      <c r="D309" s="163">
        <f>ROUND(VLOOKUP($A309,'5 A data'!$A$5:$U$650,9,FALSE)/10,0)*10</f>
        <v>60</v>
      </c>
      <c r="E309" s="23">
        <f t="shared" si="612"/>
        <v>0.99936709902044762</v>
      </c>
      <c r="F309" s="23">
        <f t="shared" si="613"/>
        <v>1.0011822386327505</v>
      </c>
      <c r="G309" s="486">
        <f>VLOOKUP(B309,TwoStageCT!A$10:H$72,3,FALSE)/10000</f>
        <v>2.195627602528684E-5</v>
      </c>
      <c r="H309" s="486">
        <f>VLOOKUP(B309,TwoStageCT!A$10:H$72,6,FALSE)/10000</f>
        <v>5.5507836163637805E-6</v>
      </c>
      <c r="I309" s="19">
        <f>VLOOKUP($A309,'5 A data'!$A$5:$U$650,10,FALSE)</f>
        <v>-0.13</v>
      </c>
      <c r="J309" s="32">
        <f>VLOOKUP($A309,'5 A data'!$A$5:$U$650,11,FALSE)</f>
        <v>0.19053177667604765</v>
      </c>
      <c r="K309" s="31"/>
      <c r="L309" s="31"/>
      <c r="M309" s="31">
        <f t="shared" si="634"/>
        <v>-0.12989576659663293</v>
      </c>
      <c r="N309" s="31">
        <f t="shared" si="635"/>
        <v>0.19076258148681702</v>
      </c>
      <c r="O309" s="20"/>
      <c r="P309" s="634">
        <f>VLOOKUP(B309,TwoStageCT!A$10:H$72,4,FALSE)/10000</f>
        <v>2.9709098248278708E-6</v>
      </c>
      <c r="Q309" s="58">
        <f>VLOOKUP($A309,'5 A data'!$A$5:$U$650,7,FALSE)*slidewire_res</f>
        <v>1E-3</v>
      </c>
      <c r="R309" s="347">
        <f t="shared" si="622"/>
        <v>-1.8000000000000017E-3</v>
      </c>
      <c r="S309" s="4">
        <v>0</v>
      </c>
      <c r="T309" s="4">
        <f t="shared" si="636"/>
        <v>-3.7999999999999996E-3</v>
      </c>
      <c r="U309" s="29">
        <f t="shared" si="623"/>
        <v>-5.1958306638653169E-4</v>
      </c>
      <c r="V309" s="29">
        <f t="shared" si="601"/>
        <v>5.0000000000000001E-4</v>
      </c>
      <c r="W309" s="23">
        <f>VLOOKUP($D309,Uncertainties!$B$35:$D$41,2,FALSE)</f>
        <v>-1.0000000000000009E-3</v>
      </c>
      <c r="X309" s="23"/>
      <c r="Y309" s="24">
        <f t="shared" si="624"/>
        <v>-1.0080825246865232E-5</v>
      </c>
      <c r="Z309" s="23">
        <f t="shared" si="625"/>
        <v>4.4944495783375386E-3</v>
      </c>
      <c r="AA309" s="25">
        <f t="shared" si="626"/>
        <v>9.2507239895028111</v>
      </c>
      <c r="AB309" s="26">
        <f t="shared" si="627"/>
        <v>2.2402601621361407</v>
      </c>
      <c r="AC309" s="14"/>
      <c r="AD309" s="635">
        <f>VLOOKUP(B309,TwoStageCT!A$10:H$72,7,FALSE)/10000</f>
        <v>1.6017059195029239E-6</v>
      </c>
      <c r="AE309" s="366">
        <f>IF(ABS(VLOOKUP($A309,'5 A data'!$A$5:$U$1148,6,FALSE))&lt;4.5,IF(ABS(VLOOKUP($A309,'5 A data'!$A$5:$U$1148,6,FALSE))&lt;1.25,0.0008,0.002),0.004)*VLOOKUP($A309,'5 A data'!$A$5:$U$1148,7,FALSE)*25*RADIANS(1/60)*100</f>
        <v>2.9088820866572159E-3</v>
      </c>
      <c r="AF309" s="23">
        <f t="shared" si="628"/>
        <v>3.1997702953229404E-3</v>
      </c>
      <c r="AG309" s="29">
        <f t="shared" si="629"/>
        <v>1.9076258148681703E-4</v>
      </c>
      <c r="AH309" s="4">
        <f t="shared" si="637"/>
        <v>5.1632657038165582E-3</v>
      </c>
      <c r="AI309" s="4">
        <f t="shared" si="630"/>
        <v>7.6305032594726813E-4</v>
      </c>
      <c r="AJ309" s="4">
        <f t="shared" si="608"/>
        <v>5.0000000000000001E-4</v>
      </c>
      <c r="AK309" s="21">
        <f>VLOOKUP($D309,Uncertainties!$B$35:$D$41,3,FALSE)</f>
        <v>-2.908882086657183E-3</v>
      </c>
      <c r="AL309" s="21"/>
      <c r="AM309" s="369">
        <f>SQRT((VLOOKUP($A309,'5 A data'!$A$5:$U$1148,7,FALSE)*mutual_ind)^2+(aux_CT_phase*J309)^2)</f>
        <v>1.7013672383223266E-3</v>
      </c>
      <c r="AN309" s="29">
        <f t="shared" si="631"/>
        <v>7.5884334263872791E-3</v>
      </c>
      <c r="AO309" s="14">
        <f t="shared" si="632"/>
        <v>17.932484026860429</v>
      </c>
      <c r="AP309" s="27">
        <f t="shared" si="633"/>
        <v>2.0974653175407636</v>
      </c>
      <c r="AS309" s="27">
        <f>VLOOKUP($B309,TwoStageCT!$A$10:$H$72,5,FALSE)</f>
        <v>42.291164682130272</v>
      </c>
      <c r="AT309" s="27">
        <f>VLOOKUP($B309,TwoStageCT!$A$10:$H$72,8,FALSE)</f>
        <v>48.978667479860043</v>
      </c>
    </row>
    <row r="310" spans="1:46" x14ac:dyDescent="0.2">
      <c r="A310" s="409">
        <v>418</v>
      </c>
      <c r="B310" s="5" t="str">
        <f>B295&amp;D310</f>
        <v>120/200100</v>
      </c>
      <c r="C310" s="19">
        <f>VLOOKUP($A310,'5 A data'!$A$5:$U$650,3,FALSE)</f>
        <v>2.1000057980615688E-2</v>
      </c>
      <c r="D310" s="164">
        <f>ROUND(VLOOKUP($A310,'5 A data'!$A$5:$U$650,9,FALSE)/10,0)*10</f>
        <v>100</v>
      </c>
      <c r="E310" s="23">
        <f t="shared" si="612"/>
        <v>0.99936709902044762</v>
      </c>
      <c r="F310" s="23">
        <f t="shared" si="613"/>
        <v>1.0011822386327505</v>
      </c>
      <c r="G310" s="486">
        <f>VLOOKUP(B310,TwoStageCT!A$10:H$72,3,FALSE)/10000</f>
        <v>1.6881396356939836E-5</v>
      </c>
      <c r="H310" s="486">
        <f>VLOOKUP(B310,TwoStageCT!A$10:H$72,6,FALSE)/10000</f>
        <v>7.3590724152435355E-6</v>
      </c>
      <c r="I310" s="19">
        <f>VLOOKUP($A310,'5 A data'!$A$5:$U$650,10,FALSE)</f>
        <v>-0.121</v>
      </c>
      <c r="J310" s="32">
        <f>VLOOKUP($A310,'5 A data'!$A$5:$U$650,11,FALSE)</f>
        <v>0.17453292519943295</v>
      </c>
      <c r="K310" s="31"/>
      <c r="L310" s="31"/>
      <c r="M310" s="31">
        <f t="shared" si="634"/>
        <v>-0.12090653758511721</v>
      </c>
      <c r="N310" s="31">
        <f t="shared" si="635"/>
        <v>0.17474662383870593</v>
      </c>
      <c r="O310" s="20"/>
      <c r="P310" s="634">
        <f>VLOOKUP(B310,TwoStageCT!A$10:H$72,4,FALSE)/10000</f>
        <v>2.4131313466023584E-6</v>
      </c>
      <c r="Q310" s="58">
        <f>VLOOKUP($A310,'5 A data'!$A$5:$U$650,7,FALSE)*slidewire_res</f>
        <v>1E-3</v>
      </c>
      <c r="R310" s="347">
        <f t="shared" si="622"/>
        <v>-4.000000000000004E-4</v>
      </c>
      <c r="S310" s="4">
        <v>0</v>
      </c>
      <c r="T310" s="4">
        <f t="shared" si="636"/>
        <v>-3.5500000000000006E-3</v>
      </c>
      <c r="U310" s="29">
        <f t="shared" si="623"/>
        <v>-4.8362615034046888E-4</v>
      </c>
      <c r="V310" s="29">
        <f t="shared" si="601"/>
        <v>5.0000000000000001E-4</v>
      </c>
      <c r="W310" s="23">
        <f>VLOOKUP($D310,Uncertainties!$B$35:$D$41,2,FALSE)</f>
        <v>1.999999999999974E-3</v>
      </c>
      <c r="X310" s="23"/>
      <c r="Y310" s="24">
        <f t="shared" si="624"/>
        <v>-9.3829219605437922E-6</v>
      </c>
      <c r="Z310" s="23">
        <f t="shared" si="625"/>
        <v>4.2715908179178936E-3</v>
      </c>
      <c r="AA310" s="25">
        <f t="shared" si="626"/>
        <v>10.006092086913165</v>
      </c>
      <c r="AB310" s="26">
        <f t="shared" si="627"/>
        <v>2.2168603254515564</v>
      </c>
      <c r="AC310" s="14"/>
      <c r="AD310" s="635">
        <f>VLOOKUP(B310,TwoStageCT!A$10:H$72,7,FALSE)/10000</f>
        <v>1.6933288916776063E-6</v>
      </c>
      <c r="AE310" s="366">
        <f>IF(ABS(VLOOKUP($A310,'5 A data'!$A$5:$U$1148,6,FALSE))&lt;4.5,IF(ABS(VLOOKUP($A310,'5 A data'!$A$5:$U$1148,6,FALSE))&lt;1.25,0.0008,0.002),0.004)*VLOOKUP($A310,'5 A data'!$A$5:$U$1148,7,FALSE)*25*RADIANS(1/60)*100</f>
        <v>2.9088820866572159E-3</v>
      </c>
      <c r="AF310" s="23">
        <f t="shared" si="628"/>
        <v>5.8177641733143666E-4</v>
      </c>
      <c r="AG310" s="29">
        <f t="shared" si="629"/>
        <v>1.7474662383870594E-4</v>
      </c>
      <c r="AH310" s="4">
        <f t="shared" si="637"/>
        <v>4.799655442984406E-3</v>
      </c>
      <c r="AI310" s="4">
        <f t="shared" si="630"/>
        <v>6.9898649535482375E-4</v>
      </c>
      <c r="AJ310" s="4">
        <f t="shared" si="608"/>
        <v>5.0000000000000001E-4</v>
      </c>
      <c r="AK310" s="21">
        <f>VLOOKUP($D310,Uncertainties!$B$35:$D$41,3,FALSE)</f>
        <v>-2.9088820866572385E-3</v>
      </c>
      <c r="AL310" s="21"/>
      <c r="AM310" s="369">
        <f>SQRT((VLOOKUP($A310,'5 A data'!$A$5:$U$1148,7,FALSE)*mutual_ind)^2+(aux_CT_phase*J310)^2)</f>
        <v>1.7011836780036968E-3</v>
      </c>
      <c r="AN310" s="29">
        <f t="shared" si="631"/>
        <v>6.630346403935756E-3</v>
      </c>
      <c r="AO310" s="14">
        <f t="shared" si="632"/>
        <v>15.10516311920783</v>
      </c>
      <c r="AP310" s="27">
        <f t="shared" si="633"/>
        <v>2.1246737071622319</v>
      </c>
      <c r="AS310" s="27">
        <f>VLOOKUP($B310,TwoStageCT!$A$10:$H$72,5,FALSE)</f>
        <v>59.567261398457461</v>
      </c>
      <c r="AT310" s="27">
        <f>VLOOKUP($B310,TwoStageCT!$A$10:$H$72,8,FALSE)</f>
        <v>45.732629829898706</v>
      </c>
    </row>
    <row r="311" spans="1:46" x14ac:dyDescent="0.2">
      <c r="A311" s="409">
        <v>419</v>
      </c>
      <c r="B311" s="5" t="str">
        <f>B295&amp;D311</f>
        <v>120/200120</v>
      </c>
      <c r="C311" s="19">
        <f>VLOOKUP($A311,'5 A data'!$A$5:$U$650,3,FALSE)</f>
        <v>2.1000057980615688E-2</v>
      </c>
      <c r="D311" s="164">
        <f>ROUND(VLOOKUP($A311,'5 A data'!$A$5:$U$650,9,FALSE)/10,0)*10</f>
        <v>120</v>
      </c>
      <c r="E311" s="23">
        <f t="shared" si="612"/>
        <v>0.99936709902044762</v>
      </c>
      <c r="F311" s="23">
        <f t="shared" si="613"/>
        <v>1.0011822386327505</v>
      </c>
      <c r="G311" s="486">
        <f>VLOOKUP(B311,TwoStageCT!A$10:H$72,3,FALSE)/10000</f>
        <v>1.5213305302217845E-5</v>
      </c>
      <c r="H311" s="486">
        <f>VLOOKUP(B311,TwoStageCT!A$10:H$72,6,FALSE)/10000</f>
        <v>7.5885012454326174E-6</v>
      </c>
      <c r="I311" s="19">
        <f>VLOOKUP($A311,'5 A data'!$A$5:$U$650,10,FALSE)</f>
        <v>-0.11899999999999999</v>
      </c>
      <c r="J311" s="32">
        <f>VLOOKUP($A311,'5 A data'!$A$5:$U$650,11,FALSE)</f>
        <v>0.17162404311277576</v>
      </c>
      <c r="K311" s="31"/>
      <c r="L311" s="31"/>
      <c r="M311" s="31">
        <f t="shared" si="634"/>
        <v>-0.11890947147813105</v>
      </c>
      <c r="N311" s="31">
        <f t="shared" si="635"/>
        <v>0.17183453218809797</v>
      </c>
      <c r="O311" s="20"/>
      <c r="P311" s="634">
        <f>VLOOKUP(B311,TwoStageCT!A$10:H$72,4,FALSE)/10000</f>
        <v>2.2681305202526645E-6</v>
      </c>
      <c r="Q311" s="58">
        <f>VLOOKUP($A311,'5 A data'!$A$5:$U$650,7,FALSE)*slidewire_res</f>
        <v>1E-3</v>
      </c>
      <c r="R311" s="347">
        <f>current_coef*(I311-I312)*IF(I312=0,0,1)</f>
        <v>0</v>
      </c>
      <c r="S311" s="4">
        <v>0</v>
      </c>
      <c r="T311" s="4">
        <f t="shared" si="636"/>
        <v>-3.5500000000000006E-3</v>
      </c>
      <c r="U311" s="29">
        <f t="shared" si="623"/>
        <v>-4.7563788591252422E-4</v>
      </c>
      <c r="V311" s="29">
        <f t="shared" si="601"/>
        <v>5.0000000000000001E-4</v>
      </c>
      <c r="W311" s="23">
        <f>VLOOKUP($D311,Uncertainties!$B$35:$D$41,2,FALSE)</f>
        <v>-1.0000000000000009E-3</v>
      </c>
      <c r="X311" s="23"/>
      <c r="Y311" s="24">
        <f t="shared" si="624"/>
        <v>-9.2278323413612514E-6</v>
      </c>
      <c r="Z311" s="23">
        <f t="shared" si="625"/>
        <v>3.8831458504440856E-3</v>
      </c>
      <c r="AA311" s="25">
        <f t="shared" si="626"/>
        <v>7.0904191712536306</v>
      </c>
      <c r="AB311" s="26">
        <f t="shared" si="627"/>
        <v>2.3397782721930618</v>
      </c>
      <c r="AC311" s="14"/>
      <c r="AD311" s="635">
        <f>VLOOKUP(B311,TwoStageCT!A$10:H$72,7,FALSE)/10000</f>
        <v>1.7092397901526349E-6</v>
      </c>
      <c r="AE311" s="366">
        <f>IF(ABS(VLOOKUP($A311,'5 A data'!$A$5:$U$1148,6,FALSE))&lt;4.5,IF(ABS(VLOOKUP($A311,'5 A data'!$A$5:$U$1148,6,FALSE))&lt;1.25,0.0008,0.002),0.004)*VLOOKUP($A311,'5 A data'!$A$5:$U$1148,7,FALSE)*25*RADIANS(1/60)*100</f>
        <v>2.9088820866572159E-3</v>
      </c>
      <c r="AF311" s="23">
        <f t="shared" si="628"/>
        <v>0</v>
      </c>
      <c r="AG311" s="29">
        <f t="shared" si="629"/>
        <v>1.7183453218809797E-4</v>
      </c>
      <c r="AH311" s="4">
        <f t="shared" si="637"/>
        <v>4.4360451821522503E-3</v>
      </c>
      <c r="AI311" s="4">
        <f t="shared" si="630"/>
        <v>6.873381287523919E-4</v>
      </c>
      <c r="AJ311" s="4">
        <f t="shared" si="608"/>
        <v>5.0000000000000001E-4</v>
      </c>
      <c r="AK311" s="21">
        <f>VLOOKUP($D311,Uncertainties!$B$35:$D$41,3,FALSE)</f>
        <v>1.4544410433285915E-3</v>
      </c>
      <c r="AL311" s="21"/>
      <c r="AM311" s="369">
        <f>SQRT((VLOOKUP($A311,'5 A data'!$A$5:$U$1148,7,FALSE)*mutual_ind)^2+(aux_CT_phase*J311)^2)</f>
        <v>1.7011520299637143E-3</v>
      </c>
      <c r="AN311" s="29">
        <f t="shared" si="631"/>
        <v>5.8224885196047974E-3</v>
      </c>
      <c r="AO311" s="14">
        <f t="shared" si="632"/>
        <v>12.245044826121983</v>
      </c>
      <c r="AP311" s="27">
        <f t="shared" si="633"/>
        <v>2.1660706349336429</v>
      </c>
      <c r="AS311" s="27">
        <f>VLOOKUP($B311,TwoStageCT!$A$10:$H$72,5,FALSE)</f>
        <v>68.00069900375496</v>
      </c>
      <c r="AT311" s="27">
        <f>VLOOKUP($B311,TwoStageCT!$A$10:$H$72,8,FALSE)</f>
        <v>47.345132453902309</v>
      </c>
    </row>
    <row r="312" spans="1:46" x14ac:dyDescent="0.2">
      <c r="A312" s="409">
        <v>420</v>
      </c>
      <c r="P312" s="97"/>
      <c r="AD312" s="250"/>
    </row>
    <row r="313" spans="1:46" x14ac:dyDescent="0.2">
      <c r="A313" s="409">
        <v>421</v>
      </c>
      <c r="B313" s="474" t="str">
        <f>MID(D313,FIND("AT,",D313,1)-4,3)&amp;"/"&amp;MID(D313,FIND("AT,",D313,1)+4,3)</f>
        <v>120/200</v>
      </c>
      <c r="C313" t="s">
        <v>113</v>
      </c>
      <c r="D313" s="59" t="str">
        <f>VLOOKUP($A313,'5 A data'!$A$5:$U$574,2,FALSE)</f>
        <v>200/5 Range, 1 turns @ 5VA burden, vs 120 AT, 200 range, 2 Stage CT</v>
      </c>
      <c r="P313" s="97"/>
      <c r="R313" s="42"/>
      <c r="Z313" s="29"/>
      <c r="AA313" s="25"/>
      <c r="AD313" s="250"/>
      <c r="AN313" s="29"/>
      <c r="AO313" s="14"/>
    </row>
    <row r="314" spans="1:46" x14ac:dyDescent="0.2">
      <c r="A314" s="409">
        <v>422</v>
      </c>
      <c r="C314" s="19"/>
      <c r="M314" s="638" t="s">
        <v>160</v>
      </c>
      <c r="N314" s="638"/>
      <c r="O314" s="19"/>
      <c r="P314" s="97"/>
      <c r="R314" s="42"/>
      <c r="Z314" s="29"/>
      <c r="AA314" s="25"/>
      <c r="AD314" s="250"/>
      <c r="AN314" s="29"/>
      <c r="AO314" s="14"/>
    </row>
    <row r="315" spans="1:46" x14ac:dyDescent="0.2">
      <c r="A315" s="409">
        <v>423</v>
      </c>
      <c r="B315" s="5" t="str">
        <f>B313&amp;D315</f>
        <v>120/2005</v>
      </c>
      <c r="C315" s="19">
        <f>VLOOKUP($A315,'5 A data'!$A$5:$U$574,3,FALSE)</f>
        <v>0.21600059637204713</v>
      </c>
      <c r="D315" s="19">
        <f>ROUND(VLOOKUP($A315,'5 A data'!$A$5:$U$650,9,FALSE),0)</f>
        <v>5</v>
      </c>
      <c r="E315" s="23">
        <f>TestSetRatioCor</f>
        <v>0.99936709902044762</v>
      </c>
      <c r="F315" s="23">
        <f>TestSetPhaseCor</f>
        <v>1.0011822386327505</v>
      </c>
      <c r="G315" s="486">
        <f>VLOOKUP(B315,TwoStageCT!A$10:H$72,3,FALSE)/10000</f>
        <v>3.6805932694608759E-5</v>
      </c>
      <c r="H315" s="486">
        <f>VLOOKUP(B315,TwoStageCT!A$10:H$72,6,FALSE)/10000</f>
        <v>4.6965346060309593E-6</v>
      </c>
      <c r="I315" s="19">
        <f>VLOOKUP($A315,'5 A data'!$A$5:$U$650,10,FALSE)</f>
        <v>-0.69399999999999995</v>
      </c>
      <c r="J315" s="32">
        <f>VLOOKUP($A315,'5 A data'!$A$5:$U$650,11,FALSE)</f>
        <v>1.0530153153699122</v>
      </c>
      <c r="K315" s="22">
        <f>I315-I323</f>
        <v>-0.46899999999999997</v>
      </c>
      <c r="L315" s="22">
        <f>J315-J323</f>
        <v>0.6574073515845309</v>
      </c>
      <c r="M315" s="22">
        <f>I315*E315+G315</f>
        <v>-0.69352396078749601</v>
      </c>
      <c r="N315" s="22">
        <f>J315*F315+H315</f>
        <v>1.0542649272912266</v>
      </c>
      <c r="O315" s="20"/>
      <c r="P315" s="634">
        <f>VLOOKUP(B315,TwoStageCT!A$10:H$72,4,FALSE)/10000</f>
        <v>6.4429594675743464E-6</v>
      </c>
      <c r="Q315" s="58">
        <f>VLOOKUP($A315,'5 A data'!$A$5:$U$650,7,FALSE)*slidewire_res</f>
        <v>2E-3</v>
      </c>
      <c r="R315" s="347">
        <f t="shared" ref="R315:R321" si="638">current_coef*(I315-I316)*IF(I316=0,0,1)</f>
        <v>-1.5599999999999992E-2</v>
      </c>
      <c r="S315" s="4">
        <v>0</v>
      </c>
      <c r="T315" s="21">
        <f>BurdenUnc*K315</f>
        <v>-2.3449999999999999E-2</v>
      </c>
      <c r="U315" s="29">
        <f>0.004*M315</f>
        <v>-2.7740958431499842E-3</v>
      </c>
      <c r="V315" s="29">
        <f t="shared" ref="V315:V329" si="639">earthing_Re</f>
        <v>5.0000000000000001E-4</v>
      </c>
      <c r="W315" s="23">
        <f>VLOOKUP($D315,Uncertainties!$B$35:$D$41,2,FALSE)</f>
        <v>5.0000000000000044E-3</v>
      </c>
      <c r="X315" s="23"/>
      <c r="Y315" s="24">
        <f t="shared" ref="Y315:Y321" si="640">I315*aux_CT_ratio</f>
        <v>-5.3816097856342083E-5</v>
      </c>
      <c r="Z315" s="23">
        <f t="shared" ref="Z315:Z321" si="641">SQRT(SUMSQ(P315:Y315))</f>
        <v>2.8813383095900022E-2</v>
      </c>
      <c r="AA315" s="25">
        <f t="shared" ref="AA315:AA321" si="642">DoF_A(P315:Y315,$P$7:$Y$7)</f>
        <v>9.5215549009372982</v>
      </c>
      <c r="AB315" s="26">
        <f t="shared" ref="AB315:AB321" si="643">CoverFactor(AA315)</f>
        <v>2.2313887443229272</v>
      </c>
      <c r="AC315" s="14"/>
      <c r="AD315" s="635">
        <f>VLOOKUP(B315,TwoStageCT!A$10:H$72,7,FALSE)/10000</f>
        <v>4.6788986298833412E-6</v>
      </c>
      <c r="AE315" s="366">
        <f>IF(ABS(VLOOKUP($A315,'5 A data'!$A$5:$U$1148,6,FALSE))&lt;4.5,IF(ABS(VLOOKUP($A315,'5 A data'!$A$5:$U$1148,6,FALSE))&lt;1.25,0.0008,0.002),0.004)*VLOOKUP($A315,'5 A data'!$A$5:$U$1148,7,FALSE)*25*RADIANS(1/60)*100</f>
        <v>5.8177641733144318E-3</v>
      </c>
      <c r="AF315" s="23">
        <f>current_coef*(J315-J316)*IF(J316=0,0,1)</f>
        <v>2.9088820866572163E-2</v>
      </c>
      <c r="AG315" s="29">
        <f t="shared" ref="AG315:AG321" si="644">0.001*N315</f>
        <v>1.0542649272912265E-3</v>
      </c>
      <c r="AH315" s="4">
        <f>BurdenUnc*L315</f>
        <v>3.2870367579226546E-2</v>
      </c>
      <c r="AI315" s="4">
        <f t="shared" ref="AI315:AI321" si="645">0.004*N315</f>
        <v>4.2170597091649061E-3</v>
      </c>
      <c r="AJ315" s="4">
        <f t="shared" ref="AJ315:AJ329" si="646">earthing_Im</f>
        <v>5.0000000000000001E-4</v>
      </c>
      <c r="AK315" s="21">
        <f>VLOOKUP($D315,Uncertainties!$B$35:$D$41,3,FALSE)</f>
        <v>-1.1635528346628732E-2</v>
      </c>
      <c r="AL315" s="21"/>
      <c r="AM315" s="369">
        <f>SQRT((VLOOKUP($A315,'5 A data'!$A$5:$U$1148,7,FALSE)*mutual_ind)^2+(aux_CT_phase*J315)^2)</f>
        <v>3.4178427484357612E-3</v>
      </c>
      <c r="AN315" s="29">
        <f t="shared" ref="AN315:AN321" si="647">SQRT(SUMSQ(AD315:AM315))</f>
        <v>4.6115932194364224E-2</v>
      </c>
      <c r="AO315" s="14">
        <f t="shared" ref="AO315:AO321" si="648">DoF_A(AD315:AM315,$AD$7:$AM$7)</f>
        <v>11.950358408748532</v>
      </c>
      <c r="AP315" s="27">
        <f t="shared" ref="AP315:AP321" si="649">CoverFactor(AO315)</f>
        <v>2.1715645336828246</v>
      </c>
      <c r="AS315" s="27">
        <f>VLOOKUP($B315,TwoStageCT!$A$10:$H$72,5,FALSE)</f>
        <v>26.31606241070681</v>
      </c>
      <c r="AT315" s="27">
        <f>VLOOKUP($B315,TwoStageCT!$A$10:$H$72,8,FALSE)</f>
        <v>9.9413455012810044</v>
      </c>
    </row>
    <row r="316" spans="1:46" x14ac:dyDescent="0.2">
      <c r="A316" s="409">
        <v>424</v>
      </c>
      <c r="B316" s="5" t="str">
        <f>B313&amp;D316</f>
        <v>120/20010</v>
      </c>
      <c r="C316" s="19">
        <f>VLOOKUP($A316,'5 A data'!$A$5:$U$650,3,FALSE)</f>
        <v>0.21600059637204713</v>
      </c>
      <c r="D316" s="163">
        <f>ROUND(VLOOKUP($A316,'5 A data'!$A$5:$U$650,9,FALSE)/10,0)*10</f>
        <v>10</v>
      </c>
      <c r="E316" s="23">
        <f t="shared" ref="E316:E329" si="650">TestSetRatioCor</f>
        <v>0.99936709902044762</v>
      </c>
      <c r="F316" s="23">
        <f t="shared" ref="F316:F329" si="651">TestSetPhaseCor</f>
        <v>1.0011822386327505</v>
      </c>
      <c r="G316" s="486">
        <f>VLOOKUP(B316,TwoStageCT!A$10:H$72,3,FALSE)/10000</f>
        <v>3.4690340839935311E-5</v>
      </c>
      <c r="H316" s="486">
        <f>VLOOKUP(B316,TwoStageCT!A$10:H$72,6,FALSE)/10000</f>
        <v>2.6036797087866982E-6</v>
      </c>
      <c r="I316" s="19">
        <f>VLOOKUP($A316,'5 A data'!$A$5:$U$650,10,FALSE)</f>
        <v>-0.61599999999999999</v>
      </c>
      <c r="J316" s="32">
        <f>VLOOKUP($A316,'5 A data'!$A$5:$U$650,11,FALSE)</f>
        <v>0.90757121103705141</v>
      </c>
      <c r="K316" s="22">
        <f t="shared" ref="K316:K321" si="652">I316-I324</f>
        <v>-0.432</v>
      </c>
      <c r="L316" s="22">
        <f t="shared" ref="L316:L321" si="653">J316-J324</f>
        <v>0.60795635611135812</v>
      </c>
      <c r="M316" s="22">
        <f t="shared" ref="M316:M321" si="654">I316*E316+G316</f>
        <v>-0.61557544265575581</v>
      </c>
      <c r="N316" s="22">
        <f t="shared" ref="N316:N321" si="655">J316*F316+H316</f>
        <v>0.90864678046442038</v>
      </c>
      <c r="O316" s="20"/>
      <c r="P316" s="634">
        <f>VLOOKUP(B316,TwoStageCT!A$10:H$72,4,FALSE)/10000</f>
        <v>5.0170517941146892E-6</v>
      </c>
      <c r="Q316" s="58">
        <f>VLOOKUP($A316,'5 A data'!$A$5:$U$650,7,FALSE)*slidewire_res</f>
        <v>2E-3</v>
      </c>
      <c r="R316" s="347">
        <f t="shared" si="638"/>
        <v>-1.1599999999999989E-2</v>
      </c>
      <c r="S316" s="4">
        <v>0</v>
      </c>
      <c r="T316" s="21">
        <f t="shared" ref="T316:T321" si="656">BurdenUnc*K316</f>
        <v>-2.1600000000000001E-2</v>
      </c>
      <c r="U316" s="29">
        <f t="shared" ref="U316:U321" si="657">0.004*M316</f>
        <v>-2.4623017706230234E-3</v>
      </c>
      <c r="V316" s="29">
        <f t="shared" si="639"/>
        <v>5.0000000000000001E-4</v>
      </c>
      <c r="W316" s="23">
        <f>VLOOKUP($D316,Uncertainties!$B$35:$D$41,2,FALSE)</f>
        <v>2.5000000000000022E-3</v>
      </c>
      <c r="X316" s="23"/>
      <c r="Y316" s="24">
        <f t="shared" si="640"/>
        <v>-4.7767602708222948E-5</v>
      </c>
      <c r="Z316" s="23">
        <f t="shared" si="641"/>
        <v>2.4853274169096721E-2</v>
      </c>
      <c r="AA316" s="25">
        <f t="shared" si="642"/>
        <v>8.0884053306103869</v>
      </c>
      <c r="AB316" s="26">
        <f t="shared" si="643"/>
        <v>2.286138443705342</v>
      </c>
      <c r="AC316" s="14"/>
      <c r="AD316" s="635">
        <f>VLOOKUP(B316,TwoStageCT!A$10:H$72,7,FALSE)/10000</f>
        <v>2.600738521505678E-6</v>
      </c>
      <c r="AE316" s="366">
        <f>IF(ABS(VLOOKUP($A316,'5 A data'!$A$5:$U$1148,6,FALSE))&lt;4.5,IF(ABS(VLOOKUP($A316,'5 A data'!$A$5:$U$1148,6,FALSE))&lt;1.25,0.0008,0.002),0.004)*VLOOKUP($A316,'5 A data'!$A$5:$U$1148,7,FALSE)*25*RADIANS(1/60)*100</f>
        <v>5.8177641733144318E-3</v>
      </c>
      <c r="AF316" s="23">
        <f t="shared" ref="AF316:AF321" si="658">current_coef*(J316-J317)*IF(J317=0,0,1)</f>
        <v>2.2107503858594835E-2</v>
      </c>
      <c r="AG316" s="29">
        <f t="shared" si="644"/>
        <v>9.0864678046442035E-4</v>
      </c>
      <c r="AH316" s="4">
        <f t="shared" ref="AH316:AH321" si="659">BurdenUnc*L316</f>
        <v>3.0397817805567908E-2</v>
      </c>
      <c r="AI316" s="4">
        <f t="shared" si="645"/>
        <v>3.6345871218576814E-3</v>
      </c>
      <c r="AJ316" s="4">
        <f t="shared" si="646"/>
        <v>5.0000000000000001E-4</v>
      </c>
      <c r="AK316" s="21">
        <f>VLOOKUP($D316,Uncertainties!$B$35:$D$41,3,FALSE)</f>
        <v>4.363323129985941E-3</v>
      </c>
      <c r="AL316" s="21"/>
      <c r="AM316" s="369">
        <f>SQRT((VLOOKUP($A316,'5 A data'!$A$5:$U$1148,7,FALSE)*mutual_ind)^2+(aux_CT_phase*J316)^2)</f>
        <v>3.4133789092143626E-3</v>
      </c>
      <c r="AN316" s="29">
        <f t="shared" si="647"/>
        <v>3.86211217829181E-2</v>
      </c>
      <c r="AO316" s="14">
        <f t="shared" si="648"/>
        <v>10.165635005728495</v>
      </c>
      <c r="AP316" s="27">
        <f t="shared" si="649"/>
        <v>2.2124154234610041</v>
      </c>
      <c r="AS316" s="27">
        <f>VLOOKUP($B316,TwoStageCT!$A$10:$H$72,5,FALSE)</f>
        <v>38.265350164989712</v>
      </c>
      <c r="AT316" s="27">
        <f>VLOOKUP($B316,TwoStageCT!$A$10:$H$72,8,FALSE)</f>
        <v>16.586629386739094</v>
      </c>
    </row>
    <row r="317" spans="1:46" x14ac:dyDescent="0.2">
      <c r="A317" s="409">
        <v>425</v>
      </c>
      <c r="B317" s="5" t="str">
        <f>B313&amp;D317</f>
        <v>120/20020</v>
      </c>
      <c r="C317" s="19">
        <f>VLOOKUP($A317,'5 A data'!$A$5:$U$650,3,FALSE)</f>
        <v>0.21600059637204713</v>
      </c>
      <c r="D317" s="163">
        <f>ROUND(VLOOKUP($A317,'5 A data'!$A$5:$U$650,9,FALSE)/10,0)*10</f>
        <v>20</v>
      </c>
      <c r="E317" s="23">
        <f t="shared" si="650"/>
        <v>0.99936709902044762</v>
      </c>
      <c r="F317" s="23">
        <f t="shared" si="651"/>
        <v>1.0011822386327505</v>
      </c>
      <c r="G317" s="486">
        <f>VLOOKUP(B317,TwoStageCT!A$10:H$72,3,FALSE)/10000</f>
        <v>3.1280516301103777E-5</v>
      </c>
      <c r="H317" s="486">
        <f>VLOOKUP(B317,TwoStageCT!A$10:H$72,6,FALSE)/10000</f>
        <v>4.5493238991726806E-6</v>
      </c>
      <c r="I317" s="19">
        <f>VLOOKUP($A317,'5 A data'!$A$5:$U$650,10,FALSE)</f>
        <v>-0.55800000000000005</v>
      </c>
      <c r="J317" s="32">
        <f>VLOOKUP($A317,'5 A data'!$A$5:$U$650,11,FALSE)</f>
        <v>0.79703369174407723</v>
      </c>
      <c r="K317" s="22">
        <f t="shared" si="652"/>
        <v>-0.40100000000000002</v>
      </c>
      <c r="L317" s="22">
        <f t="shared" si="653"/>
        <v>0.55559647855152827</v>
      </c>
      <c r="M317" s="22">
        <f t="shared" si="654"/>
        <v>-0.55761556073710872</v>
      </c>
      <c r="N317" s="22">
        <f t="shared" si="655"/>
        <v>0.79798052508995998</v>
      </c>
      <c r="O317" s="20"/>
      <c r="P317" s="634">
        <f>VLOOKUP(B317,TwoStageCT!A$10:H$72,4,FALSE)/10000</f>
        <v>4.17832023036102E-6</v>
      </c>
      <c r="Q317" s="364">
        <f>VLOOKUP($A317,'5 A data'!$A$5:$U$650,7,FALSE)*slidewire_res</f>
        <v>2E-3</v>
      </c>
      <c r="R317" s="347">
        <f>current_coef*(I317-I318)*IF(I318=0,0,1)</f>
        <v>-1.0000000000000009E-2</v>
      </c>
      <c r="S317" s="4">
        <v>0</v>
      </c>
      <c r="T317" s="21">
        <f t="shared" si="656"/>
        <v>-2.0050000000000002E-2</v>
      </c>
      <c r="U317" s="29">
        <f t="shared" si="657"/>
        <v>-2.2304622429484347E-3</v>
      </c>
      <c r="V317" s="29">
        <f t="shared" si="639"/>
        <v>5.0000000000000001E-4</v>
      </c>
      <c r="W317" s="23">
        <f>VLOOKUP($D317,Uncertainties!$B$35:$D$41,2,FALSE)</f>
        <v>-1.0000000000000009E-3</v>
      </c>
      <c r="X317" s="23"/>
      <c r="Y317" s="24">
        <f t="shared" si="640"/>
        <v>-4.3270003751929232E-5</v>
      </c>
      <c r="Z317" s="23">
        <f t="shared" si="641"/>
        <v>2.263248443209016E-2</v>
      </c>
      <c r="AA317" s="25">
        <f t="shared" si="642"/>
        <v>7.6429698190733157</v>
      </c>
      <c r="AB317" s="26">
        <f t="shared" si="643"/>
        <v>2.3080491275488177</v>
      </c>
      <c r="AC317" s="14"/>
      <c r="AD317" s="635">
        <f>VLOOKUP(B317,TwoStageCT!A$10:H$72,7,FALSE)/10000</f>
        <v>1.9770475075939077E-6</v>
      </c>
      <c r="AE317" s="366">
        <f>IF(ABS(VLOOKUP($A317,'5 A data'!$A$5:$U$1148,6,FALSE))&lt;4.5,IF(ABS(VLOOKUP($A317,'5 A data'!$A$5:$U$1148,6,FALSE))&lt;1.25,0.0008,0.002),0.004)*VLOOKUP($A317,'5 A data'!$A$5:$U$1148,7,FALSE)*25*RADIANS(1/60)*100</f>
        <v>5.8177641733144318E-3</v>
      </c>
      <c r="AF317" s="23">
        <f t="shared" si="658"/>
        <v>1.6871516102611863E-2</v>
      </c>
      <c r="AG317" s="29">
        <f t="shared" si="644"/>
        <v>7.9798052508996001E-4</v>
      </c>
      <c r="AH317" s="4">
        <f t="shared" si="659"/>
        <v>2.7779823927576414E-2</v>
      </c>
      <c r="AI317" s="4">
        <f t="shared" si="645"/>
        <v>3.19192210035984E-3</v>
      </c>
      <c r="AJ317" s="4">
        <f t="shared" si="646"/>
        <v>5.0000000000000001E-4</v>
      </c>
      <c r="AK317" s="21">
        <f>VLOOKUP($D317,Uncertainties!$B$35:$D$41,3,FALSE)</f>
        <v>-1.454441043328647E-3</v>
      </c>
      <c r="AL317" s="21"/>
      <c r="AM317" s="369">
        <f>SQRT((VLOOKUP($A317,'5 A data'!$A$5:$U$1148,7,FALSE)*mutual_ind)^2+(aux_CT_phase*J317)^2)</f>
        <v>3.4104261255944158E-3</v>
      </c>
      <c r="AN317" s="29">
        <f t="shared" si="647"/>
        <v>3.3392133828982845E-2</v>
      </c>
      <c r="AO317" s="14">
        <f t="shared" si="648"/>
        <v>9.1694216588891351</v>
      </c>
      <c r="AP317" s="27">
        <f t="shared" si="649"/>
        <v>2.2430393611218036</v>
      </c>
      <c r="AS317" s="27">
        <f>VLOOKUP($B317,TwoStageCT!$A$10:$H$72,5,FALSE)</f>
        <v>36.657700403051521</v>
      </c>
      <c r="AT317" s="27">
        <f>VLOOKUP($B317,TwoStageCT!$A$10:$H$72,8,FALSE)</f>
        <v>53.09445811850042</v>
      </c>
    </row>
    <row r="318" spans="1:46" x14ac:dyDescent="0.2">
      <c r="A318" s="409">
        <v>426</v>
      </c>
      <c r="B318" s="5" t="str">
        <f>B313&amp;D318</f>
        <v>120/20040</v>
      </c>
      <c r="C318" s="19">
        <f>VLOOKUP($A318,'5 A data'!$A$5:$U$650,3,FALSE)</f>
        <v>0.21600059637204713</v>
      </c>
      <c r="D318" s="163">
        <f>ROUND(VLOOKUP($A318,'5 A data'!$A$5:$U$650,9,FALSE)/10,0)*10</f>
        <v>40</v>
      </c>
      <c r="E318" s="23">
        <f t="shared" si="650"/>
        <v>0.99936709902044762</v>
      </c>
      <c r="F318" s="23">
        <f t="shared" si="651"/>
        <v>1.0011822386327505</v>
      </c>
      <c r="G318" s="486">
        <f>VLOOKUP(B318,TwoStageCT!A$10:H$72,3,FALSE)/10000</f>
        <v>2.5200167333853628E-5</v>
      </c>
      <c r="H318" s="486">
        <f>VLOOKUP(B318,TwoStageCT!A$10:H$72,6,FALSE)/10000</f>
        <v>5.7416420558101514E-6</v>
      </c>
      <c r="I318" s="19">
        <f>VLOOKUP($A318,'5 A data'!$A$5:$U$650,10,FALSE)</f>
        <v>-0.50800000000000001</v>
      </c>
      <c r="J318" s="32">
        <f>VLOOKUP($A318,'5 A data'!$A$5:$U$650,11,FALSE)</f>
        <v>0.71267611123101793</v>
      </c>
      <c r="K318" s="22">
        <f t="shared" si="652"/>
        <v>-0.37</v>
      </c>
      <c r="L318" s="22">
        <f t="shared" si="653"/>
        <v>0.5075999241216842</v>
      </c>
      <c r="M318" s="22">
        <f t="shared" si="654"/>
        <v>-0.50765328613505356</v>
      </c>
      <c r="N318" s="22">
        <f t="shared" si="655"/>
        <v>0.71352440610440937</v>
      </c>
      <c r="O318" s="20"/>
      <c r="P318" s="634">
        <f>VLOOKUP(B318,TwoStageCT!A$10:H$72,4,FALSE)/10000</f>
        <v>3.3964590328801363E-6</v>
      </c>
      <c r="Q318" s="58">
        <f>VLOOKUP($A318,'5 A data'!$A$5:$U$650,7,FALSE)*slidewire_res</f>
        <v>2E-3</v>
      </c>
      <c r="R318" s="347">
        <f t="shared" si="638"/>
        <v>-1.8000000000000017E-3</v>
      </c>
      <c r="S318" s="4">
        <v>0</v>
      </c>
      <c r="T318" s="21">
        <f t="shared" si="656"/>
        <v>-1.8499999999999999E-2</v>
      </c>
      <c r="U318" s="29">
        <f t="shared" si="657"/>
        <v>-2.0306131445402141E-3</v>
      </c>
      <c r="V318" s="29">
        <f t="shared" si="639"/>
        <v>5.0000000000000001E-4</v>
      </c>
      <c r="W318" s="23">
        <f>VLOOKUP($D318,Uncertainties!$B$35:$D$41,2,FALSE)</f>
        <v>-1.0000000000000009E-3</v>
      </c>
      <c r="X318" s="23"/>
      <c r="Y318" s="24">
        <f t="shared" si="640"/>
        <v>-3.9392763272365679E-5</v>
      </c>
      <c r="Z318" s="23">
        <f t="shared" si="641"/>
        <v>1.8837859567066309E-2</v>
      </c>
      <c r="AA318" s="25">
        <f t="shared" si="642"/>
        <v>5.373365027359494</v>
      </c>
      <c r="AB318" s="26">
        <f t="shared" si="643"/>
        <v>2.4912894168547717</v>
      </c>
      <c r="AC318" s="14"/>
      <c r="AD318" s="635">
        <f>VLOOKUP(B318,TwoStageCT!A$10:H$72,7,FALSE)/10000</f>
        <v>1.6849048737447556E-6</v>
      </c>
      <c r="AE318" s="366">
        <f>IF(ABS(VLOOKUP($A318,'5 A data'!$A$5:$U$1148,6,FALSE))&lt;4.5,IF(ABS(VLOOKUP($A318,'5 A data'!$A$5:$U$1148,6,FALSE))&lt;1.25,0.0008,0.002),0.004)*VLOOKUP($A318,'5 A data'!$A$5:$U$1148,7,FALSE)*25*RADIANS(1/60)*100</f>
        <v>5.8177641733144318E-3</v>
      </c>
      <c r="AF318" s="23">
        <f t="shared" si="658"/>
        <v>1.3962634015954635E-2</v>
      </c>
      <c r="AG318" s="29">
        <f t="shared" si="644"/>
        <v>7.1352440610440943E-4</v>
      </c>
      <c r="AH318" s="4">
        <f t="shared" si="659"/>
        <v>2.5379996206084211E-2</v>
      </c>
      <c r="AI318" s="4">
        <f t="shared" si="645"/>
        <v>2.8540976244176377E-3</v>
      </c>
      <c r="AJ318" s="4">
        <f t="shared" si="646"/>
        <v>5.0000000000000001E-4</v>
      </c>
      <c r="AK318" s="21">
        <f>VLOOKUP($D318,Uncertainties!$B$35:$D$41,3,FALSE)</f>
        <v>-2.908882086657183E-3</v>
      </c>
      <c r="AL318" s="21"/>
      <c r="AM318" s="369">
        <f>SQRT((VLOOKUP($A318,'5 A data'!$A$5:$U$1148,7,FALSE)*mutual_ind)^2+(aux_CT_phase*J318)^2)</f>
        <v>3.4084288825373065E-3</v>
      </c>
      <c r="AN318" s="29">
        <f t="shared" si="647"/>
        <v>3.0032144639847991E-2</v>
      </c>
      <c r="AO318" s="14">
        <f t="shared" si="648"/>
        <v>8.9529828701145426</v>
      </c>
      <c r="AP318" s="27">
        <f t="shared" si="649"/>
        <v>2.2507182385100668</v>
      </c>
      <c r="AS318" s="27">
        <f>VLOOKUP($B318,TwoStageCT!$A$10:$H$72,5,FALSE)</f>
        <v>38.659909732018328</v>
      </c>
      <c r="AT318" s="27">
        <f>VLOOKUP($B318,TwoStageCT!$A$10:$H$72,8,FALSE)</f>
        <v>52.499330597885681</v>
      </c>
    </row>
    <row r="319" spans="1:46" x14ac:dyDescent="0.2">
      <c r="A319" s="409">
        <v>427</v>
      </c>
      <c r="B319" s="5" t="str">
        <f>B313&amp;D319</f>
        <v>120/20060</v>
      </c>
      <c r="C319" s="19">
        <f>VLOOKUP($A319,'5 A data'!$A$5:$U$650,3,FALSE)</f>
        <v>0.21600059637204713</v>
      </c>
      <c r="D319" s="163">
        <f>ROUND(VLOOKUP($A319,'5 A data'!$A$5:$U$650,9,FALSE)/10,0)*10</f>
        <v>60</v>
      </c>
      <c r="E319" s="23">
        <f t="shared" si="650"/>
        <v>0.99936709902044762</v>
      </c>
      <c r="F319" s="23">
        <f t="shared" si="651"/>
        <v>1.0011822386327505</v>
      </c>
      <c r="G319" s="486">
        <f>VLOOKUP(B319,TwoStageCT!A$10:H$72,3,FALSE)/10000</f>
        <v>2.195627602528684E-5</v>
      </c>
      <c r="H319" s="486">
        <f>VLOOKUP(B319,TwoStageCT!A$10:H$72,6,FALSE)/10000</f>
        <v>5.5507836163637805E-6</v>
      </c>
      <c r="I319" s="19">
        <f>VLOOKUP($A319,'5 A data'!$A$5:$U$650,10,FALSE)</f>
        <v>-0.499</v>
      </c>
      <c r="J319" s="32">
        <f>VLOOKUP($A319,'5 A data'!$A$5:$U$650,11,FALSE)</f>
        <v>0.64286294115124476</v>
      </c>
      <c r="K319" s="22">
        <f t="shared" si="652"/>
        <v>-0.3695</v>
      </c>
      <c r="L319" s="22">
        <f t="shared" si="653"/>
        <v>0.45233116447519711</v>
      </c>
      <c r="M319" s="22">
        <f t="shared" si="654"/>
        <v>-0.49866222613517808</v>
      </c>
      <c r="N319" s="22">
        <f t="shared" si="655"/>
        <v>0.64362850933945381</v>
      </c>
      <c r="O319" s="20"/>
      <c r="P319" s="634">
        <f>VLOOKUP(B319,TwoStageCT!A$10:H$72,4,FALSE)/10000</f>
        <v>2.9709098248278708E-6</v>
      </c>
      <c r="Q319" s="58">
        <f>VLOOKUP($A319,'5 A data'!$A$5:$U$650,7,FALSE)*slidewire_res</f>
        <v>2E-3</v>
      </c>
      <c r="R319" s="347">
        <f t="shared" si="638"/>
        <v>-4.2000000000000041E-3</v>
      </c>
      <c r="S319" s="4">
        <v>0</v>
      </c>
      <c r="T319" s="21">
        <f t="shared" si="656"/>
        <v>-1.8475000000000002E-2</v>
      </c>
      <c r="U319" s="29">
        <f t="shared" si="657"/>
        <v>-1.9946489045407122E-3</v>
      </c>
      <c r="V319" s="29">
        <f t="shared" si="639"/>
        <v>5.0000000000000001E-4</v>
      </c>
      <c r="W319" s="23">
        <f>VLOOKUP($D319,Uncertainties!$B$35:$D$41,2,FALSE)</f>
        <v>-1.0000000000000009E-3</v>
      </c>
      <c r="X319" s="23"/>
      <c r="Y319" s="24">
        <f t="shared" si="640"/>
        <v>-3.8694859986044236E-5</v>
      </c>
      <c r="Z319" s="23">
        <f t="shared" si="641"/>
        <v>1.9188427641963792E-2</v>
      </c>
      <c r="AA319" s="25">
        <f t="shared" si="642"/>
        <v>5.8011128871092623</v>
      </c>
      <c r="AB319" s="26">
        <f t="shared" si="643"/>
        <v>2.4430841511598871</v>
      </c>
      <c r="AC319" s="14"/>
      <c r="AD319" s="635">
        <f>VLOOKUP(B319,TwoStageCT!A$10:H$72,7,FALSE)/10000</f>
        <v>1.6017059195029239E-6</v>
      </c>
      <c r="AE319" s="366">
        <f>IF(ABS(VLOOKUP($A319,'5 A data'!$A$5:$U$1148,6,FALSE))&lt;4.5,IF(ABS(VLOOKUP($A319,'5 A data'!$A$5:$U$1148,6,FALSE))&lt;1.25,0.0008,0.002),0.004)*VLOOKUP($A319,'5 A data'!$A$5:$U$1148,7,FALSE)*25*RADIANS(1/60)*100</f>
        <v>5.8177641733144318E-3</v>
      </c>
      <c r="AF319" s="23">
        <f t="shared" si="658"/>
        <v>2.3271056693257731E-2</v>
      </c>
      <c r="AG319" s="29">
        <f t="shared" si="644"/>
        <v>6.4362850933945379E-4</v>
      </c>
      <c r="AH319" s="4">
        <f t="shared" si="659"/>
        <v>2.2616558223759856E-2</v>
      </c>
      <c r="AI319" s="4">
        <f t="shared" si="645"/>
        <v>2.5745140373578152E-3</v>
      </c>
      <c r="AJ319" s="4">
        <f t="shared" si="646"/>
        <v>5.0000000000000001E-4</v>
      </c>
      <c r="AK319" s="21">
        <f>VLOOKUP($D319,Uncertainties!$B$35:$D$41,3,FALSE)</f>
        <v>-2.908882086657183E-3</v>
      </c>
      <c r="AL319" s="21"/>
      <c r="AM319" s="369">
        <f>SQRT((VLOOKUP($A319,'5 A data'!$A$5:$U$1148,7,FALSE)*mutual_ind)^2+(aux_CT_phase*J319)^2)</f>
        <v>3.4069440257954798E-3</v>
      </c>
      <c r="AN319" s="29">
        <f t="shared" si="647"/>
        <v>3.3380509445286533E-2</v>
      </c>
      <c r="AO319" s="14">
        <f t="shared" si="648"/>
        <v>11.159953413008234</v>
      </c>
      <c r="AP319" s="27">
        <f t="shared" si="649"/>
        <v>2.1878780568493661</v>
      </c>
      <c r="AS319" s="27">
        <f>VLOOKUP($B319,TwoStageCT!$A$10:$H$72,5,FALSE)</f>
        <v>42.291164682130272</v>
      </c>
      <c r="AT319" s="27">
        <f>VLOOKUP($B319,TwoStageCT!$A$10:$H$72,8,FALSE)</f>
        <v>48.978667479860043</v>
      </c>
    </row>
    <row r="320" spans="1:46" x14ac:dyDescent="0.2">
      <c r="A320" s="409">
        <v>428</v>
      </c>
      <c r="B320" s="5" t="str">
        <f>B313&amp;D320</f>
        <v>120/200100</v>
      </c>
      <c r="C320" s="19">
        <f>VLOOKUP($A320,'5 A data'!$A$5:$U$650,3,FALSE)</f>
        <v>0.21600059637204713</v>
      </c>
      <c r="D320" s="164">
        <f>ROUND(VLOOKUP($A320,'5 A data'!$A$5:$U$650,9,FALSE)/10,0)*10</f>
        <v>100</v>
      </c>
      <c r="E320" s="23">
        <f t="shared" si="650"/>
        <v>0.99936709902044762</v>
      </c>
      <c r="F320" s="23">
        <f t="shared" si="651"/>
        <v>1.0011822386327505</v>
      </c>
      <c r="G320" s="486">
        <f>VLOOKUP(B320,TwoStageCT!A$10:H$72,3,FALSE)/10000</f>
        <v>1.6881396356939836E-5</v>
      </c>
      <c r="H320" s="486">
        <f>VLOOKUP(B320,TwoStageCT!A$10:H$72,6,FALSE)/10000</f>
        <v>7.3590724152435355E-6</v>
      </c>
      <c r="I320" s="19">
        <f>VLOOKUP($A320,'5 A data'!$A$5:$U$650,10,FALSE)</f>
        <v>-0.47799999999999998</v>
      </c>
      <c r="J320" s="32">
        <f>VLOOKUP($A320,'5 A data'!$A$5:$U$650,11,FALSE)</f>
        <v>0.52650765768495611</v>
      </c>
      <c r="K320" s="22">
        <f t="shared" si="652"/>
        <v>-0.35699999999999998</v>
      </c>
      <c r="L320" s="22">
        <f t="shared" si="653"/>
        <v>0.35052029144219454</v>
      </c>
      <c r="M320" s="22">
        <f t="shared" si="654"/>
        <v>-0.47768059193541701</v>
      </c>
      <c r="N320" s="22">
        <f t="shared" si="655"/>
        <v>0.52713747445072545</v>
      </c>
      <c r="O320" s="20"/>
      <c r="P320" s="634">
        <f>VLOOKUP(B320,TwoStageCT!A$10:H$72,4,FALSE)/10000</f>
        <v>2.4131313466023584E-6</v>
      </c>
      <c r="Q320" s="58">
        <f>VLOOKUP($A320,'5 A data'!$A$5:$U$650,7,FALSE)*slidewire_res</f>
        <v>2E-3</v>
      </c>
      <c r="R320" s="347">
        <f t="shared" si="638"/>
        <v>-3.1999999999999919E-3</v>
      </c>
      <c r="S320" s="4">
        <v>0</v>
      </c>
      <c r="T320" s="21">
        <f t="shared" si="656"/>
        <v>-1.7850000000000001E-2</v>
      </c>
      <c r="U320" s="29">
        <f t="shared" si="657"/>
        <v>-1.9107223677416682E-3</v>
      </c>
      <c r="V320" s="29">
        <f t="shared" si="639"/>
        <v>5.0000000000000001E-4</v>
      </c>
      <c r="W320" s="23">
        <f>VLOOKUP($D320,Uncertainties!$B$35:$D$41,2,FALSE)</f>
        <v>1.999999999999974E-3</v>
      </c>
      <c r="X320" s="23"/>
      <c r="Y320" s="24">
        <f t="shared" si="640"/>
        <v>-3.7066418984627545E-5</v>
      </c>
      <c r="Z320" s="23">
        <f t="shared" si="641"/>
        <v>1.8459814184037915E-2</v>
      </c>
      <c r="AA320" s="25">
        <f t="shared" si="642"/>
        <v>5.7111709046784833</v>
      </c>
      <c r="AB320" s="26">
        <f t="shared" si="643"/>
        <v>2.4524694693103664</v>
      </c>
      <c r="AC320" s="14"/>
      <c r="AD320" s="635">
        <f>VLOOKUP(B320,TwoStageCT!A$10:H$72,7,FALSE)/10000</f>
        <v>1.6933288916776063E-6</v>
      </c>
      <c r="AE320" s="366">
        <f>IF(ABS(VLOOKUP($A320,'5 A data'!$A$5:$U$1148,6,FALSE))&lt;4.5,IF(ABS(VLOOKUP($A320,'5 A data'!$A$5:$U$1148,6,FALSE))&lt;1.25,0.0008,0.002),0.004)*VLOOKUP($A320,'5 A data'!$A$5:$U$1148,7,FALSE)*25*RADIANS(1/60)*100</f>
        <v>5.8177641733144318E-3</v>
      </c>
      <c r="AF320" s="23">
        <f t="shared" si="658"/>
        <v>8.7266462599716495E-3</v>
      </c>
      <c r="AG320" s="29">
        <f t="shared" si="644"/>
        <v>5.2713747445072546E-4</v>
      </c>
      <c r="AH320" s="4">
        <f t="shared" si="659"/>
        <v>1.7526014572109727E-2</v>
      </c>
      <c r="AI320" s="4">
        <f t="shared" si="645"/>
        <v>2.1085498978029018E-3</v>
      </c>
      <c r="AJ320" s="4">
        <f t="shared" si="646"/>
        <v>5.0000000000000001E-4</v>
      </c>
      <c r="AK320" s="21">
        <f>VLOOKUP($D320,Uncertainties!$B$35:$D$41,3,FALSE)</f>
        <v>-2.9088820866572385E-3</v>
      </c>
      <c r="AL320" s="21"/>
      <c r="AM320" s="369">
        <f>SQRT((VLOOKUP($A320,'5 A data'!$A$5:$U$1148,7,FALSE)*mutual_ind)^2+(aux_CT_phase*J320)^2)</f>
        <v>3.4048080111087039E-3</v>
      </c>
      <c r="AN320" s="29">
        <f t="shared" si="647"/>
        <v>2.1028316474392895E-2</v>
      </c>
      <c r="AO320" s="14">
        <f t="shared" si="648"/>
        <v>9.634400688279106</v>
      </c>
      <c r="AP320" s="27">
        <f t="shared" si="649"/>
        <v>2.2278581931181982</v>
      </c>
      <c r="AS320" s="27">
        <f>VLOOKUP($B320,TwoStageCT!$A$10:$H$72,5,FALSE)</f>
        <v>59.567261398457461</v>
      </c>
      <c r="AT320" s="27">
        <f>VLOOKUP($B320,TwoStageCT!$A$10:$H$72,8,FALSE)</f>
        <v>45.732629829898706</v>
      </c>
    </row>
    <row r="321" spans="1:46" x14ac:dyDescent="0.2">
      <c r="A321" s="409">
        <v>429</v>
      </c>
      <c r="B321" s="5" t="str">
        <f>B313&amp;D321</f>
        <v>120/200120</v>
      </c>
      <c r="C321" s="19">
        <f>VLOOKUP($A321,'5 A data'!$A$5:$U$650,3,FALSE)</f>
        <v>0.21600059637204713</v>
      </c>
      <c r="D321" s="164">
        <f>ROUND(VLOOKUP($A321,'5 A data'!$A$5:$U$650,9,FALSE)/10,0)*10</f>
        <v>120</v>
      </c>
      <c r="E321" s="23">
        <f t="shared" si="650"/>
        <v>0.99936709902044762</v>
      </c>
      <c r="F321" s="23">
        <f t="shared" si="651"/>
        <v>1.0011822386327505</v>
      </c>
      <c r="G321" s="486">
        <f>VLOOKUP(B321,TwoStageCT!A$10:H$72,3,FALSE)/10000</f>
        <v>1.5213305302217845E-5</v>
      </c>
      <c r="H321" s="486">
        <f>VLOOKUP(B321,TwoStageCT!A$10:H$72,6,FALSE)/10000</f>
        <v>7.5885012454326174E-6</v>
      </c>
      <c r="I321" s="19">
        <f>VLOOKUP($A321,'5 A data'!$A$5:$U$650,10,FALSE)</f>
        <v>-0.46200000000000002</v>
      </c>
      <c r="J321" s="32">
        <f>VLOOKUP($A321,'5 A data'!$A$5:$U$650,11,FALSE)</f>
        <v>0.48287442638509787</v>
      </c>
      <c r="K321" s="22">
        <f t="shared" si="652"/>
        <v>-0.34300000000000003</v>
      </c>
      <c r="L321" s="22">
        <f t="shared" si="653"/>
        <v>0.31125038327232213</v>
      </c>
      <c r="M321" s="22">
        <f t="shared" si="654"/>
        <v>-0.46169238644214461</v>
      </c>
      <c r="N321" s="22">
        <f t="shared" si="655"/>
        <v>0.483452887687983</v>
      </c>
      <c r="O321" s="20"/>
      <c r="P321" s="634">
        <f>VLOOKUP(B321,TwoStageCT!A$10:H$72,4,FALSE)/10000</f>
        <v>2.2681305202526645E-6</v>
      </c>
      <c r="Q321" s="58">
        <f>VLOOKUP($A321,'5 A data'!$A$5:$U$650,7,FALSE)*slidewire_res</f>
        <v>2E-3</v>
      </c>
      <c r="R321" s="347">
        <f t="shared" si="638"/>
        <v>0</v>
      </c>
      <c r="S321" s="4">
        <v>0</v>
      </c>
      <c r="T321" s="21">
        <f t="shared" si="656"/>
        <v>-1.7150000000000002E-2</v>
      </c>
      <c r="U321" s="29">
        <f t="shared" si="657"/>
        <v>-1.8467695457685784E-3</v>
      </c>
      <c r="V321" s="29">
        <f t="shared" si="639"/>
        <v>5.0000000000000001E-4</v>
      </c>
      <c r="W321" s="23">
        <f>VLOOKUP($D321,Uncertainties!$B$35:$D$41,2,FALSE)</f>
        <v>-1.0000000000000009E-3</v>
      </c>
      <c r="X321" s="23"/>
      <c r="Y321" s="24">
        <f t="shared" si="640"/>
        <v>-3.5825702031167211E-5</v>
      </c>
      <c r="Z321" s="23">
        <f t="shared" si="641"/>
        <v>1.7400699594571491E-2</v>
      </c>
      <c r="AA321" s="25">
        <f t="shared" si="642"/>
        <v>5.2971140748775589</v>
      </c>
      <c r="AB321" s="26">
        <f t="shared" si="643"/>
        <v>2.5009267560257977</v>
      </c>
      <c r="AC321" s="14"/>
      <c r="AD321" s="635">
        <f>VLOOKUP(B321,TwoStageCT!A$10:H$72,7,FALSE)/10000</f>
        <v>1.7092397901526349E-6</v>
      </c>
      <c r="AE321" s="366">
        <f>IF(ABS(VLOOKUP($A321,'5 A data'!$A$5:$U$1148,6,FALSE))&lt;4.5,IF(ABS(VLOOKUP($A321,'5 A data'!$A$5:$U$1148,6,FALSE))&lt;1.25,0.0008,0.002),0.004)*VLOOKUP($A321,'5 A data'!$A$5:$U$1148,7,FALSE)*25*RADIANS(1/60)*100</f>
        <v>5.8177641733144318E-3</v>
      </c>
      <c r="AF321" s="23">
        <f t="shared" si="658"/>
        <v>0</v>
      </c>
      <c r="AG321" s="29">
        <f t="shared" si="644"/>
        <v>4.8345288768798301E-4</v>
      </c>
      <c r="AH321" s="4">
        <f t="shared" si="659"/>
        <v>1.5562519163616107E-2</v>
      </c>
      <c r="AI321" s="4">
        <f t="shared" si="645"/>
        <v>1.933811550751932E-3</v>
      </c>
      <c r="AJ321" s="4">
        <f t="shared" si="646"/>
        <v>5.0000000000000001E-4</v>
      </c>
      <c r="AK321" s="21">
        <f>VLOOKUP($D321,Uncertainties!$B$35:$D$41,3,FALSE)</f>
        <v>1.4544410433285915E-3</v>
      </c>
      <c r="AL321" s="21"/>
      <c r="AM321" s="369">
        <f>SQRT((VLOOKUP($A321,'5 A data'!$A$5:$U$1148,7,FALSE)*mutual_ind)^2+(aux_CT_phase*J321)^2)</f>
        <v>3.4041163087651571E-3</v>
      </c>
      <c r="AN321" s="29">
        <f t="shared" si="647"/>
        <v>1.7145411806552657E-2</v>
      </c>
      <c r="AO321" s="14">
        <f t="shared" si="648"/>
        <v>7.2069716562728576</v>
      </c>
      <c r="AP321" s="27">
        <f t="shared" si="649"/>
        <v>2.332604978505266</v>
      </c>
      <c r="AS321" s="27">
        <f>VLOOKUP($B321,TwoStageCT!$A$10:$H$72,5,FALSE)</f>
        <v>68.00069900375496</v>
      </c>
      <c r="AT321" s="27">
        <f>VLOOKUP($B321,TwoStageCT!$A$10:$H$72,8,FALSE)</f>
        <v>47.345132453902309</v>
      </c>
    </row>
    <row r="322" spans="1:46" x14ac:dyDescent="0.2">
      <c r="A322" s="409">
        <v>430</v>
      </c>
      <c r="B322" s="5"/>
      <c r="C322" s="19"/>
      <c r="D322" s="19"/>
      <c r="E322" s="23"/>
      <c r="F322" s="23"/>
      <c r="G322" s="347"/>
      <c r="H322" s="347"/>
      <c r="I322" s="19"/>
      <c r="J322" s="32"/>
      <c r="K322" s="31"/>
      <c r="L322" s="31"/>
      <c r="M322" s="638" t="s">
        <v>93</v>
      </c>
      <c r="N322" s="638"/>
      <c r="O322" s="20"/>
      <c r="P322" s="634"/>
      <c r="Q322" s="58"/>
      <c r="R322" s="347"/>
      <c r="S322" s="4"/>
      <c r="T322" s="4"/>
      <c r="U322" s="29"/>
      <c r="V322" s="29"/>
      <c r="W322" s="29"/>
      <c r="X322" s="29"/>
      <c r="Y322" s="24"/>
      <c r="Z322" s="29"/>
      <c r="AA322" s="25"/>
      <c r="AB322" s="26"/>
      <c r="AC322" s="14"/>
      <c r="AD322" s="635"/>
      <c r="AE322" s="35"/>
      <c r="AF322" s="28"/>
      <c r="AG322" s="29"/>
      <c r="AH322" s="4"/>
      <c r="AI322" s="4"/>
      <c r="AJ322" s="4"/>
      <c r="AK322" s="4"/>
      <c r="AL322" s="4"/>
      <c r="AM322" s="24"/>
      <c r="AN322" s="29"/>
      <c r="AO322" s="14"/>
      <c r="AP322" s="27"/>
    </row>
    <row r="323" spans="1:46" x14ac:dyDescent="0.2">
      <c r="A323" s="409">
        <v>431</v>
      </c>
      <c r="B323" s="5" t="str">
        <f>B313&amp;D323</f>
        <v>120/2005</v>
      </c>
      <c r="C323" s="19">
        <f>VLOOKUP($A323,'5 A data'!$A$5:$U$650,3,FALSE)</f>
        <v>2.1000057980615688E-2</v>
      </c>
      <c r="D323" s="19">
        <f>ROUND(VLOOKUP($A323,'5 A data'!$A$5:$U$650,9,FALSE),0)</f>
        <v>5</v>
      </c>
      <c r="E323" s="23">
        <f t="shared" si="650"/>
        <v>0.99936709902044762</v>
      </c>
      <c r="F323" s="23">
        <f t="shared" si="651"/>
        <v>1.0011822386327505</v>
      </c>
      <c r="G323" s="486">
        <f>VLOOKUP(B323,TwoStageCT!A$10:H$72,3,FALSE)/10000</f>
        <v>3.6805932694608759E-5</v>
      </c>
      <c r="H323" s="486">
        <f>VLOOKUP(B323,TwoStageCT!A$10:H$72,6,FALSE)/10000</f>
        <v>4.6965346060309593E-6</v>
      </c>
      <c r="I323" s="19">
        <f>VLOOKUP($A323,'5 A data'!$A$5:$U$650,10,FALSE)</f>
        <v>-0.22500000000000001</v>
      </c>
      <c r="J323" s="32">
        <f>VLOOKUP($A323,'5 A data'!$A$5:$U$650,11,FALSE)</f>
        <v>0.39560796378538138</v>
      </c>
      <c r="K323" s="31"/>
      <c r="L323" s="31"/>
      <c r="M323" s="31">
        <f>I323*E323+G323</f>
        <v>-0.22482079134690611</v>
      </c>
      <c r="N323" s="31">
        <f>J323*F323+H323</f>
        <v>0.39608036333819824</v>
      </c>
      <c r="O323" s="20"/>
      <c r="P323" s="634">
        <f>VLOOKUP(B323,TwoStageCT!A$10:H$72,4,FALSE)/10000</f>
        <v>6.4429594675743464E-6</v>
      </c>
      <c r="Q323" s="58">
        <f>VLOOKUP($A323,'5 A data'!$A$5:$U$650,7,FALSE)*slidewire_res</f>
        <v>1E-3</v>
      </c>
      <c r="R323" s="347">
        <f t="shared" ref="R323:R329" si="660">current_coef*(I323-I324)*IF(I324=0,0,1)</f>
        <v>-8.2000000000000024E-3</v>
      </c>
      <c r="S323" s="4">
        <v>0</v>
      </c>
      <c r="T323" s="4">
        <f>BurdenUnc*K315</f>
        <v>-2.3449999999999999E-2</v>
      </c>
      <c r="U323" s="29">
        <f t="shared" ref="U323:U329" si="661">0.004*M323</f>
        <v>-8.9928316538762446E-4</v>
      </c>
      <c r="V323" s="29">
        <f t="shared" si="639"/>
        <v>5.0000000000000001E-4</v>
      </c>
      <c r="W323" s="23">
        <f>VLOOKUP($D323,Uncertainties!$B$35:$D$41,2,FALSE)</f>
        <v>5.0000000000000044E-3</v>
      </c>
      <c r="X323" s="23"/>
      <c r="Y323" s="24">
        <f t="shared" ref="Y323:Y329" si="662">I323*aux_CT_ratio</f>
        <v>-1.7447582158035978E-5</v>
      </c>
      <c r="Z323" s="23">
        <f t="shared" ref="Z323:Z329" si="663">SQRT(SUMSQ(P323:Y323))</f>
        <v>2.5381125982536699E-2</v>
      </c>
      <c r="AA323" s="25">
        <f t="shared" ref="AA323:AA329" si="664">DoF_A(P323:Y323,$P$7:$Y$7)</f>
        <v>6.7552407960369285</v>
      </c>
      <c r="AB323" s="26">
        <f t="shared" ref="AB323:AB329" si="665">CoverFactor(AA323)</f>
        <v>2.3620663246954865</v>
      </c>
      <c r="AC323" s="14"/>
      <c r="AD323" s="635">
        <f>VLOOKUP(B323,TwoStageCT!A$10:H$72,7,FALSE)/10000</f>
        <v>4.6788986298833412E-6</v>
      </c>
      <c r="AE323" s="366">
        <f>IF(ABS(VLOOKUP($A323,'5 A data'!$A$5:$U$1148,6,FALSE))&lt;4.5,IF(ABS(VLOOKUP($A323,'5 A data'!$A$5:$U$1148,6,FALSE))&lt;1.25,0.0008,0.002),0.004)*VLOOKUP($A323,'5 A data'!$A$5:$U$1148,7,FALSE)*25*RADIANS(1/60)*100</f>
        <v>2.9088820866572159E-3</v>
      </c>
      <c r="AF323" s="23">
        <f t="shared" ref="AF323:AF329" si="666">current_coef*(J323-J324)*IF(J324=0,0,1)</f>
        <v>1.9198621771937621E-2</v>
      </c>
      <c r="AG323" s="29">
        <f t="shared" ref="AG323:AG329" si="667">0.001*N323</f>
        <v>3.9608036333819822E-4</v>
      </c>
      <c r="AH323" s="4">
        <f>BurdenUnc*L315</f>
        <v>3.2870367579226546E-2</v>
      </c>
      <c r="AI323" s="4">
        <f t="shared" ref="AI323:AI329" si="668">0.004*N323</f>
        <v>1.5843214533527929E-3</v>
      </c>
      <c r="AJ323" s="4">
        <f t="shared" si="646"/>
        <v>5.0000000000000001E-4</v>
      </c>
      <c r="AK323" s="21">
        <f>VLOOKUP($D323,Uncertainties!$B$35:$D$41,3,FALSE)</f>
        <v>-1.1635528346628732E-2</v>
      </c>
      <c r="AL323" s="21"/>
      <c r="AM323" s="369">
        <f>SQRT((VLOOKUP($A323,'5 A data'!$A$5:$U$1148,7,FALSE)*mutual_ind)^2+(aux_CT_phase*J323)^2)</f>
        <v>1.7051406291681245E-3</v>
      </c>
      <c r="AN323" s="29">
        <f t="shared" ref="AN323:AN329" si="669">SQRT(SUMSQ(AD323:AM323))</f>
        <v>3.9983993525081619E-2</v>
      </c>
      <c r="AO323" s="14">
        <f t="shared" ref="AO323:AO329" si="670">DoF_A(AD323:AM323,$AD$7:$AM$7)</f>
        <v>9.7503699312701269</v>
      </c>
      <c r="AP323" s="27">
        <f t="shared" ref="AP323:AP329" si="671">CoverFactor(AO323)</f>
        <v>2.2243256642369307</v>
      </c>
      <c r="AS323" s="27">
        <f>VLOOKUP($B323,TwoStageCT!$A$10:$H$72,5,FALSE)</f>
        <v>26.31606241070681</v>
      </c>
      <c r="AT323" s="27">
        <f>VLOOKUP($B323,TwoStageCT!$A$10:$H$72,8,FALSE)</f>
        <v>9.9413455012810044</v>
      </c>
    </row>
    <row r="324" spans="1:46" x14ac:dyDescent="0.2">
      <c r="A324" s="409">
        <v>432</v>
      </c>
      <c r="B324" s="5" t="str">
        <f>B313&amp;D324</f>
        <v>120/20010</v>
      </c>
      <c r="C324" s="19">
        <f>VLOOKUP($A324,'5 A data'!$A$5:$U$650,3,FALSE)</f>
        <v>2.1000057980615688E-2</v>
      </c>
      <c r="D324" s="163">
        <f>ROUND(VLOOKUP($A324,'5 A data'!$A$5:$U$650,9,FALSE)/10,0)*10</f>
        <v>10</v>
      </c>
      <c r="E324" s="23">
        <f t="shared" si="650"/>
        <v>0.99936709902044762</v>
      </c>
      <c r="F324" s="23">
        <f t="shared" si="651"/>
        <v>1.0011822386327505</v>
      </c>
      <c r="G324" s="486">
        <f>VLOOKUP(B324,TwoStageCT!A$10:H$72,3,FALSE)/10000</f>
        <v>3.4690340839935311E-5</v>
      </c>
      <c r="H324" s="486">
        <f>VLOOKUP(B324,TwoStageCT!A$10:H$72,6,FALSE)/10000</f>
        <v>2.6036797087866982E-6</v>
      </c>
      <c r="I324" s="19">
        <f>VLOOKUP($A324,'5 A data'!$A$5:$U$650,10,FALSE)</f>
        <v>-0.184</v>
      </c>
      <c r="J324" s="32">
        <f>VLOOKUP($A324,'5 A data'!$A$5:$U$650,11,FALSE)</f>
        <v>0.29961485492569329</v>
      </c>
      <c r="K324" s="31"/>
      <c r="L324" s="31"/>
      <c r="M324" s="31">
        <f t="shared" ref="M324:M329" si="672">I324*E324+G324</f>
        <v>-0.18384885587892241</v>
      </c>
      <c r="N324" s="31">
        <f t="shared" ref="N324:N329" si="673">J324*F324+H324</f>
        <v>0.29997167486184112</v>
      </c>
      <c r="O324" s="20"/>
      <c r="P324" s="634">
        <f>VLOOKUP(B324,TwoStageCT!A$10:H$72,4,FALSE)/10000</f>
        <v>5.0170517941146892E-6</v>
      </c>
      <c r="Q324" s="58">
        <f>VLOOKUP($A324,'5 A data'!$A$5:$U$650,7,FALSE)*slidewire_res</f>
        <v>1E-3</v>
      </c>
      <c r="R324" s="347">
        <f t="shared" si="660"/>
        <v>-5.3999999999999994E-3</v>
      </c>
      <c r="S324" s="4">
        <v>0</v>
      </c>
      <c r="T324" s="4">
        <f t="shared" ref="T324:T329" si="674">BurdenUnc*K316</f>
        <v>-2.1600000000000001E-2</v>
      </c>
      <c r="U324" s="29">
        <f t="shared" si="661"/>
        <v>-7.3539542351568966E-4</v>
      </c>
      <c r="V324" s="29">
        <f t="shared" si="639"/>
        <v>5.0000000000000001E-4</v>
      </c>
      <c r="W324" s="23">
        <f>VLOOKUP($D324,Uncertainties!$B$35:$D$41,2,FALSE)</f>
        <v>2.5000000000000022E-3</v>
      </c>
      <c r="X324" s="23"/>
      <c r="Y324" s="24">
        <f t="shared" si="662"/>
        <v>-1.4268244964793866E-5</v>
      </c>
      <c r="Z324" s="23">
        <f t="shared" si="663"/>
        <v>2.2444621520144887E-2</v>
      </c>
      <c r="AA324" s="25">
        <f t="shared" si="664"/>
        <v>5.8060028302134272</v>
      </c>
      <c r="AB324" s="26">
        <f t="shared" si="665"/>
        <v>2.4425842869492347</v>
      </c>
      <c r="AC324" s="14"/>
      <c r="AD324" s="635">
        <f>VLOOKUP(B324,TwoStageCT!A$10:H$72,7,FALSE)/10000</f>
        <v>2.600738521505678E-6</v>
      </c>
      <c r="AE324" s="366">
        <f>IF(ABS(VLOOKUP($A324,'5 A data'!$A$5:$U$1148,6,FALSE))&lt;4.5,IF(ABS(VLOOKUP($A324,'5 A data'!$A$5:$U$1148,6,FALSE))&lt;1.25,0.0008,0.002),0.004)*VLOOKUP($A324,'5 A data'!$A$5:$U$1148,7,FALSE)*25*RADIANS(1/60)*100</f>
        <v>2.9088820866572159E-3</v>
      </c>
      <c r="AF324" s="23">
        <f t="shared" si="666"/>
        <v>1.1635528346628871E-2</v>
      </c>
      <c r="AG324" s="29">
        <f t="shared" si="667"/>
        <v>2.9997167486184111E-4</v>
      </c>
      <c r="AH324" s="4">
        <f t="shared" ref="AH324:AH329" si="675">BurdenUnc*L316</f>
        <v>3.0397817805567908E-2</v>
      </c>
      <c r="AI324" s="4">
        <f t="shared" si="668"/>
        <v>1.1998866994473644E-3</v>
      </c>
      <c r="AJ324" s="4">
        <f t="shared" si="646"/>
        <v>5.0000000000000001E-4</v>
      </c>
      <c r="AK324" s="21">
        <f>VLOOKUP($D324,Uncertainties!$B$35:$D$41,3,FALSE)</f>
        <v>4.363323129985941E-3</v>
      </c>
      <c r="AL324" s="21"/>
      <c r="AM324" s="369">
        <f>SQRT((VLOOKUP($A324,'5 A data'!$A$5:$U$1148,7,FALSE)*mutual_ind)^2+(aux_CT_phase*J324)^2)</f>
        <v>1.7030466835145975E-3</v>
      </c>
      <c r="AN324" s="29">
        <f t="shared" si="669"/>
        <v>3.3039266287914933E-2</v>
      </c>
      <c r="AO324" s="14">
        <f t="shared" si="670"/>
        <v>6.8294298145249188</v>
      </c>
      <c r="AP324" s="27">
        <f t="shared" si="671"/>
        <v>2.3569066932939258</v>
      </c>
      <c r="AS324" s="27">
        <f>VLOOKUP($B324,TwoStageCT!$A$10:$H$72,5,FALSE)</f>
        <v>38.265350164989712</v>
      </c>
      <c r="AT324" s="27">
        <f>VLOOKUP($B324,TwoStageCT!$A$10:$H$72,8,FALSE)</f>
        <v>16.586629386739094</v>
      </c>
    </row>
    <row r="325" spans="1:46" x14ac:dyDescent="0.2">
      <c r="A325" s="409">
        <v>433</v>
      </c>
      <c r="B325" s="5" t="str">
        <f>B313&amp;D325</f>
        <v>120/20020</v>
      </c>
      <c r="C325" s="19">
        <f>VLOOKUP($A325,'5 A data'!$A$5:$U$650,3,FALSE)</f>
        <v>2.1000057980615688E-2</v>
      </c>
      <c r="D325" s="163">
        <f>ROUND(VLOOKUP($A325,'5 A data'!$A$5:$U$650,9,FALSE)/10,0)*10</f>
        <v>20</v>
      </c>
      <c r="E325" s="23">
        <f t="shared" si="650"/>
        <v>0.99936709902044762</v>
      </c>
      <c r="F325" s="23">
        <f t="shared" si="651"/>
        <v>1.0011822386327505</v>
      </c>
      <c r="G325" s="486">
        <f>VLOOKUP(B325,TwoStageCT!A$10:H$72,3,FALSE)/10000</f>
        <v>3.1280516301103777E-5</v>
      </c>
      <c r="H325" s="486">
        <f>VLOOKUP(B325,TwoStageCT!A$10:H$72,6,FALSE)/10000</f>
        <v>4.5493238991726806E-6</v>
      </c>
      <c r="I325" s="19">
        <f>VLOOKUP($A325,'5 A data'!$A$5:$U$650,10,FALSE)</f>
        <v>-0.157</v>
      </c>
      <c r="J325" s="32">
        <f>VLOOKUP($A325,'5 A data'!$A$5:$U$650,11,FALSE)</f>
        <v>0.24143721319254893</v>
      </c>
      <c r="K325" s="31"/>
      <c r="L325" s="31"/>
      <c r="M325" s="31">
        <f t="shared" si="672"/>
        <v>-0.15686935402990917</v>
      </c>
      <c r="N325" s="31">
        <f t="shared" si="673"/>
        <v>0.24172719891726796</v>
      </c>
      <c r="O325" s="20"/>
      <c r="P325" s="634">
        <f>VLOOKUP(B325,TwoStageCT!A$10:H$72,4,FALSE)/10000</f>
        <v>4.17832023036102E-6</v>
      </c>
      <c r="Q325" s="58">
        <f>VLOOKUP($A325,'5 A data'!$A$5:$U$650,7,FALSE)*slidewire_res</f>
        <v>1E-3</v>
      </c>
      <c r="R325" s="347">
        <f t="shared" si="660"/>
        <v>-3.7999999999999978E-3</v>
      </c>
      <c r="S325" s="4">
        <v>0</v>
      </c>
      <c r="T325" s="4">
        <f t="shared" si="674"/>
        <v>-2.0050000000000002E-2</v>
      </c>
      <c r="U325" s="29">
        <f t="shared" si="661"/>
        <v>-6.2747741611963667E-4</v>
      </c>
      <c r="V325" s="29">
        <f t="shared" si="639"/>
        <v>5.0000000000000001E-4</v>
      </c>
      <c r="W325" s="23">
        <f>VLOOKUP($D325,Uncertainties!$B$35:$D$41,2,FALSE)</f>
        <v>-1.0000000000000009E-3</v>
      </c>
      <c r="X325" s="23"/>
      <c r="Y325" s="24">
        <f t="shared" si="662"/>
        <v>-1.2174535105829549E-5</v>
      </c>
      <c r="Z325" s="23">
        <f t="shared" si="663"/>
        <v>2.0471599683107453E-2</v>
      </c>
      <c r="AA325" s="25">
        <f t="shared" si="664"/>
        <v>5.4269433217283112</v>
      </c>
      <c r="AB325" s="26">
        <f t="shared" si="665"/>
        <v>2.4847231640249881</v>
      </c>
      <c r="AC325" s="14"/>
      <c r="AD325" s="635">
        <f>VLOOKUP(B325,TwoStageCT!A$10:H$72,7,FALSE)/10000</f>
        <v>1.9770475075939077E-6</v>
      </c>
      <c r="AE325" s="366">
        <f>IF(ABS(VLOOKUP($A325,'5 A data'!$A$5:$U$1148,6,FALSE))&lt;4.5,IF(ABS(VLOOKUP($A325,'5 A data'!$A$5:$U$1148,6,FALSE))&lt;1.25,0.0008,0.002),0.004)*VLOOKUP($A325,'5 A data'!$A$5:$U$1148,7,FALSE)*25*RADIANS(1/60)*100</f>
        <v>2.9088820866572159E-3</v>
      </c>
      <c r="AF325" s="23">
        <f t="shared" si="666"/>
        <v>7.2722052166430467E-3</v>
      </c>
      <c r="AG325" s="29">
        <f t="shared" si="667"/>
        <v>2.4172719891726798E-4</v>
      </c>
      <c r="AH325" s="4">
        <f t="shared" si="675"/>
        <v>2.7779823927576414E-2</v>
      </c>
      <c r="AI325" s="4">
        <f t="shared" si="668"/>
        <v>9.6690879566907191E-4</v>
      </c>
      <c r="AJ325" s="4">
        <f t="shared" si="646"/>
        <v>5.0000000000000001E-4</v>
      </c>
      <c r="AK325" s="21">
        <f>VLOOKUP($D325,Uncertainties!$B$35:$D$41,3,FALSE)</f>
        <v>-1.454441043328647E-3</v>
      </c>
      <c r="AL325" s="21"/>
      <c r="AM325" s="369">
        <f>SQRT((VLOOKUP($A325,'5 A data'!$A$5:$U$1148,7,FALSE)*mutual_ind)^2+(aux_CT_phase*J325)^2)</f>
        <v>1.7020581543825786E-3</v>
      </c>
      <c r="AN325" s="29">
        <f t="shared" si="669"/>
        <v>2.8971036060696332E-2</v>
      </c>
      <c r="AO325" s="14">
        <f t="shared" si="670"/>
        <v>5.8859065097038012</v>
      </c>
      <c r="AP325" s="27">
        <f t="shared" si="671"/>
        <v>2.4345625659372745</v>
      </c>
      <c r="AS325" s="27">
        <f>VLOOKUP($B325,TwoStageCT!$A$10:$H$72,5,FALSE)</f>
        <v>36.657700403051521</v>
      </c>
      <c r="AT325" s="27">
        <f>VLOOKUP($B325,TwoStageCT!$A$10:$H$72,8,FALSE)</f>
        <v>53.09445811850042</v>
      </c>
    </row>
    <row r="326" spans="1:46" x14ac:dyDescent="0.2">
      <c r="A326" s="409">
        <v>434</v>
      </c>
      <c r="B326" s="5" t="str">
        <f>B313&amp;D326</f>
        <v>120/20040</v>
      </c>
      <c r="C326" s="19">
        <f>VLOOKUP($A326,'5 A data'!$A$5:$U$650,3,FALSE)</f>
        <v>2.1000057980615688E-2</v>
      </c>
      <c r="D326" s="163">
        <f>ROUND(VLOOKUP($A326,'5 A data'!$A$5:$U$650,9,FALSE)/10,0)*10</f>
        <v>40</v>
      </c>
      <c r="E326" s="23">
        <f t="shared" si="650"/>
        <v>0.99936709902044762</v>
      </c>
      <c r="F326" s="23">
        <f t="shared" si="651"/>
        <v>1.0011822386327505</v>
      </c>
      <c r="G326" s="486">
        <f>VLOOKUP(B326,TwoStageCT!A$10:H$72,3,FALSE)/10000</f>
        <v>2.5200167333853628E-5</v>
      </c>
      <c r="H326" s="486">
        <f>VLOOKUP(B326,TwoStageCT!A$10:H$72,6,FALSE)/10000</f>
        <v>5.7416420558101514E-6</v>
      </c>
      <c r="I326" s="19">
        <f>VLOOKUP($A326,'5 A data'!$A$5:$U$650,10,FALSE)</f>
        <v>-0.13800000000000001</v>
      </c>
      <c r="J326" s="32">
        <f>VLOOKUP($A326,'5 A data'!$A$5:$U$650,11,FALSE)</f>
        <v>0.2050761871093337</v>
      </c>
      <c r="K326" s="31"/>
      <c r="L326" s="31"/>
      <c r="M326" s="31">
        <f t="shared" si="672"/>
        <v>-0.13788745949748793</v>
      </c>
      <c r="N326" s="31">
        <f t="shared" si="673"/>
        <v>0.20532437774244733</v>
      </c>
      <c r="O326" s="20"/>
      <c r="P326" s="634">
        <f>VLOOKUP(B326,TwoStageCT!A$10:H$72,4,FALSE)/10000</f>
        <v>3.3964590328801363E-6</v>
      </c>
      <c r="Q326" s="58">
        <f>VLOOKUP($A326,'5 A data'!$A$5:$U$650,7,FALSE)*slidewire_res</f>
        <v>1E-3</v>
      </c>
      <c r="R326" s="347">
        <f t="shared" si="660"/>
        <v>-1.7000000000000016E-3</v>
      </c>
      <c r="S326" s="4">
        <v>0</v>
      </c>
      <c r="T326" s="4">
        <f t="shared" si="674"/>
        <v>-1.8499999999999999E-2</v>
      </c>
      <c r="U326" s="29">
        <f t="shared" si="661"/>
        <v>-5.5154983798995176E-4</v>
      </c>
      <c r="V326" s="29">
        <f t="shared" si="639"/>
        <v>5.0000000000000001E-4</v>
      </c>
      <c r="W326" s="23">
        <f>VLOOKUP($D326,Uncertainties!$B$35:$D$41,2,FALSE)</f>
        <v>-1.0000000000000009E-3</v>
      </c>
      <c r="X326" s="23"/>
      <c r="Y326" s="24">
        <f t="shared" si="662"/>
        <v>-1.0701183723595402E-5</v>
      </c>
      <c r="Z326" s="23">
        <f t="shared" si="663"/>
        <v>1.864656357817852E-2</v>
      </c>
      <c r="AA326" s="25">
        <f t="shared" si="664"/>
        <v>5.1599035690983408</v>
      </c>
      <c r="AB326" s="26">
        <f t="shared" si="665"/>
        <v>2.5191913800493251</v>
      </c>
      <c r="AC326" s="14"/>
      <c r="AD326" s="635">
        <f>VLOOKUP(B326,TwoStageCT!A$10:H$72,7,FALSE)/10000</f>
        <v>1.6849048737447556E-6</v>
      </c>
      <c r="AE326" s="366">
        <f>IF(ABS(VLOOKUP($A326,'5 A data'!$A$5:$U$1148,6,FALSE))&lt;4.5,IF(ABS(VLOOKUP($A326,'5 A data'!$A$5:$U$1148,6,FALSE))&lt;1.25,0.0008,0.002),0.004)*VLOOKUP($A326,'5 A data'!$A$5:$U$1148,7,FALSE)*25*RADIANS(1/60)*100</f>
        <v>2.9088820866572159E-3</v>
      </c>
      <c r="AF326" s="23">
        <f t="shared" si="666"/>
        <v>2.9088820866572107E-3</v>
      </c>
      <c r="AG326" s="29">
        <f t="shared" si="667"/>
        <v>2.0532437774244732E-4</v>
      </c>
      <c r="AH326" s="4">
        <f t="shared" si="675"/>
        <v>2.5379996206084211E-2</v>
      </c>
      <c r="AI326" s="4">
        <f t="shared" si="668"/>
        <v>8.2129751096978929E-4</v>
      </c>
      <c r="AJ326" s="4">
        <f t="shared" si="646"/>
        <v>5.0000000000000001E-4</v>
      </c>
      <c r="AK326" s="21">
        <f>VLOOKUP($D326,Uncertainties!$B$35:$D$41,3,FALSE)</f>
        <v>-2.908882086657183E-3</v>
      </c>
      <c r="AL326" s="21"/>
      <c r="AM326" s="369">
        <f>SQRT((VLOOKUP($A326,'5 A data'!$A$5:$U$1148,7,FALSE)*mutual_ind)^2+(aux_CT_phase*J326)^2)</f>
        <v>1.7015480534634398E-3</v>
      </c>
      <c r="AN326" s="29">
        <f t="shared" si="669"/>
        <v>2.5949777431065659E-2</v>
      </c>
      <c r="AO326" s="14">
        <f t="shared" si="670"/>
        <v>5.4619686892680841</v>
      </c>
      <c r="AP326" s="27">
        <f t="shared" si="671"/>
        <v>2.4805188395207565</v>
      </c>
      <c r="AS326" s="27">
        <f>VLOOKUP($B326,TwoStageCT!$A$10:$H$72,5,FALSE)</f>
        <v>38.659909732018328</v>
      </c>
      <c r="AT326" s="27">
        <f>VLOOKUP($B326,TwoStageCT!$A$10:$H$72,8,FALSE)</f>
        <v>52.499330597885681</v>
      </c>
    </row>
    <row r="327" spans="1:46" x14ac:dyDescent="0.2">
      <c r="A327" s="409">
        <v>435</v>
      </c>
      <c r="B327" s="5" t="str">
        <f>B313&amp;D327</f>
        <v>120/20060</v>
      </c>
      <c r="C327" s="19">
        <f>VLOOKUP($A327,'5 A data'!$A$5:$U$650,3,FALSE)</f>
        <v>2.1000057980615688E-2</v>
      </c>
      <c r="D327" s="163">
        <f>ROUND(VLOOKUP($A327,'5 A data'!$A$5:$U$650,9,FALSE)/10,0)*10</f>
        <v>60</v>
      </c>
      <c r="E327" s="23">
        <f t="shared" si="650"/>
        <v>0.99936709902044762</v>
      </c>
      <c r="F327" s="23">
        <f t="shared" si="651"/>
        <v>1.0011822386327505</v>
      </c>
      <c r="G327" s="486">
        <f>VLOOKUP(B327,TwoStageCT!A$10:H$72,3,FALSE)/10000</f>
        <v>2.195627602528684E-5</v>
      </c>
      <c r="H327" s="486">
        <f>VLOOKUP(B327,TwoStageCT!A$10:H$72,6,FALSE)/10000</f>
        <v>5.5507836163637805E-6</v>
      </c>
      <c r="I327" s="19">
        <f>VLOOKUP($A327,'5 A data'!$A$5:$U$650,10,FALSE)</f>
        <v>-0.1295</v>
      </c>
      <c r="J327" s="32">
        <f>VLOOKUP($A327,'5 A data'!$A$5:$U$650,11,FALSE)</f>
        <v>0.19053177667604765</v>
      </c>
      <c r="K327" s="31"/>
      <c r="L327" s="31"/>
      <c r="M327" s="31">
        <f t="shared" si="672"/>
        <v>-0.12939608304712269</v>
      </c>
      <c r="N327" s="31">
        <f t="shared" si="673"/>
        <v>0.19076258148681702</v>
      </c>
      <c r="O327" s="20"/>
      <c r="P327" s="634">
        <f>VLOOKUP(B327,TwoStageCT!A$10:H$72,4,FALSE)/10000</f>
        <v>2.9709098248278708E-6</v>
      </c>
      <c r="Q327" s="58">
        <f>VLOOKUP($A327,'5 A data'!$A$5:$U$650,7,FALSE)*slidewire_res</f>
        <v>1E-3</v>
      </c>
      <c r="R327" s="347">
        <f t="shared" si="660"/>
        <v>-1.7000000000000016E-3</v>
      </c>
      <c r="S327" s="4">
        <v>0</v>
      </c>
      <c r="T327" s="4">
        <f t="shared" si="674"/>
        <v>-1.8475000000000002E-2</v>
      </c>
      <c r="U327" s="29">
        <f t="shared" si="661"/>
        <v>-5.1758433218849077E-4</v>
      </c>
      <c r="V327" s="29">
        <f t="shared" si="639"/>
        <v>5.0000000000000001E-4</v>
      </c>
      <c r="W327" s="23">
        <f>VLOOKUP($D327,Uncertainties!$B$35:$D$41,2,FALSE)</f>
        <v>-1.0000000000000009E-3</v>
      </c>
      <c r="X327" s="23"/>
      <c r="Y327" s="24">
        <f t="shared" si="662"/>
        <v>-1.0042052842069597E-5</v>
      </c>
      <c r="Z327" s="23">
        <f t="shared" si="663"/>
        <v>1.8620784844094448E-2</v>
      </c>
      <c r="AA327" s="25">
        <f t="shared" si="664"/>
        <v>5.1592585418165822</v>
      </c>
      <c r="AB327" s="26">
        <f t="shared" si="665"/>
        <v>2.5192801919744769</v>
      </c>
      <c r="AC327" s="14"/>
      <c r="AD327" s="635">
        <f>VLOOKUP(B327,TwoStageCT!A$10:H$72,7,FALSE)/10000</f>
        <v>1.6017059195029239E-6</v>
      </c>
      <c r="AE327" s="366">
        <f>IF(ABS(VLOOKUP($A327,'5 A data'!$A$5:$U$1148,6,FALSE))&lt;4.5,IF(ABS(VLOOKUP($A327,'5 A data'!$A$5:$U$1148,6,FALSE))&lt;1.25,0.0008,0.002),0.004)*VLOOKUP($A327,'5 A data'!$A$5:$U$1148,7,FALSE)*25*RADIANS(1/60)*100</f>
        <v>2.9088820866572159E-3</v>
      </c>
      <c r="AF327" s="23">
        <f t="shared" si="666"/>
        <v>2.908882086657222E-3</v>
      </c>
      <c r="AG327" s="29">
        <f t="shared" si="667"/>
        <v>1.9076258148681703E-4</v>
      </c>
      <c r="AH327" s="4">
        <f t="shared" si="675"/>
        <v>2.2616558223759856E-2</v>
      </c>
      <c r="AI327" s="4">
        <f t="shared" si="668"/>
        <v>7.6305032594726813E-4</v>
      </c>
      <c r="AJ327" s="4">
        <f t="shared" si="646"/>
        <v>5.0000000000000001E-4</v>
      </c>
      <c r="AK327" s="21">
        <f>VLOOKUP($D327,Uncertainties!$B$35:$D$41,3,FALSE)</f>
        <v>-2.908882086657183E-3</v>
      </c>
      <c r="AL327" s="21"/>
      <c r="AM327" s="369">
        <f>SQRT((VLOOKUP($A327,'5 A data'!$A$5:$U$1148,7,FALSE)*mutual_ind)^2+(aux_CT_phase*J327)^2)</f>
        <v>1.7013672383223266E-3</v>
      </c>
      <c r="AN327" s="29">
        <f t="shared" si="669"/>
        <v>2.3252027440171043E-2</v>
      </c>
      <c r="AO327" s="14">
        <f t="shared" si="670"/>
        <v>5.5822277240691935</v>
      </c>
      <c r="AP327" s="27">
        <f t="shared" si="671"/>
        <v>2.4665890742847099</v>
      </c>
      <c r="AS327" s="27">
        <f>VLOOKUP($B327,TwoStageCT!$A$10:$H$72,5,FALSE)</f>
        <v>42.291164682130272</v>
      </c>
      <c r="AT327" s="27">
        <f>VLOOKUP($B327,TwoStageCT!$A$10:$H$72,8,FALSE)</f>
        <v>48.978667479860043</v>
      </c>
    </row>
    <row r="328" spans="1:46" x14ac:dyDescent="0.2">
      <c r="A328" s="409">
        <v>436</v>
      </c>
      <c r="B328" s="5" t="str">
        <f>B313&amp;D328</f>
        <v>120/200100</v>
      </c>
      <c r="C328" s="19">
        <f>VLOOKUP($A328,'5 A data'!$A$5:$U$650,3,FALSE)</f>
        <v>2.1000057980615688E-2</v>
      </c>
      <c r="D328" s="164">
        <f>ROUND(VLOOKUP($A328,'5 A data'!$A$5:$U$650,9,FALSE)/10,0)*10</f>
        <v>100</v>
      </c>
      <c r="E328" s="23">
        <f t="shared" si="650"/>
        <v>0.99936709902044762</v>
      </c>
      <c r="F328" s="23">
        <f t="shared" si="651"/>
        <v>1.0011822386327505</v>
      </c>
      <c r="G328" s="486">
        <f>VLOOKUP(B328,TwoStageCT!A$10:H$72,3,FALSE)/10000</f>
        <v>1.6881396356939836E-5</v>
      </c>
      <c r="H328" s="486">
        <f>VLOOKUP(B328,TwoStageCT!A$10:H$72,6,FALSE)/10000</f>
        <v>7.3590724152435355E-6</v>
      </c>
      <c r="I328" s="19">
        <f>VLOOKUP($A328,'5 A data'!$A$5:$U$650,10,FALSE)</f>
        <v>-0.121</v>
      </c>
      <c r="J328" s="32">
        <f>VLOOKUP($A328,'5 A data'!$A$5:$U$650,11,FALSE)</f>
        <v>0.17598736624276154</v>
      </c>
      <c r="K328" s="31"/>
      <c r="L328" s="31"/>
      <c r="M328" s="31">
        <f t="shared" si="672"/>
        <v>-0.12090653758511721</v>
      </c>
      <c r="N328" s="31">
        <f t="shared" si="673"/>
        <v>0.17620278437842499</v>
      </c>
      <c r="O328" s="20"/>
      <c r="P328" s="634">
        <f>VLOOKUP(B328,TwoStageCT!A$10:H$72,4,FALSE)/10000</f>
        <v>2.4131313466023584E-6</v>
      </c>
      <c r="Q328" s="58">
        <f>VLOOKUP($A328,'5 A data'!$A$5:$U$650,7,FALSE)*slidewire_res</f>
        <v>1E-3</v>
      </c>
      <c r="R328" s="347">
        <f t="shared" si="660"/>
        <v>-4.000000000000004E-4</v>
      </c>
      <c r="S328" s="4">
        <v>0</v>
      </c>
      <c r="T328" s="4">
        <f t="shared" si="674"/>
        <v>-1.7850000000000001E-2</v>
      </c>
      <c r="U328" s="29">
        <f t="shared" si="661"/>
        <v>-4.8362615034046888E-4</v>
      </c>
      <c r="V328" s="29">
        <f t="shared" si="639"/>
        <v>5.0000000000000001E-4</v>
      </c>
      <c r="W328" s="23">
        <f>VLOOKUP($D328,Uncertainties!$B$35:$D$41,2,FALSE)</f>
        <v>1.999999999999974E-3</v>
      </c>
      <c r="X328" s="23"/>
      <c r="Y328" s="24">
        <f t="shared" si="662"/>
        <v>-9.3829219605437922E-6</v>
      </c>
      <c r="Z328" s="23">
        <f t="shared" si="663"/>
        <v>1.8007400926167007E-2</v>
      </c>
      <c r="AA328" s="25">
        <f t="shared" si="664"/>
        <v>5.1783212856182166</v>
      </c>
      <c r="AB328" s="26">
        <f t="shared" si="665"/>
        <v>2.5166674869149843</v>
      </c>
      <c r="AC328" s="14"/>
      <c r="AD328" s="635">
        <f>VLOOKUP(B328,TwoStageCT!A$10:H$72,7,FALSE)/10000</f>
        <v>1.6933288916776063E-6</v>
      </c>
      <c r="AE328" s="366">
        <f>IF(ABS(VLOOKUP($A328,'5 A data'!$A$5:$U$1148,6,FALSE))&lt;4.5,IF(ABS(VLOOKUP($A328,'5 A data'!$A$5:$U$1148,6,FALSE))&lt;1.25,0.0008,0.002),0.004)*VLOOKUP($A328,'5 A data'!$A$5:$U$1148,7,FALSE)*25*RADIANS(1/60)*100</f>
        <v>2.9088820866572159E-3</v>
      </c>
      <c r="AF328" s="23">
        <f t="shared" si="666"/>
        <v>8.7266462599715493E-4</v>
      </c>
      <c r="AG328" s="29">
        <f t="shared" si="667"/>
        <v>1.7620278437842498E-4</v>
      </c>
      <c r="AH328" s="4">
        <f t="shared" si="675"/>
        <v>1.7526014572109727E-2</v>
      </c>
      <c r="AI328" s="4">
        <f t="shared" si="668"/>
        <v>7.0481113751369993E-4</v>
      </c>
      <c r="AJ328" s="4">
        <f t="shared" si="646"/>
        <v>5.0000000000000001E-4</v>
      </c>
      <c r="AK328" s="21">
        <f>VLOOKUP($D328,Uncertainties!$B$35:$D$41,3,FALSE)</f>
        <v>-2.9088820866572385E-3</v>
      </c>
      <c r="AL328" s="21"/>
      <c r="AM328" s="369">
        <f>SQRT((VLOOKUP($A328,'5 A data'!$A$5:$U$1148,7,FALSE)*mutual_ind)^2+(aux_CT_phase*J328)^2)</f>
        <v>1.7011997012616174E-3</v>
      </c>
      <c r="AN328" s="29">
        <f t="shared" si="669"/>
        <v>1.8125060269448521E-2</v>
      </c>
      <c r="AO328" s="14">
        <f t="shared" si="670"/>
        <v>5.7128313244496969</v>
      </c>
      <c r="AP328" s="27">
        <f t="shared" si="671"/>
        <v>2.4522928540708491</v>
      </c>
      <c r="AS328" s="27">
        <f>VLOOKUP($B328,TwoStageCT!$A$10:$H$72,5,FALSE)</f>
        <v>59.567261398457461</v>
      </c>
      <c r="AT328" s="27">
        <f>VLOOKUP($B328,TwoStageCT!$A$10:$H$72,8,FALSE)</f>
        <v>45.732629829898706</v>
      </c>
    </row>
    <row r="329" spans="1:46" x14ac:dyDescent="0.2">
      <c r="A329" s="409">
        <v>437</v>
      </c>
      <c r="B329" s="5" t="str">
        <f>B313&amp;D329</f>
        <v>120/200120</v>
      </c>
      <c r="C329" s="19">
        <f>VLOOKUP($A329,'5 A data'!$A$5:$U$650,3,FALSE)</f>
        <v>2.1000057980615688E-2</v>
      </c>
      <c r="D329" s="164">
        <f>ROUND(VLOOKUP($A329,'5 A data'!$A$5:$U$650,9,FALSE)/10,0)*10</f>
        <v>120</v>
      </c>
      <c r="E329" s="23">
        <f t="shared" si="650"/>
        <v>0.99936709902044762</v>
      </c>
      <c r="F329" s="23">
        <f t="shared" si="651"/>
        <v>1.0011822386327505</v>
      </c>
      <c r="G329" s="486">
        <f>VLOOKUP(B329,TwoStageCT!A$10:H$72,3,FALSE)/10000</f>
        <v>1.5213305302217845E-5</v>
      </c>
      <c r="H329" s="486">
        <f>VLOOKUP(B329,TwoStageCT!A$10:H$72,6,FALSE)/10000</f>
        <v>7.5885012454326174E-6</v>
      </c>
      <c r="I329" s="19">
        <f>VLOOKUP($A329,'5 A data'!$A$5:$U$650,10,FALSE)</f>
        <v>-0.11899999999999999</v>
      </c>
      <c r="J329" s="32">
        <f>VLOOKUP($A329,'5 A data'!$A$5:$U$650,11,FALSE)</f>
        <v>0.17162404311277576</v>
      </c>
      <c r="K329" s="31"/>
      <c r="L329" s="31"/>
      <c r="M329" s="31">
        <f t="shared" si="672"/>
        <v>-0.11890947147813105</v>
      </c>
      <c r="N329" s="31">
        <f t="shared" si="673"/>
        <v>0.17183453218809797</v>
      </c>
      <c r="O329" s="20"/>
      <c r="P329" s="634">
        <f>VLOOKUP(B329,TwoStageCT!A$10:H$72,4,FALSE)/10000</f>
        <v>2.2681305202526645E-6</v>
      </c>
      <c r="Q329" s="58">
        <f>VLOOKUP($A329,'5 A data'!$A$5:$U$650,7,FALSE)*slidewire_res</f>
        <v>1E-3</v>
      </c>
      <c r="R329" s="347">
        <f t="shared" si="660"/>
        <v>0</v>
      </c>
      <c r="S329" s="4">
        <v>0</v>
      </c>
      <c r="T329" s="4">
        <f t="shared" si="674"/>
        <v>-1.7150000000000002E-2</v>
      </c>
      <c r="U329" s="29">
        <f t="shared" si="661"/>
        <v>-4.7563788591252422E-4</v>
      </c>
      <c r="V329" s="29">
        <f t="shared" si="639"/>
        <v>5.0000000000000001E-4</v>
      </c>
      <c r="W329" s="23">
        <f>VLOOKUP($D329,Uncertainties!$B$35:$D$41,2,FALSE)</f>
        <v>-1.0000000000000009E-3</v>
      </c>
      <c r="X329" s="23"/>
      <c r="Y329" s="24">
        <f t="shared" si="662"/>
        <v>-9.2278323413612514E-6</v>
      </c>
      <c r="Z329" s="23">
        <f t="shared" si="663"/>
        <v>1.7222044643300086E-2</v>
      </c>
      <c r="AA329" s="25">
        <f t="shared" si="664"/>
        <v>5.0844590104623801</v>
      </c>
      <c r="AB329" s="26">
        <f t="shared" si="665"/>
        <v>2.5297763834274107</v>
      </c>
      <c r="AC329" s="14"/>
      <c r="AD329" s="635">
        <f>VLOOKUP(B329,TwoStageCT!A$10:H$72,7,FALSE)/10000</f>
        <v>1.7092397901526349E-6</v>
      </c>
      <c r="AE329" s="366">
        <f>IF(ABS(VLOOKUP($A329,'5 A data'!$A$5:$U$1148,6,FALSE))&lt;4.5,IF(ABS(VLOOKUP($A329,'5 A data'!$A$5:$U$1148,6,FALSE))&lt;1.25,0.0008,0.002),0.004)*VLOOKUP($A329,'5 A data'!$A$5:$U$1148,7,FALSE)*25*RADIANS(1/60)*100</f>
        <v>2.9088820866572159E-3</v>
      </c>
      <c r="AF329" s="23">
        <f t="shared" si="666"/>
        <v>0</v>
      </c>
      <c r="AG329" s="29">
        <f t="shared" si="667"/>
        <v>1.7183453218809797E-4</v>
      </c>
      <c r="AH329" s="4">
        <f t="shared" si="675"/>
        <v>1.5562519163616107E-2</v>
      </c>
      <c r="AI329" s="4">
        <f t="shared" si="668"/>
        <v>6.873381287523919E-4</v>
      </c>
      <c r="AJ329" s="4">
        <f t="shared" si="646"/>
        <v>5.0000000000000001E-4</v>
      </c>
      <c r="AK329" s="21">
        <f>VLOOKUP($D329,Uncertainties!$B$35:$D$41,3,FALSE)</f>
        <v>1.4544410433285915E-3</v>
      </c>
      <c r="AL329" s="21"/>
      <c r="AM329" s="369">
        <f>SQRT((VLOOKUP($A329,'5 A data'!$A$5:$U$1148,7,FALSE)*mutual_ind)^2+(aux_CT_phase*J329)^2)</f>
        <v>1.7011520299637143E-3</v>
      </c>
      <c r="AN329" s="29">
        <f t="shared" si="669"/>
        <v>1.6012959702089807E-2</v>
      </c>
      <c r="AO329" s="14">
        <f t="shared" si="670"/>
        <v>5.5966710273714382</v>
      </c>
      <c r="AP329" s="27">
        <f t="shared" si="671"/>
        <v>2.4649667671133018</v>
      </c>
      <c r="AS329" s="27">
        <f>VLOOKUP($B329,TwoStageCT!$A$10:$H$72,5,FALSE)</f>
        <v>68.00069900375496</v>
      </c>
      <c r="AT329" s="27">
        <f>VLOOKUP($B329,TwoStageCT!$A$10:$H$72,8,FALSE)</f>
        <v>47.345132453902309</v>
      </c>
    </row>
    <row r="330" spans="1:46" x14ac:dyDescent="0.2">
      <c r="A330" s="409">
        <v>438</v>
      </c>
      <c r="P330" s="97"/>
      <c r="AD330" s="250"/>
    </row>
    <row r="331" spans="1:46" x14ac:dyDescent="0.2">
      <c r="A331" s="409">
        <v>439</v>
      </c>
      <c r="B331" s="474" t="str">
        <f>MID(D331,FIND("AT,",D331,1)-4,3)&amp;"/"&amp;MID(D331,FIND("AT,",D331,1)+4,3)</f>
        <v>120/200</v>
      </c>
      <c r="C331" t="s">
        <v>113</v>
      </c>
      <c r="D331" s="59" t="str">
        <f>VLOOKUP($A331,'5 A data'!$A$5:$U$574,2,FALSE)</f>
        <v>200/5 Range, 1 turns @ 1VA burden, vs 120 AT, 200 range, 2 Stage CT</v>
      </c>
      <c r="P331" s="97"/>
      <c r="R331" s="42"/>
      <c r="Z331" s="29"/>
      <c r="AA331" s="25"/>
      <c r="AD331" s="250"/>
      <c r="AN331" s="29"/>
      <c r="AO331" s="14"/>
    </row>
    <row r="332" spans="1:46" x14ac:dyDescent="0.2">
      <c r="A332" s="409">
        <v>440</v>
      </c>
      <c r="C332" s="19"/>
      <c r="M332" s="639" t="s">
        <v>472</v>
      </c>
      <c r="N332" s="639"/>
      <c r="O332" s="19"/>
      <c r="P332" s="97"/>
      <c r="R332" s="42"/>
      <c r="Z332" s="29"/>
      <c r="AA332" s="25"/>
      <c r="AD332" s="250"/>
      <c r="AN332" s="29"/>
      <c r="AO332" s="14"/>
    </row>
    <row r="333" spans="1:46" x14ac:dyDescent="0.2">
      <c r="A333" s="409">
        <v>441</v>
      </c>
      <c r="B333" s="5" t="str">
        <f>B331&amp;D333</f>
        <v>120/2005</v>
      </c>
      <c r="C333" s="19">
        <f>VLOOKUP($A333,'5 A data'!$A$5:$U$574,3,FALSE)</f>
        <v>0.21600059637204713</v>
      </c>
      <c r="D333" s="19">
        <f>ROUND(VLOOKUP($A333,'5 A data'!$A$5:$U$650,9,FALSE),0)</f>
        <v>5</v>
      </c>
      <c r="E333" s="23">
        <f>TestSetRatioCor</f>
        <v>0.99936709902044762</v>
      </c>
      <c r="F333" s="23">
        <f>TestSetPhaseCor</f>
        <v>1.0011822386327505</v>
      </c>
      <c r="G333" s="486">
        <f>VLOOKUP(B333,TwoStageCT!A$10:H$72,3,FALSE)/10000</f>
        <v>3.6805932694608759E-5</v>
      </c>
      <c r="H333" s="486">
        <f>VLOOKUP(B333,TwoStageCT!A$10:H$72,6,FALSE)/10000</f>
        <v>4.6965346060309593E-6</v>
      </c>
      <c r="I333" s="19">
        <f>VLOOKUP($A333,'5 A data'!$A$5:$U$650,10,FALSE)</f>
        <v>-0.32900000000000001</v>
      </c>
      <c r="J333" s="32">
        <f>VLOOKUP($A333,'5 A data'!$A$5:$U$650,11,FALSE)</f>
        <v>0.54396095020489932</v>
      </c>
      <c r="K333" s="22">
        <f>I333-I341</f>
        <v>-0.10600000000000001</v>
      </c>
      <c r="L333" s="22">
        <f>J333-J341</f>
        <v>0.14835298641951794</v>
      </c>
      <c r="M333" s="492">
        <f>I333*E333+G333</f>
        <v>-0.32875496964503265</v>
      </c>
      <c r="N333" s="492">
        <f>J333*F333+H333</f>
        <v>0.54460873838954516</v>
      </c>
      <c r="O333" s="20"/>
      <c r="P333" s="634">
        <f>VLOOKUP(B333,TwoStageCT!A$10:H$72,4,FALSE)/10000</f>
        <v>6.4429594675743464E-6</v>
      </c>
      <c r="Q333" s="58">
        <f>VLOOKUP($A333,'5 A data'!$A$5:$U$650,7,FALSE)*slidewire_res</f>
        <v>1E-3</v>
      </c>
      <c r="R333" s="347">
        <f t="shared" ref="R333:R339" si="676">current_coef*(I333-I334)*IF(I334=0,0,1)</f>
        <v>-1.0199999999999999E-2</v>
      </c>
      <c r="S333" s="4">
        <v>0</v>
      </c>
      <c r="T333" s="21">
        <f>BurdenUnc*K333</f>
        <v>-5.3000000000000009E-3</v>
      </c>
      <c r="U333" s="29">
        <f>0.004*M333</f>
        <v>-1.3150198785801307E-3</v>
      </c>
      <c r="V333" s="29">
        <f t="shared" ref="V333:V347" si="677">earthing_Re</f>
        <v>5.0000000000000001E-4</v>
      </c>
      <c r="W333" s="23">
        <f>VLOOKUP($D333,Uncertainties!$B$35:$D$41,2,FALSE)</f>
        <v>5.0000000000000044E-3</v>
      </c>
      <c r="X333" s="23"/>
      <c r="Y333" s="24">
        <f t="shared" ref="Y333:Y339" si="678">I333*aux_CT_ratio</f>
        <v>-2.5512242355528166E-5</v>
      </c>
      <c r="Z333" s="23">
        <f t="shared" ref="Z333:Z339" si="679">SQRT(SUMSQ(P333:Y333))</f>
        <v>1.2653456826784436E-2</v>
      </c>
      <c r="AA333" s="25">
        <f t="shared" ref="AA333:AA339" si="680">DoF_A(P333:Y333,$P$7:$Y$7)</f>
        <v>10.800661293603552</v>
      </c>
      <c r="AB333" s="26">
        <f t="shared" ref="AB333:AB339" si="681">CoverFactor(AA333)</f>
        <v>2.1961669274384197</v>
      </c>
      <c r="AC333" s="14"/>
      <c r="AD333" s="635">
        <f>VLOOKUP(B333,TwoStageCT!A$10:H$72,7,FALSE)/10000</f>
        <v>4.6788986298833412E-6</v>
      </c>
      <c r="AE333" s="366">
        <f>IF(ABS(VLOOKUP($A333,'5 A data'!$A$5:$U$1148,6,FALSE))&lt;4.5,IF(ABS(VLOOKUP($A333,'5 A data'!$A$5:$U$1148,6,FALSE))&lt;1.25,0.0008,0.002),0.004)*VLOOKUP($A333,'5 A data'!$A$5:$U$1148,7,FALSE)*25*RADIANS(1/60)*100</f>
        <v>2.9088820866572159E-3</v>
      </c>
      <c r="AF333" s="23">
        <f>current_coef*(J333-J334)*IF(J334=0,0,1)</f>
        <v>2.1525727441263388E-2</v>
      </c>
      <c r="AG333" s="29">
        <f t="shared" ref="AG333:AG339" si="682">0.001*N333</f>
        <v>5.4460873838954517E-4</v>
      </c>
      <c r="AH333" s="4">
        <f>BurdenUnc*L333</f>
        <v>7.417649320975897E-3</v>
      </c>
      <c r="AI333" s="4">
        <f t="shared" ref="AI333:AI339" si="683">0.004*N333</f>
        <v>2.1784349535581807E-3</v>
      </c>
      <c r="AJ333" s="4">
        <f t="shared" ref="AJ333:AJ347" si="684">earthing_Im</f>
        <v>5.0000000000000001E-4</v>
      </c>
      <c r="AK333" s="21">
        <f>VLOOKUP($D333,Uncertainties!$B$35:$D$41,3,FALSE)</f>
        <v>-1.1635528346628732E-2</v>
      </c>
      <c r="AL333" s="21"/>
      <c r="AM333" s="369">
        <f>SQRT((VLOOKUP($A333,'5 A data'!$A$5:$U$1148,7,FALSE)*mutual_ind)^2+(aux_CT_phase*J333)^2)</f>
        <v>1.709505827435271E-3</v>
      </c>
      <c r="AN333" s="29">
        <f t="shared" ref="AN333:AN339" si="685">SQRT(SUMSQ(AD333:AM333))</f>
        <v>2.5892859784402953E-2</v>
      </c>
      <c r="AO333" s="14">
        <f t="shared" ref="AO333:AO339" si="686">DoF_A(AD333:AM333,$AD$7:$AM$7)</f>
        <v>9.9815018866476048</v>
      </c>
      <c r="AP333" s="27">
        <f t="shared" ref="AP333:AP339" si="687">CoverFactor(AO333)</f>
        <v>2.2175595676067488</v>
      </c>
      <c r="AS333" s="27">
        <f>VLOOKUP($B333,TwoStageCT!$A$10:$H$72,5,FALSE)</f>
        <v>26.31606241070681</v>
      </c>
      <c r="AT333" s="27">
        <f>VLOOKUP($B333,TwoStageCT!$A$10:$H$72,8,FALSE)</f>
        <v>9.9413455012810044</v>
      </c>
    </row>
    <row r="334" spans="1:46" x14ac:dyDescent="0.2">
      <c r="A334" s="409">
        <v>442</v>
      </c>
      <c r="B334" s="5" t="str">
        <f>B331&amp;D334</f>
        <v>120/20010</v>
      </c>
      <c r="C334" s="19">
        <f>VLOOKUP($A334,'5 A data'!$A$5:$U$650,3,FALSE)</f>
        <v>0.21600059637204713</v>
      </c>
      <c r="D334" s="163">
        <f>ROUND(VLOOKUP($A334,'5 A data'!$A$5:$U$650,9,FALSE)/10,0)*10</f>
        <v>10</v>
      </c>
      <c r="E334" s="23">
        <f t="shared" ref="E334:E347" si="688">TestSetRatioCor</f>
        <v>0.99936709902044762</v>
      </c>
      <c r="F334" s="23">
        <f t="shared" ref="F334:F347" si="689">TestSetPhaseCor</f>
        <v>1.0011822386327505</v>
      </c>
      <c r="G334" s="486">
        <f>VLOOKUP(B334,TwoStageCT!A$10:H$72,3,FALSE)/10000</f>
        <v>3.4690340839935311E-5</v>
      </c>
      <c r="H334" s="486">
        <f>VLOOKUP(B334,TwoStageCT!A$10:H$72,6,FALSE)/10000</f>
        <v>2.6036797087866982E-6</v>
      </c>
      <c r="I334" s="19">
        <f>VLOOKUP($A334,'5 A data'!$A$5:$U$650,10,FALSE)</f>
        <v>-0.27800000000000002</v>
      </c>
      <c r="J334" s="32">
        <f>VLOOKUP($A334,'5 A data'!$A$5:$U$650,11,FALSE)</f>
        <v>0.43633231299858238</v>
      </c>
      <c r="K334" s="22">
        <f t="shared" ref="K334:K339" si="690">I334-I342</f>
        <v>-9.4000000000000028E-2</v>
      </c>
      <c r="L334" s="22">
        <f t="shared" ref="L334:L339" si="691">J334-J342</f>
        <v>0.13817189911621774</v>
      </c>
      <c r="M334" s="492">
        <f t="shared" ref="M334:M339" si="692">I334*E334+G334</f>
        <v>-0.27778936318684455</v>
      </c>
      <c r="N334" s="492">
        <f t="shared" ref="N334:N339" si="693">J334*F334+H334</f>
        <v>0.43685076559543545</v>
      </c>
      <c r="O334" s="20"/>
      <c r="P334" s="634">
        <f>VLOOKUP(B334,TwoStageCT!A$10:H$72,4,FALSE)/10000</f>
        <v>5.0170517941146892E-6</v>
      </c>
      <c r="Q334" s="58">
        <f>VLOOKUP($A334,'5 A data'!$A$5:$U$650,7,FALSE)*slidewire_res</f>
        <v>1E-3</v>
      </c>
      <c r="R334" s="347">
        <f t="shared" si="676"/>
        <v>-7.6000000000000069E-3</v>
      </c>
      <c r="S334" s="4">
        <v>0</v>
      </c>
      <c r="T334" s="21">
        <f t="shared" ref="T334:T339" si="694">BurdenUnc*K334</f>
        <v>-4.7000000000000019E-3</v>
      </c>
      <c r="U334" s="29">
        <f t="shared" ref="U334:U339" si="695">0.004*M334</f>
        <v>-1.1111574527473782E-3</v>
      </c>
      <c r="V334" s="29">
        <f t="shared" si="677"/>
        <v>5.0000000000000001E-4</v>
      </c>
      <c r="W334" s="23">
        <f>VLOOKUP($D334,Uncertainties!$B$35:$D$41,2,FALSE)</f>
        <v>2.5000000000000022E-3</v>
      </c>
      <c r="X334" s="23"/>
      <c r="Y334" s="24">
        <f t="shared" si="678"/>
        <v>-2.1557457066373346E-5</v>
      </c>
      <c r="Z334" s="23">
        <f t="shared" si="679"/>
        <v>9.4119690171377036E-3</v>
      </c>
      <c r="AA334" s="25">
        <f t="shared" si="680"/>
        <v>10.211502689096815</v>
      </c>
      <c r="AB334" s="26">
        <f t="shared" si="681"/>
        <v>2.2111662435177428</v>
      </c>
      <c r="AC334" s="14"/>
      <c r="AD334" s="635">
        <f>VLOOKUP(B334,TwoStageCT!A$10:H$72,7,FALSE)/10000</f>
        <v>2.600738521505678E-6</v>
      </c>
      <c r="AE334" s="366">
        <f>IF(ABS(VLOOKUP($A334,'5 A data'!$A$5:$U$1148,6,FALSE))&lt;4.5,IF(ABS(VLOOKUP($A334,'5 A data'!$A$5:$U$1148,6,FALSE))&lt;1.25,0.0008,0.002),0.004)*VLOOKUP($A334,'5 A data'!$A$5:$U$1148,7,FALSE)*25*RADIANS(1/60)*100</f>
        <v>2.9088820866572159E-3</v>
      </c>
      <c r="AF334" s="23">
        <f t="shared" ref="AF334:AF339" si="696">current_coef*(J334-J335)*IF(J335=0,0,1)</f>
        <v>1.4544410433286081E-2</v>
      </c>
      <c r="AG334" s="29">
        <f t="shared" si="682"/>
        <v>4.3685076559543548E-4</v>
      </c>
      <c r="AH334" s="4">
        <f t="shared" ref="AH334:AH339" si="697">BurdenUnc*L334</f>
        <v>6.9085949558108876E-3</v>
      </c>
      <c r="AI334" s="4">
        <f t="shared" si="683"/>
        <v>1.7474030623817419E-3</v>
      </c>
      <c r="AJ334" s="4">
        <f t="shared" si="684"/>
        <v>5.0000000000000001E-4</v>
      </c>
      <c r="AK334" s="21">
        <f>VLOOKUP($D334,Uncertainties!$B$35:$D$41,3,FALSE)</f>
        <v>4.363323129985941E-3</v>
      </c>
      <c r="AL334" s="21"/>
      <c r="AM334" s="369">
        <f>SQRT((VLOOKUP($A334,'5 A data'!$A$5:$U$1148,7,FALSE)*mutual_ind)^2+(aux_CT_phase*J334)^2)</f>
        <v>1.7062026808746728E-3</v>
      </c>
      <c r="AN334" s="29">
        <f t="shared" si="685"/>
        <v>1.7122328499709651E-2</v>
      </c>
      <c r="AO334" s="14">
        <f t="shared" si="686"/>
        <v>9.0931136844385776</v>
      </c>
      <c r="AP334" s="27">
        <f t="shared" si="687"/>
        <v>2.2456992128209001</v>
      </c>
      <c r="AS334" s="27">
        <f>VLOOKUP($B334,TwoStageCT!$A$10:$H$72,5,FALSE)</f>
        <v>38.265350164989712</v>
      </c>
      <c r="AT334" s="27">
        <f>VLOOKUP($B334,TwoStageCT!$A$10:$H$72,8,FALSE)</f>
        <v>16.586629386739094</v>
      </c>
    </row>
    <row r="335" spans="1:46" x14ac:dyDescent="0.2">
      <c r="A335" s="409">
        <v>443</v>
      </c>
      <c r="B335" s="5" t="str">
        <f>B331&amp;D335</f>
        <v>120/20020</v>
      </c>
      <c r="C335" s="19">
        <f>VLOOKUP($A335,'5 A data'!$A$5:$U$650,3,FALSE)</f>
        <v>0.21600059637204713</v>
      </c>
      <c r="D335" s="163">
        <f>ROUND(VLOOKUP($A335,'5 A data'!$A$5:$U$650,9,FALSE)/10,0)*10</f>
        <v>20</v>
      </c>
      <c r="E335" s="23">
        <f t="shared" si="688"/>
        <v>0.99936709902044762</v>
      </c>
      <c r="F335" s="23">
        <f t="shared" si="689"/>
        <v>1.0011822386327505</v>
      </c>
      <c r="G335" s="486">
        <f>VLOOKUP(B335,TwoStageCT!A$10:H$72,3,FALSE)/10000</f>
        <v>3.1280516301103777E-5</v>
      </c>
      <c r="H335" s="486">
        <f>VLOOKUP(B335,TwoStageCT!A$10:H$72,6,FALSE)/10000</f>
        <v>4.5493238991726806E-6</v>
      </c>
      <c r="I335" s="19">
        <f>VLOOKUP($A335,'5 A data'!$A$5:$U$650,10,FALSE)</f>
        <v>-0.24</v>
      </c>
      <c r="J335" s="32">
        <f>VLOOKUP($A335,'5 A data'!$A$5:$U$650,11,FALSE)</f>
        <v>0.36361026083215198</v>
      </c>
      <c r="K335" s="22">
        <f t="shared" si="690"/>
        <v>-8.199999999999999E-2</v>
      </c>
      <c r="L335" s="22">
        <f t="shared" si="691"/>
        <v>0.12362748868293164</v>
      </c>
      <c r="M335" s="492">
        <f t="shared" si="692"/>
        <v>-0.23981682324860631</v>
      </c>
      <c r="N335" s="492">
        <f t="shared" si="693"/>
        <v>0.36404468425367137</v>
      </c>
      <c r="O335" s="20"/>
      <c r="P335" s="634">
        <f>VLOOKUP(B335,TwoStageCT!A$10:H$72,4,FALSE)/10000</f>
        <v>4.17832023036102E-6</v>
      </c>
      <c r="Q335" s="364">
        <f>VLOOKUP($A335,'5 A data'!$A$5:$U$650,7,FALSE)*slidewire_res</f>
        <v>1E-3</v>
      </c>
      <c r="R335" s="347">
        <f t="shared" si="676"/>
        <v>-4.3999999999999985E-3</v>
      </c>
      <c r="S335" s="4">
        <v>0</v>
      </c>
      <c r="T335" s="21">
        <f t="shared" si="694"/>
        <v>-4.0999999999999995E-3</v>
      </c>
      <c r="U335" s="29">
        <f t="shared" si="695"/>
        <v>-9.5926729299442525E-4</v>
      </c>
      <c r="V335" s="29">
        <f t="shared" si="677"/>
        <v>5.0000000000000001E-4</v>
      </c>
      <c r="W335" s="23">
        <f>VLOOKUP($D335,Uncertainties!$B$35:$D$41,2,FALSE)</f>
        <v>-1.0000000000000009E-3</v>
      </c>
      <c r="X335" s="23"/>
      <c r="Y335" s="24">
        <f t="shared" si="678"/>
        <v>-1.8610754301905045E-5</v>
      </c>
      <c r="Z335" s="23">
        <f t="shared" si="679"/>
        <v>6.2722051591082763E-3</v>
      </c>
      <c r="AA335" s="25">
        <f t="shared" si="680"/>
        <v>11.7302660373304</v>
      </c>
      <c r="AB335" s="26">
        <f t="shared" si="681"/>
        <v>2.1758650023181239</v>
      </c>
      <c r="AC335" s="14"/>
      <c r="AD335" s="635">
        <f>VLOOKUP(B335,TwoStageCT!A$10:H$72,7,FALSE)/10000</f>
        <v>1.9770475075939077E-6</v>
      </c>
      <c r="AE335" s="366">
        <f>IF(ABS(VLOOKUP($A335,'5 A data'!$A$5:$U$1148,6,FALSE))&lt;4.5,IF(ABS(VLOOKUP($A335,'5 A data'!$A$5:$U$1148,6,FALSE))&lt;1.25,0.0008,0.002),0.004)*VLOOKUP($A335,'5 A data'!$A$5:$U$1148,7,FALSE)*25*RADIANS(1/60)*100</f>
        <v>2.9088820866572159E-3</v>
      </c>
      <c r="AF335" s="23">
        <f t="shared" si="696"/>
        <v>9.3084226773030854E-3</v>
      </c>
      <c r="AG335" s="29">
        <f t="shared" si="682"/>
        <v>3.6404468425367136E-4</v>
      </c>
      <c r="AH335" s="4">
        <f t="shared" si="697"/>
        <v>6.1813744341465823E-3</v>
      </c>
      <c r="AI335" s="4">
        <f t="shared" si="683"/>
        <v>1.4561787370146854E-3</v>
      </c>
      <c r="AJ335" s="4">
        <f t="shared" si="684"/>
        <v>5.0000000000000001E-4</v>
      </c>
      <c r="AK335" s="21">
        <f>VLOOKUP($D335,Uncertainties!$B$35:$D$41,3,FALSE)</f>
        <v>-1.454441043328647E-3</v>
      </c>
      <c r="AL335" s="21"/>
      <c r="AM335" s="369">
        <f>SQRT((VLOOKUP($A335,'5 A data'!$A$5:$U$1148,7,FALSE)*mutual_ind)^2+(aux_CT_phase*J335)^2)</f>
        <v>1.7043786956894241E-3</v>
      </c>
      <c r="AN335" s="29">
        <f t="shared" si="685"/>
        <v>1.1867645599290086E-2</v>
      </c>
      <c r="AO335" s="14">
        <f t="shared" si="686"/>
        <v>10.954358836202649</v>
      </c>
      <c r="AP335" s="27">
        <f t="shared" si="687"/>
        <v>2.1925475534319259</v>
      </c>
      <c r="AS335" s="27">
        <f>VLOOKUP($B335,TwoStageCT!$A$10:$H$72,5,FALSE)</f>
        <v>36.657700403051521</v>
      </c>
      <c r="AT335" s="27">
        <f>VLOOKUP($B335,TwoStageCT!$A$10:$H$72,8,FALSE)</f>
        <v>53.09445811850042</v>
      </c>
    </row>
    <row r="336" spans="1:46" x14ac:dyDescent="0.2">
      <c r="A336" s="409">
        <v>444</v>
      </c>
      <c r="B336" s="5" t="str">
        <f>B331&amp;D336</f>
        <v>120/20040</v>
      </c>
      <c r="C336" s="19">
        <f>VLOOKUP($A336,'5 A data'!$A$5:$U$650,3,FALSE)</f>
        <v>0.21600059637204713</v>
      </c>
      <c r="D336" s="163">
        <f>ROUND(VLOOKUP($A336,'5 A data'!$A$5:$U$650,9,FALSE)/10,0)*10</f>
        <v>40</v>
      </c>
      <c r="E336" s="23">
        <f t="shared" si="688"/>
        <v>0.99936709902044762</v>
      </c>
      <c r="F336" s="23">
        <f t="shared" si="689"/>
        <v>1.0011822386327505</v>
      </c>
      <c r="G336" s="486">
        <f>VLOOKUP(B336,TwoStageCT!A$10:H$72,3,FALSE)/10000</f>
        <v>2.5200167333853628E-5</v>
      </c>
      <c r="H336" s="486">
        <f>VLOOKUP(B336,TwoStageCT!A$10:H$72,6,FALSE)/10000</f>
        <v>5.7416420558101514E-6</v>
      </c>
      <c r="I336" s="19">
        <f>VLOOKUP($A336,'5 A data'!$A$5:$U$650,10,FALSE)</f>
        <v>-0.218</v>
      </c>
      <c r="J336" s="32">
        <f>VLOOKUP($A336,'5 A data'!$A$5:$U$650,11,FALSE)</f>
        <v>0.31706814744563655</v>
      </c>
      <c r="K336" s="22">
        <f t="shared" si="690"/>
        <v>-7.9999999999999988E-2</v>
      </c>
      <c r="L336" s="22">
        <f t="shared" si="691"/>
        <v>0.11199196033630285</v>
      </c>
      <c r="M336" s="492">
        <f t="shared" si="692"/>
        <v>-0.21783682741912375</v>
      </c>
      <c r="N336" s="492">
        <f t="shared" si="693"/>
        <v>0.31744873930081718</v>
      </c>
      <c r="O336" s="20"/>
      <c r="P336" s="634">
        <f>VLOOKUP(B336,TwoStageCT!A$10:H$72,4,FALSE)/10000</f>
        <v>3.3964590328801363E-6</v>
      </c>
      <c r="Q336" s="58">
        <f>VLOOKUP($A336,'5 A data'!$A$5:$U$650,7,FALSE)*slidewire_res</f>
        <v>1E-3</v>
      </c>
      <c r="R336" s="347">
        <f t="shared" si="676"/>
        <v>-2.4000000000000024E-3</v>
      </c>
      <c r="S336" s="4">
        <v>0</v>
      </c>
      <c r="T336" s="21">
        <f t="shared" si="694"/>
        <v>-3.9999999999999992E-3</v>
      </c>
      <c r="U336" s="29">
        <f t="shared" si="695"/>
        <v>-8.7134730967649502E-4</v>
      </c>
      <c r="V336" s="29">
        <f t="shared" si="677"/>
        <v>5.0000000000000001E-4</v>
      </c>
      <c r="W336" s="23">
        <f>VLOOKUP($D336,Uncertainties!$B$35:$D$41,2,FALSE)</f>
        <v>-1.0000000000000009E-3</v>
      </c>
      <c r="X336" s="23"/>
      <c r="Y336" s="24">
        <f t="shared" si="678"/>
        <v>-1.6904768490897081E-5</v>
      </c>
      <c r="Z336" s="23">
        <f t="shared" si="679"/>
        <v>4.9769009876842194E-3</v>
      </c>
      <c r="AA336" s="25">
        <f t="shared" si="680"/>
        <v>10.533918354377843</v>
      </c>
      <c r="AB336" s="26">
        <f t="shared" si="681"/>
        <v>2.2027268638332083</v>
      </c>
      <c r="AC336" s="14"/>
      <c r="AD336" s="635">
        <f>VLOOKUP(B336,TwoStageCT!A$10:H$72,7,FALSE)/10000</f>
        <v>1.6849048737447556E-6</v>
      </c>
      <c r="AE336" s="366">
        <f>IF(ABS(VLOOKUP($A336,'5 A data'!$A$5:$U$1148,6,FALSE))&lt;4.5,IF(ABS(VLOOKUP($A336,'5 A data'!$A$5:$U$1148,6,FALSE))&lt;1.25,0.0008,0.002),0.004)*VLOOKUP($A336,'5 A data'!$A$5:$U$1148,7,FALSE)*25*RADIANS(1/60)*100</f>
        <v>2.9088820866572159E-3</v>
      </c>
      <c r="AF336" s="23">
        <f t="shared" si="696"/>
        <v>4.6542113386515488E-3</v>
      </c>
      <c r="AG336" s="29">
        <f t="shared" si="682"/>
        <v>3.1744873930081719E-4</v>
      </c>
      <c r="AH336" s="4">
        <f t="shared" si="697"/>
        <v>5.5995980168151429E-3</v>
      </c>
      <c r="AI336" s="4">
        <f t="shared" si="683"/>
        <v>1.2697949572032688E-3</v>
      </c>
      <c r="AJ336" s="4">
        <f t="shared" si="684"/>
        <v>5.0000000000000001E-4</v>
      </c>
      <c r="AK336" s="21">
        <f>VLOOKUP($D336,Uncertainties!$B$35:$D$41,3,FALSE)</f>
        <v>-2.908882086657183E-3</v>
      </c>
      <c r="AL336" s="21"/>
      <c r="AM336" s="369">
        <f>SQRT((VLOOKUP($A336,'5 A data'!$A$5:$U$1148,7,FALSE)*mutual_ind)^2+(aux_CT_phase*J336)^2)</f>
        <v>1.703384565084661E-3</v>
      </c>
      <c r="AN336" s="29">
        <f t="shared" si="685"/>
        <v>8.6489910321261541E-3</v>
      </c>
      <c r="AO336" s="14">
        <f t="shared" si="686"/>
        <v>17.892515562190791</v>
      </c>
      <c r="AP336" s="27">
        <f t="shared" si="687"/>
        <v>2.0977867724544375</v>
      </c>
      <c r="AS336" s="27">
        <f>VLOOKUP($B336,TwoStageCT!$A$10:$H$72,5,FALSE)</f>
        <v>38.659909732018328</v>
      </c>
      <c r="AT336" s="27">
        <f>VLOOKUP($B336,TwoStageCT!$A$10:$H$72,8,FALSE)</f>
        <v>52.499330597885681</v>
      </c>
    </row>
    <row r="337" spans="1:46" x14ac:dyDescent="0.2">
      <c r="A337" s="409">
        <v>445</v>
      </c>
      <c r="B337" s="5" t="str">
        <f>B331&amp;D337</f>
        <v>120/20060</v>
      </c>
      <c r="C337" s="19">
        <f>VLOOKUP($A337,'5 A data'!$A$5:$U$650,3,FALSE)</f>
        <v>0.21600059637204713</v>
      </c>
      <c r="D337" s="163">
        <f>ROUND(VLOOKUP($A337,'5 A data'!$A$5:$U$650,9,FALSE)/10,0)*10</f>
        <v>60</v>
      </c>
      <c r="E337" s="23">
        <f t="shared" si="688"/>
        <v>0.99936709902044762</v>
      </c>
      <c r="F337" s="23">
        <f t="shared" si="689"/>
        <v>1.0011822386327505</v>
      </c>
      <c r="G337" s="486">
        <f>VLOOKUP(B337,TwoStageCT!A$10:H$72,3,FALSE)/10000</f>
        <v>2.195627602528684E-5</v>
      </c>
      <c r="H337" s="486">
        <f>VLOOKUP(B337,TwoStageCT!A$10:H$72,6,FALSE)/10000</f>
        <v>5.5507836163637805E-6</v>
      </c>
      <c r="I337" s="19">
        <f>VLOOKUP($A337,'5 A data'!$A$5:$U$650,10,FALSE)</f>
        <v>-0.20599999999999999</v>
      </c>
      <c r="J337" s="32">
        <f>VLOOKUP($A337,'5 A data'!$A$5:$U$650,11,FALSE)</f>
        <v>0.29379709075237881</v>
      </c>
      <c r="K337" s="22">
        <f t="shared" si="690"/>
        <v>-7.5999999999999984E-2</v>
      </c>
      <c r="L337" s="22">
        <f t="shared" si="691"/>
        <v>0.10326531407633116</v>
      </c>
      <c r="M337" s="492">
        <f t="shared" si="692"/>
        <v>-0.20584766612218691</v>
      </c>
      <c r="N337" s="492">
        <f t="shared" si="693"/>
        <v>0.29414997980687235</v>
      </c>
      <c r="O337" s="20"/>
      <c r="P337" s="634">
        <f>VLOOKUP(B337,TwoStageCT!A$10:H$72,4,FALSE)/10000</f>
        <v>2.9709098248278708E-6</v>
      </c>
      <c r="Q337" s="58">
        <f>VLOOKUP($A337,'5 A data'!$A$5:$U$650,7,FALSE)*slidewire_res</f>
        <v>1E-3</v>
      </c>
      <c r="R337" s="347">
        <f t="shared" si="676"/>
        <v>-2.5999999999999968E-3</v>
      </c>
      <c r="S337" s="4">
        <v>0</v>
      </c>
      <c r="T337" s="21">
        <f t="shared" si="694"/>
        <v>-3.7999999999999996E-3</v>
      </c>
      <c r="U337" s="29">
        <f t="shared" si="695"/>
        <v>-8.2339066448874768E-4</v>
      </c>
      <c r="V337" s="29">
        <f t="shared" si="677"/>
        <v>5.0000000000000001E-4</v>
      </c>
      <c r="W337" s="23">
        <f>VLOOKUP($D337,Uncertainties!$B$35:$D$41,2,FALSE)</f>
        <v>-1.0000000000000009E-3</v>
      </c>
      <c r="X337" s="23"/>
      <c r="Y337" s="24">
        <f t="shared" si="678"/>
        <v>-1.5974230775801829E-5</v>
      </c>
      <c r="Z337" s="23">
        <f t="shared" si="679"/>
        <v>4.91205010038795E-3</v>
      </c>
      <c r="AA337" s="25">
        <f t="shared" si="680"/>
        <v>11.364622956625736</v>
      </c>
      <c r="AB337" s="26">
        <f t="shared" si="681"/>
        <v>2.1834143016650112</v>
      </c>
      <c r="AC337" s="14"/>
      <c r="AD337" s="635">
        <f>VLOOKUP(B337,TwoStageCT!A$10:H$72,7,FALSE)/10000</f>
        <v>1.6017059195029239E-6</v>
      </c>
      <c r="AE337" s="366">
        <f>IF(ABS(VLOOKUP($A337,'5 A data'!$A$5:$U$1148,6,FALSE))&lt;4.5,IF(ABS(VLOOKUP($A337,'5 A data'!$A$5:$U$1148,6,FALSE))&lt;1.25,0.0008,0.002),0.004)*VLOOKUP($A337,'5 A data'!$A$5:$U$1148,7,FALSE)*25*RADIANS(1/60)*100</f>
        <v>2.9088820866572159E-3</v>
      </c>
      <c r="AF337" s="23">
        <f t="shared" si="696"/>
        <v>4.6542113386515488E-3</v>
      </c>
      <c r="AG337" s="29">
        <f t="shared" si="682"/>
        <v>2.9414997980687236E-4</v>
      </c>
      <c r="AH337" s="4">
        <f t="shared" si="697"/>
        <v>5.1632657038165582E-3</v>
      </c>
      <c r="AI337" s="4">
        <f t="shared" si="683"/>
        <v>1.1765999192274894E-3</v>
      </c>
      <c r="AJ337" s="4">
        <f t="shared" si="684"/>
        <v>5.0000000000000001E-4</v>
      </c>
      <c r="AK337" s="21">
        <f>VLOOKUP($D337,Uncertainties!$B$35:$D$41,3,FALSE)</f>
        <v>-2.908882086657183E-3</v>
      </c>
      <c r="AL337" s="21"/>
      <c r="AM337" s="369">
        <f>SQRT((VLOOKUP($A337,'5 A data'!$A$5:$U$1148,7,FALSE)*mutual_ind)^2+(aux_CT_phase*J337)^2)</f>
        <v>1.7029382922069904E-3</v>
      </c>
      <c r="AN337" s="29">
        <f t="shared" si="685"/>
        <v>8.3585344932149697E-3</v>
      </c>
      <c r="AO337" s="14">
        <f t="shared" si="686"/>
        <v>18.910584577038527</v>
      </c>
      <c r="AP337" s="27">
        <f t="shared" si="687"/>
        <v>2.0900434260721883</v>
      </c>
      <c r="AS337" s="27">
        <f>VLOOKUP($B337,TwoStageCT!$A$10:$H$72,5,FALSE)</f>
        <v>42.291164682130272</v>
      </c>
      <c r="AT337" s="27">
        <f>VLOOKUP($B337,TwoStageCT!$A$10:$H$72,8,FALSE)</f>
        <v>48.978667479860043</v>
      </c>
    </row>
    <row r="338" spans="1:46" x14ac:dyDescent="0.2">
      <c r="A338" s="409">
        <v>446</v>
      </c>
      <c r="B338" s="5" t="str">
        <f>B331&amp;D338</f>
        <v>120/200100</v>
      </c>
      <c r="C338" s="19">
        <f>VLOOKUP($A338,'5 A data'!$A$5:$U$650,3,FALSE)</f>
        <v>0.21600059637204713</v>
      </c>
      <c r="D338" s="164">
        <f>ROUND(VLOOKUP($A338,'5 A data'!$A$5:$U$650,9,FALSE)/10,0)*10</f>
        <v>100</v>
      </c>
      <c r="E338" s="23">
        <f t="shared" si="688"/>
        <v>0.99936709902044762</v>
      </c>
      <c r="F338" s="23">
        <f t="shared" si="689"/>
        <v>1.0011822386327505</v>
      </c>
      <c r="G338" s="486">
        <f>VLOOKUP(B338,TwoStageCT!A$10:H$72,3,FALSE)/10000</f>
        <v>1.6881396356939836E-5</v>
      </c>
      <c r="H338" s="486">
        <f>VLOOKUP(B338,TwoStageCT!A$10:H$72,6,FALSE)/10000</f>
        <v>7.3590724152435355E-6</v>
      </c>
      <c r="I338" s="19">
        <f>VLOOKUP($A338,'5 A data'!$A$5:$U$650,10,FALSE)</f>
        <v>-0.193</v>
      </c>
      <c r="J338" s="32">
        <f>VLOOKUP($A338,'5 A data'!$A$5:$U$650,11,FALSE)</f>
        <v>0.27052603405912107</v>
      </c>
      <c r="K338" s="22">
        <f t="shared" si="690"/>
        <v>-7.2000000000000008E-2</v>
      </c>
      <c r="L338" s="22">
        <f t="shared" si="691"/>
        <v>9.599310885968812E-2</v>
      </c>
      <c r="M338" s="492">
        <f t="shared" si="692"/>
        <v>-0.19286096871458946</v>
      </c>
      <c r="N338" s="492">
        <f t="shared" si="693"/>
        <v>0.27085321946016577</v>
      </c>
      <c r="O338" s="20"/>
      <c r="P338" s="634">
        <f>VLOOKUP(B338,TwoStageCT!A$10:H$72,4,FALSE)/10000</f>
        <v>2.4131313466023584E-6</v>
      </c>
      <c r="Q338" s="58">
        <f>VLOOKUP($A338,'5 A data'!$A$5:$U$650,7,FALSE)*slidewire_res</f>
        <v>1E-3</v>
      </c>
      <c r="R338" s="347">
        <f t="shared" si="676"/>
        <v>-6.000000000000006E-4</v>
      </c>
      <c r="S338" s="4">
        <v>0</v>
      </c>
      <c r="T338" s="21">
        <f t="shared" si="694"/>
        <v>-3.6000000000000008E-3</v>
      </c>
      <c r="U338" s="29">
        <f t="shared" si="695"/>
        <v>-7.7144387485835787E-4</v>
      </c>
      <c r="V338" s="29">
        <f t="shared" si="677"/>
        <v>5.0000000000000001E-4</v>
      </c>
      <c r="W338" s="23">
        <f>VLOOKUP($D338,Uncertainties!$B$35:$D$41,2,FALSE)</f>
        <v>1.999999999999974E-3</v>
      </c>
      <c r="X338" s="23"/>
      <c r="Y338" s="24">
        <f t="shared" si="678"/>
        <v>-1.4966148251115306E-5</v>
      </c>
      <c r="Z338" s="23">
        <f t="shared" si="679"/>
        <v>4.3778254260366245E-3</v>
      </c>
      <c r="AA338" s="25">
        <f t="shared" si="680"/>
        <v>10.440432265836943</v>
      </c>
      <c r="AB338" s="26">
        <f t="shared" si="681"/>
        <v>2.2051141852415328</v>
      </c>
      <c r="AC338" s="14"/>
      <c r="AD338" s="635">
        <f>VLOOKUP(B338,TwoStageCT!A$10:H$72,7,FALSE)/10000</f>
        <v>1.6933288916776063E-6</v>
      </c>
      <c r="AE338" s="366">
        <f>IF(ABS(VLOOKUP($A338,'5 A data'!$A$5:$U$1148,6,FALSE))&lt;4.5,IF(ABS(VLOOKUP($A338,'5 A data'!$A$5:$U$1148,6,FALSE))&lt;1.25,0.0008,0.002),0.004)*VLOOKUP($A338,'5 A data'!$A$5:$U$1148,7,FALSE)*25*RADIANS(1/60)*100</f>
        <v>2.9088820866572159E-3</v>
      </c>
      <c r="AF338" s="23">
        <f t="shared" si="696"/>
        <v>1.745329251994332E-3</v>
      </c>
      <c r="AG338" s="29">
        <f t="shared" si="682"/>
        <v>2.708532194601658E-4</v>
      </c>
      <c r="AH338" s="4">
        <f t="shared" si="697"/>
        <v>4.799655442984406E-3</v>
      </c>
      <c r="AI338" s="4">
        <f t="shared" si="683"/>
        <v>1.0834128778406632E-3</v>
      </c>
      <c r="AJ338" s="4">
        <f t="shared" si="684"/>
        <v>5.0000000000000001E-4</v>
      </c>
      <c r="AK338" s="21">
        <f>VLOOKUP($D338,Uncertainties!$B$35:$D$41,3,FALSE)</f>
        <v>-2.9088820866572385E-3</v>
      </c>
      <c r="AL338" s="21"/>
      <c r="AM338" s="369">
        <f>SQRT((VLOOKUP($A338,'5 A data'!$A$5:$U$1148,7,FALSE)*mutual_ind)^2+(aux_CT_phase*J338)^2)</f>
        <v>1.7025259171230369E-3</v>
      </c>
      <c r="AN338" s="29">
        <f t="shared" si="685"/>
        <v>6.8848964301279677E-3</v>
      </c>
      <c r="AO338" s="14">
        <f t="shared" si="686"/>
        <v>17.28264795709222</v>
      </c>
      <c r="AP338" s="27">
        <f t="shared" si="687"/>
        <v>2.1028864345301526</v>
      </c>
      <c r="AS338" s="27">
        <f>VLOOKUP($B338,TwoStageCT!$A$10:$H$72,5,FALSE)</f>
        <v>59.567261398457461</v>
      </c>
      <c r="AT338" s="27">
        <f>VLOOKUP($B338,TwoStageCT!$A$10:$H$72,8,FALSE)</f>
        <v>45.732629829898706</v>
      </c>
    </row>
    <row r="339" spans="1:46" x14ac:dyDescent="0.2">
      <c r="A339" s="409">
        <v>447</v>
      </c>
      <c r="B339" s="5" t="str">
        <f>B331&amp;D339</f>
        <v>120/200120</v>
      </c>
      <c r="C339" s="19">
        <f>VLOOKUP($A339,'5 A data'!$A$5:$U$650,3,FALSE)</f>
        <v>0.21600059637204713</v>
      </c>
      <c r="D339" s="164">
        <f>ROUND(VLOOKUP($A339,'5 A data'!$A$5:$U$650,9,FALSE)/10,0)*10</f>
        <v>120</v>
      </c>
      <c r="E339" s="23">
        <f t="shared" si="688"/>
        <v>0.99936709902044762</v>
      </c>
      <c r="F339" s="23">
        <f t="shared" si="689"/>
        <v>1.0011822386327505</v>
      </c>
      <c r="G339" s="486">
        <f>VLOOKUP(B339,TwoStageCT!A$10:H$72,3,FALSE)/10000</f>
        <v>1.5213305302217845E-5</v>
      </c>
      <c r="H339" s="486">
        <f>VLOOKUP(B339,TwoStageCT!A$10:H$72,6,FALSE)/10000</f>
        <v>7.5885012454326174E-6</v>
      </c>
      <c r="I339" s="19">
        <f>VLOOKUP($A339,'5 A data'!$A$5:$U$650,10,FALSE)</f>
        <v>-0.19</v>
      </c>
      <c r="J339" s="32">
        <f>VLOOKUP($A339,'5 A data'!$A$5:$U$650,11,FALSE)</f>
        <v>0.26179938779914941</v>
      </c>
      <c r="K339" s="22">
        <f t="shared" si="690"/>
        <v>-7.1000000000000008E-2</v>
      </c>
      <c r="L339" s="22">
        <f t="shared" si="691"/>
        <v>9.3084226773030881E-2</v>
      </c>
      <c r="M339" s="492">
        <f t="shared" si="692"/>
        <v>-0.18986453550858284</v>
      </c>
      <c r="N339" s="492">
        <f t="shared" si="693"/>
        <v>0.26211648565068141</v>
      </c>
      <c r="O339" s="20"/>
      <c r="P339" s="634">
        <f>VLOOKUP(B339,TwoStageCT!A$10:H$72,4,FALSE)/10000</f>
        <v>2.2681305202526645E-6</v>
      </c>
      <c r="Q339" s="58">
        <f>VLOOKUP($A339,'5 A data'!$A$5:$U$650,7,FALSE)*slidewire_res</f>
        <v>1E-3</v>
      </c>
      <c r="R339" s="347">
        <f t="shared" si="676"/>
        <v>0</v>
      </c>
      <c r="S339" s="4">
        <v>0</v>
      </c>
      <c r="T339" s="21">
        <f t="shared" si="694"/>
        <v>-3.5500000000000006E-3</v>
      </c>
      <c r="U339" s="29">
        <f t="shared" si="695"/>
        <v>-7.5945814203433142E-4</v>
      </c>
      <c r="V339" s="29">
        <f t="shared" si="677"/>
        <v>5.0000000000000001E-4</v>
      </c>
      <c r="W339" s="23">
        <f>VLOOKUP($D339,Uncertainties!$B$35:$D$41,2,FALSE)</f>
        <v>-1.0000000000000009E-3</v>
      </c>
      <c r="X339" s="23"/>
      <c r="Y339" s="24">
        <f t="shared" si="678"/>
        <v>-1.4733513822341494E-5</v>
      </c>
      <c r="Z339" s="23">
        <f t="shared" si="679"/>
        <v>3.9280400825790788E-3</v>
      </c>
      <c r="AA339" s="25">
        <f t="shared" si="680"/>
        <v>7.4110365193264256</v>
      </c>
      <c r="AB339" s="26">
        <f t="shared" si="681"/>
        <v>2.3206873216061488</v>
      </c>
      <c r="AC339" s="14"/>
      <c r="AD339" s="635">
        <f>VLOOKUP(B339,TwoStageCT!A$10:H$72,7,FALSE)/10000</f>
        <v>1.7092397901526349E-6</v>
      </c>
      <c r="AE339" s="366">
        <f>IF(ABS(VLOOKUP($A339,'5 A data'!$A$5:$U$1148,6,FALSE))&lt;4.5,IF(ABS(VLOOKUP($A339,'5 A data'!$A$5:$U$1148,6,FALSE))&lt;1.25,0.0008,0.002),0.004)*VLOOKUP($A339,'5 A data'!$A$5:$U$1148,7,FALSE)*25*RADIANS(1/60)*100</f>
        <v>2.9088820866572159E-3</v>
      </c>
      <c r="AF339" s="23">
        <f t="shared" si="696"/>
        <v>0</v>
      </c>
      <c r="AG339" s="29">
        <f t="shared" si="682"/>
        <v>2.6211648565068141E-4</v>
      </c>
      <c r="AH339" s="4">
        <f t="shared" si="697"/>
        <v>4.6542113386515444E-3</v>
      </c>
      <c r="AI339" s="4">
        <f t="shared" si="683"/>
        <v>1.0484659426027256E-3</v>
      </c>
      <c r="AJ339" s="4">
        <f t="shared" si="684"/>
        <v>5.0000000000000001E-4</v>
      </c>
      <c r="AK339" s="21">
        <f>VLOOKUP($D339,Uncertainties!$B$35:$D$41,3,FALSE)</f>
        <v>1.4544410433285915E-3</v>
      </c>
      <c r="AL339" s="21"/>
      <c r="AM339" s="369">
        <f>SQRT((VLOOKUP($A339,'5 A data'!$A$5:$U$1148,7,FALSE)*mutual_ind)^2+(aux_CT_phase*J339)^2)</f>
        <v>1.7023800208338378E-3</v>
      </c>
      <c r="AN339" s="29">
        <f t="shared" si="685"/>
        <v>6.0460535450084429E-3</v>
      </c>
      <c r="AO339" s="14">
        <f t="shared" si="686"/>
        <v>12.097328054468948</v>
      </c>
      <c r="AP339" s="27">
        <f t="shared" si="687"/>
        <v>2.1687880162283149</v>
      </c>
      <c r="AS339" s="27">
        <f>VLOOKUP($B339,TwoStageCT!$A$10:$H$72,5,FALSE)</f>
        <v>68.00069900375496</v>
      </c>
      <c r="AT339" s="27">
        <f>VLOOKUP($B339,TwoStageCT!$A$10:$H$72,8,FALSE)</f>
        <v>47.345132453902309</v>
      </c>
    </row>
    <row r="340" spans="1:46" x14ac:dyDescent="0.2">
      <c r="A340" s="409">
        <v>448</v>
      </c>
      <c r="B340" s="5"/>
      <c r="C340" s="19"/>
      <c r="D340" s="19"/>
      <c r="E340" s="23"/>
      <c r="F340" s="23"/>
      <c r="G340" s="347"/>
      <c r="H340" s="347"/>
      <c r="I340" s="19"/>
      <c r="J340" s="32"/>
      <c r="K340" s="31"/>
      <c r="L340" s="31"/>
      <c r="M340" s="638" t="s">
        <v>93</v>
      </c>
      <c r="N340" s="638"/>
      <c r="O340" s="20"/>
      <c r="P340" s="634"/>
      <c r="Q340" s="58"/>
      <c r="R340" s="347"/>
      <c r="S340" s="4"/>
      <c r="T340" s="4"/>
      <c r="U340" s="29"/>
      <c r="V340" s="29"/>
      <c r="W340" s="29"/>
      <c r="X340" s="29"/>
      <c r="Y340" s="24"/>
      <c r="Z340" s="29"/>
      <c r="AA340" s="25"/>
      <c r="AB340" s="26"/>
      <c r="AC340" s="14"/>
      <c r="AD340" s="635"/>
      <c r="AE340" s="35"/>
      <c r="AF340" s="28"/>
      <c r="AG340" s="29"/>
      <c r="AH340" s="4"/>
      <c r="AI340" s="4"/>
      <c r="AJ340" s="4"/>
      <c r="AK340" s="4"/>
      <c r="AL340" s="4"/>
      <c r="AM340" s="24"/>
      <c r="AN340" s="29"/>
      <c r="AO340" s="14"/>
      <c r="AP340" s="27"/>
    </row>
    <row r="341" spans="1:46" x14ac:dyDescent="0.2">
      <c r="A341" s="409">
        <v>449</v>
      </c>
      <c r="B341" s="5" t="str">
        <f>B331&amp;D341</f>
        <v>120/2005</v>
      </c>
      <c r="C341" s="19">
        <f>VLOOKUP($A341,'5 A data'!$A$5:$U$650,3,FALSE)</f>
        <v>2.1000057980615688E-2</v>
      </c>
      <c r="D341" s="19">
        <f>ROUND(VLOOKUP($A341,'5 A data'!$A$5:$U$650,9,FALSE),0)</f>
        <v>5</v>
      </c>
      <c r="E341" s="23">
        <f t="shared" si="688"/>
        <v>0.99936709902044762</v>
      </c>
      <c r="F341" s="23">
        <f t="shared" si="689"/>
        <v>1.0011822386327505</v>
      </c>
      <c r="G341" s="486">
        <f>VLOOKUP(B341,TwoStageCT!A$10:H$72,3,FALSE)/10000</f>
        <v>3.6805932694608759E-5</v>
      </c>
      <c r="H341" s="486">
        <f>VLOOKUP(B341,TwoStageCT!A$10:H$72,6,FALSE)/10000</f>
        <v>4.6965346060309593E-6</v>
      </c>
      <c r="I341" s="19">
        <f>VLOOKUP($A341,'5 A data'!$A$5:$U$650,10,FALSE)</f>
        <v>-0.223</v>
      </c>
      <c r="J341" s="32">
        <f>VLOOKUP($A341,'5 A data'!$A$5:$U$650,11,FALSE)</f>
        <v>0.39560796378538138</v>
      </c>
      <c r="K341" s="31"/>
      <c r="L341" s="31"/>
      <c r="M341" s="31">
        <f>I341*E341+G341</f>
        <v>-0.22282205714886522</v>
      </c>
      <c r="N341" s="31">
        <f>J341*F341+H341</f>
        <v>0.39608036333819824</v>
      </c>
      <c r="O341" s="20"/>
      <c r="P341" s="634">
        <f>VLOOKUP(B341,TwoStageCT!A$10:H$72,4,FALSE)/10000</f>
        <v>6.4429594675743464E-6</v>
      </c>
      <c r="Q341" s="58">
        <f>VLOOKUP($A341,'5 A data'!$A$5:$U$650,7,FALSE)*slidewire_res</f>
        <v>1E-3</v>
      </c>
      <c r="R341" s="347">
        <f t="shared" ref="R341:R347" si="698">current_coef*(I341-I342)*IF(I342=0,0,1)</f>
        <v>-7.8000000000000014E-3</v>
      </c>
      <c r="S341" s="4">
        <v>0</v>
      </c>
      <c r="T341" s="4">
        <f>BurdenUnc*K333</f>
        <v>-5.3000000000000009E-3</v>
      </c>
      <c r="U341" s="29">
        <f t="shared" ref="U341:U347" si="699">0.004*M341</f>
        <v>-8.9128822859546087E-4</v>
      </c>
      <c r="V341" s="29">
        <f t="shared" si="677"/>
        <v>5.0000000000000001E-4</v>
      </c>
      <c r="W341" s="23">
        <f>VLOOKUP($D341,Uncertainties!$B$35:$D$41,2,FALSE)</f>
        <v>5.0000000000000044E-3</v>
      </c>
      <c r="X341" s="23"/>
      <c r="Y341" s="24">
        <f t="shared" ref="Y341:Y347" si="700">I341*aux_CT_ratio</f>
        <v>-1.7292492538853439E-5</v>
      </c>
      <c r="Z341" s="23">
        <f t="shared" ref="Z341:Z347" si="701">SQRT(SUMSQ(P341:Y341))</f>
        <v>1.0769156663753101E-2</v>
      </c>
      <c r="AA341" s="25">
        <f t="shared" ref="AA341:AA347" si="702">DoF_A(P341:Y341,$P$7:$Y$7)</f>
        <v>14.181187177626766</v>
      </c>
      <c r="AB341" s="26">
        <f t="shared" ref="AB341:AB347" si="703">CoverFactor(AA341)</f>
        <v>2.1360855421610827</v>
      </c>
      <c r="AC341" s="14"/>
      <c r="AD341" s="635">
        <f>VLOOKUP(B341,TwoStageCT!A$10:H$72,7,FALSE)/10000</f>
        <v>4.6788986298833412E-6</v>
      </c>
      <c r="AE341" s="366">
        <f>IF(ABS(VLOOKUP($A341,'5 A data'!$A$5:$U$1148,6,FALSE))&lt;4.5,IF(ABS(VLOOKUP($A341,'5 A data'!$A$5:$U$1148,6,FALSE))&lt;1.25,0.0008,0.002),0.004)*VLOOKUP($A341,'5 A data'!$A$5:$U$1148,7,FALSE)*25*RADIANS(1/60)*100</f>
        <v>2.9088820866572159E-3</v>
      </c>
      <c r="AF341" s="23">
        <f t="shared" ref="AF341:AF347" si="704">current_coef*(J341-J342)*IF(J342=0,0,1)</f>
        <v>1.9489509980603351E-2</v>
      </c>
      <c r="AG341" s="29">
        <f t="shared" ref="AG341:AG347" si="705">0.001*N341</f>
        <v>3.9608036333819822E-4</v>
      </c>
      <c r="AH341" s="4">
        <f>BurdenUnc*L333</f>
        <v>7.417649320975897E-3</v>
      </c>
      <c r="AI341" s="4">
        <f t="shared" ref="AI341:AI347" si="706">0.004*N341</f>
        <v>1.5843214533527929E-3</v>
      </c>
      <c r="AJ341" s="4">
        <f t="shared" si="684"/>
        <v>5.0000000000000001E-4</v>
      </c>
      <c r="AK341" s="21">
        <f>VLOOKUP($D341,Uncertainties!$B$35:$D$41,3,FALSE)</f>
        <v>-1.1635528346628732E-2</v>
      </c>
      <c r="AL341" s="21"/>
      <c r="AM341" s="369">
        <f>SQRT((VLOOKUP($A341,'5 A data'!$A$5:$U$1148,7,FALSE)*mutual_ind)^2+(aux_CT_phase*J341)^2)</f>
        <v>1.7051406291681245E-3</v>
      </c>
      <c r="AN341" s="29">
        <f t="shared" ref="AN341:AN347" si="707">SQRT(SUMSQ(AD341:AM341))</f>
        <v>2.417714036463775E-2</v>
      </c>
      <c r="AO341" s="14">
        <f t="shared" ref="AO341:AO347" si="708">DoF_A(AD341:AM341,$AD$7:$AM$7)</f>
        <v>11.041551856208649</v>
      </c>
      <c r="AP341" s="27">
        <f t="shared" ref="AP341:AP347" si="709">CoverFactor(AO341)</f>
        <v>2.1905437594253421</v>
      </c>
      <c r="AS341" s="27">
        <f>VLOOKUP($B341,TwoStageCT!$A$10:$H$72,5,FALSE)</f>
        <v>26.31606241070681</v>
      </c>
      <c r="AT341" s="27">
        <f>VLOOKUP($B341,TwoStageCT!$A$10:$H$72,8,FALSE)</f>
        <v>9.9413455012810044</v>
      </c>
    </row>
    <row r="342" spans="1:46" x14ac:dyDescent="0.2">
      <c r="A342" s="409">
        <v>450</v>
      </c>
      <c r="B342" s="5" t="str">
        <f>B331&amp;D342</f>
        <v>120/20010</v>
      </c>
      <c r="C342" s="19">
        <f>VLOOKUP($A342,'5 A data'!$A$5:$U$650,3,FALSE)</f>
        <v>2.1000057980615688E-2</v>
      </c>
      <c r="D342" s="163">
        <f>ROUND(VLOOKUP($A342,'5 A data'!$A$5:$U$650,9,FALSE)/10,0)*10</f>
        <v>10</v>
      </c>
      <c r="E342" s="23">
        <f t="shared" si="688"/>
        <v>0.99936709902044762</v>
      </c>
      <c r="F342" s="23">
        <f t="shared" si="689"/>
        <v>1.0011822386327505</v>
      </c>
      <c r="G342" s="486">
        <f>VLOOKUP(B342,TwoStageCT!A$10:H$72,3,FALSE)/10000</f>
        <v>3.4690340839935311E-5</v>
      </c>
      <c r="H342" s="486">
        <f>VLOOKUP(B342,TwoStageCT!A$10:H$72,6,FALSE)/10000</f>
        <v>2.6036797087866982E-6</v>
      </c>
      <c r="I342" s="19">
        <f>VLOOKUP($A342,'5 A data'!$A$5:$U$650,10,FALSE)</f>
        <v>-0.184</v>
      </c>
      <c r="J342" s="32">
        <f>VLOOKUP($A342,'5 A data'!$A$5:$U$650,11,FALSE)</f>
        <v>0.29816041388236464</v>
      </c>
      <c r="K342" s="31"/>
      <c r="L342" s="31"/>
      <c r="M342" s="31">
        <f t="shared" ref="M342:M347" si="710">I342*E342+G342</f>
        <v>-0.18384885587892241</v>
      </c>
      <c r="N342" s="31">
        <f t="shared" ref="N342:N347" si="711">J342*F342+H342</f>
        <v>0.29851551432212203</v>
      </c>
      <c r="O342" s="20"/>
      <c r="P342" s="634">
        <f>VLOOKUP(B342,TwoStageCT!A$10:H$72,4,FALSE)/10000</f>
        <v>5.0170517941146892E-6</v>
      </c>
      <c r="Q342" s="58">
        <f>VLOOKUP($A342,'5 A data'!$A$5:$U$650,7,FALSE)*slidewire_res</f>
        <v>1E-3</v>
      </c>
      <c r="R342" s="347">
        <f t="shared" si="698"/>
        <v>-5.1999999999999998E-3</v>
      </c>
      <c r="S342" s="4">
        <v>0</v>
      </c>
      <c r="T342" s="4">
        <f t="shared" ref="T342:T347" si="712">BurdenUnc*K334</f>
        <v>-4.7000000000000019E-3</v>
      </c>
      <c r="U342" s="29">
        <f t="shared" si="699"/>
        <v>-7.3539542351568966E-4</v>
      </c>
      <c r="V342" s="29">
        <f t="shared" si="677"/>
        <v>5.0000000000000001E-4</v>
      </c>
      <c r="W342" s="23">
        <f>VLOOKUP($D342,Uncertainties!$B$35:$D$41,2,FALSE)</f>
        <v>2.5000000000000022E-3</v>
      </c>
      <c r="X342" s="23"/>
      <c r="Y342" s="24">
        <f t="shared" si="700"/>
        <v>-1.4268244964793866E-5</v>
      </c>
      <c r="Z342" s="23">
        <f t="shared" si="701"/>
        <v>7.5611530326102332E-3</v>
      </c>
      <c r="AA342" s="25">
        <f t="shared" si="702"/>
        <v>13.221024553269761</v>
      </c>
      <c r="AB342" s="26">
        <f t="shared" si="703"/>
        <v>2.1497686616952687</v>
      </c>
      <c r="AC342" s="14"/>
      <c r="AD342" s="635">
        <f>VLOOKUP(B342,TwoStageCT!A$10:H$72,7,FALSE)/10000</f>
        <v>2.600738521505678E-6</v>
      </c>
      <c r="AE342" s="366">
        <f>IF(ABS(VLOOKUP($A342,'5 A data'!$A$5:$U$1148,6,FALSE))&lt;4.5,IF(ABS(VLOOKUP($A342,'5 A data'!$A$5:$U$1148,6,FALSE))&lt;1.25,0.0008,0.002),0.004)*VLOOKUP($A342,'5 A data'!$A$5:$U$1148,7,FALSE)*25*RADIANS(1/60)*100</f>
        <v>2.9088820866572159E-3</v>
      </c>
      <c r="AF342" s="23">
        <f t="shared" si="704"/>
        <v>1.163552834662886E-2</v>
      </c>
      <c r="AG342" s="29">
        <f t="shared" si="705"/>
        <v>2.9851551432212207E-4</v>
      </c>
      <c r="AH342" s="4">
        <f t="shared" ref="AH342:AH347" si="713">BurdenUnc*L334</f>
        <v>6.9085949558108876E-3</v>
      </c>
      <c r="AI342" s="4">
        <f t="shared" si="706"/>
        <v>1.1940620572884883E-3</v>
      </c>
      <c r="AJ342" s="4">
        <f t="shared" si="684"/>
        <v>5.0000000000000001E-4</v>
      </c>
      <c r="AK342" s="21">
        <f>VLOOKUP($D342,Uncertainties!$B$35:$D$41,3,FALSE)</f>
        <v>4.363323129985941E-3</v>
      </c>
      <c r="AL342" s="21"/>
      <c r="AM342" s="369">
        <f>SQRT((VLOOKUP($A342,'5 A data'!$A$5:$U$1148,7,FALSE)*mutual_ind)^2+(aux_CT_phase*J342)^2)</f>
        <v>1.7030193870888834E-3</v>
      </c>
      <c r="AN342" s="29">
        <f t="shared" si="707"/>
        <v>1.4672408302831317E-2</v>
      </c>
      <c r="AO342" s="14">
        <f t="shared" si="708"/>
        <v>11.122318098530846</v>
      </c>
      <c r="AP342" s="27">
        <f t="shared" si="709"/>
        <v>2.1887185923476631</v>
      </c>
      <c r="AS342" s="27">
        <f>VLOOKUP($B342,TwoStageCT!$A$10:$H$72,5,FALSE)</f>
        <v>38.265350164989712</v>
      </c>
      <c r="AT342" s="27">
        <f>VLOOKUP($B342,TwoStageCT!$A$10:$H$72,8,FALSE)</f>
        <v>16.586629386739094</v>
      </c>
    </row>
    <row r="343" spans="1:46" x14ac:dyDescent="0.2">
      <c r="A343" s="409">
        <v>451</v>
      </c>
      <c r="B343" s="5" t="str">
        <f>B331&amp;D343</f>
        <v>120/20020</v>
      </c>
      <c r="C343" s="19">
        <f>VLOOKUP($A343,'5 A data'!$A$5:$U$650,3,FALSE)</f>
        <v>2.1000057980615688E-2</v>
      </c>
      <c r="D343" s="163">
        <f>ROUND(VLOOKUP($A343,'5 A data'!$A$5:$U$650,9,FALSE)/10,0)*10</f>
        <v>20</v>
      </c>
      <c r="E343" s="23">
        <f t="shared" si="688"/>
        <v>0.99936709902044762</v>
      </c>
      <c r="F343" s="23">
        <f t="shared" si="689"/>
        <v>1.0011822386327505</v>
      </c>
      <c r="G343" s="486">
        <f>VLOOKUP(B343,TwoStageCT!A$10:H$72,3,FALSE)/10000</f>
        <v>3.1280516301103777E-5</v>
      </c>
      <c r="H343" s="486">
        <f>VLOOKUP(B343,TwoStageCT!A$10:H$72,6,FALSE)/10000</f>
        <v>4.5493238991726806E-6</v>
      </c>
      <c r="I343" s="19">
        <f>VLOOKUP($A343,'5 A data'!$A$5:$U$650,10,FALSE)</f>
        <v>-0.158</v>
      </c>
      <c r="J343" s="32">
        <f>VLOOKUP($A343,'5 A data'!$A$5:$U$650,11,FALSE)</f>
        <v>0.23998277214922034</v>
      </c>
      <c r="K343" s="31"/>
      <c r="L343" s="31"/>
      <c r="M343" s="31">
        <f t="shared" si="710"/>
        <v>-0.15786872112892961</v>
      </c>
      <c r="N343" s="31">
        <f t="shared" si="711"/>
        <v>0.24027103837754887</v>
      </c>
      <c r="O343" s="20"/>
      <c r="P343" s="634">
        <f>VLOOKUP(B343,TwoStageCT!A$10:H$72,4,FALSE)/10000</f>
        <v>4.17832023036102E-6</v>
      </c>
      <c r="Q343" s="58">
        <f>VLOOKUP($A343,'5 A data'!$A$5:$U$650,7,FALSE)*slidewire_res</f>
        <v>1E-3</v>
      </c>
      <c r="R343" s="347">
        <f t="shared" si="698"/>
        <v>-3.9999999999999983E-3</v>
      </c>
      <c r="S343" s="4">
        <v>0</v>
      </c>
      <c r="T343" s="4">
        <f t="shared" si="712"/>
        <v>-4.0999999999999995E-3</v>
      </c>
      <c r="U343" s="29">
        <f t="shared" si="699"/>
        <v>-6.3147488451571841E-4</v>
      </c>
      <c r="V343" s="29">
        <f t="shared" si="677"/>
        <v>5.0000000000000001E-4</v>
      </c>
      <c r="W343" s="23">
        <f>VLOOKUP($D343,Uncertainties!$B$35:$D$41,2,FALSE)</f>
        <v>-1.0000000000000009E-3</v>
      </c>
      <c r="X343" s="23"/>
      <c r="Y343" s="24">
        <f t="shared" si="700"/>
        <v>-1.225207991542082E-5</v>
      </c>
      <c r="Z343" s="23">
        <f t="shared" si="701"/>
        <v>5.9547399692678714E-3</v>
      </c>
      <c r="AA343" s="25">
        <f t="shared" si="702"/>
        <v>11.637737365724826</v>
      </c>
      <c r="AB343" s="26">
        <f t="shared" si="703"/>
        <v>2.177726217788639</v>
      </c>
      <c r="AC343" s="14"/>
      <c r="AD343" s="635">
        <f>VLOOKUP(B343,TwoStageCT!A$10:H$72,7,FALSE)/10000</f>
        <v>1.9770475075939077E-6</v>
      </c>
      <c r="AE343" s="366">
        <f>IF(ABS(VLOOKUP($A343,'5 A data'!$A$5:$U$1148,6,FALSE))&lt;4.5,IF(ABS(VLOOKUP($A343,'5 A data'!$A$5:$U$1148,6,FALSE))&lt;1.25,0.0008,0.002),0.004)*VLOOKUP($A343,'5 A data'!$A$5:$U$1148,7,FALSE)*25*RADIANS(1/60)*100</f>
        <v>2.9088820866572159E-3</v>
      </c>
      <c r="AF343" s="23">
        <f t="shared" si="704"/>
        <v>6.9813170079773279E-3</v>
      </c>
      <c r="AG343" s="29">
        <f t="shared" si="705"/>
        <v>2.4027103837754888E-4</v>
      </c>
      <c r="AH343" s="4">
        <f t="shared" si="713"/>
        <v>6.1813744341465823E-3</v>
      </c>
      <c r="AI343" s="4">
        <f t="shared" si="706"/>
        <v>9.6108415351019551E-4</v>
      </c>
      <c r="AJ343" s="4">
        <f t="shared" si="684"/>
        <v>5.0000000000000001E-4</v>
      </c>
      <c r="AK343" s="21">
        <f>VLOOKUP($D343,Uncertainties!$B$35:$D$41,3,FALSE)</f>
        <v>-1.454441043328647E-3</v>
      </c>
      <c r="AL343" s="21"/>
      <c r="AM343" s="369">
        <f>SQRT((VLOOKUP($A343,'5 A data'!$A$5:$U$1148,7,FALSE)*mutual_ind)^2+(aux_CT_phase*J343)^2)</f>
        <v>1.7020361583963656E-3</v>
      </c>
      <c r="AN343" s="29">
        <f t="shared" si="707"/>
        <v>1.0082336768765741E-2</v>
      </c>
      <c r="AO343" s="14">
        <f t="shared" si="708"/>
        <v>13.18670639309571</v>
      </c>
      <c r="AP343" s="27">
        <f t="shared" si="709"/>
        <v>2.150297589329019</v>
      </c>
      <c r="AS343" s="27">
        <f>VLOOKUP($B343,TwoStageCT!$A$10:$H$72,5,FALSE)</f>
        <v>36.657700403051521</v>
      </c>
      <c r="AT343" s="27">
        <f>VLOOKUP($B343,TwoStageCT!$A$10:$H$72,8,FALSE)</f>
        <v>53.09445811850042</v>
      </c>
    </row>
    <row r="344" spans="1:46" x14ac:dyDescent="0.2">
      <c r="A344" s="409">
        <v>452</v>
      </c>
      <c r="B344" s="5" t="str">
        <f>B331&amp;D344</f>
        <v>120/20040</v>
      </c>
      <c r="C344" s="19">
        <f>VLOOKUP($A344,'5 A data'!$A$5:$U$650,3,FALSE)</f>
        <v>2.1000057980615688E-2</v>
      </c>
      <c r="D344" s="163">
        <f>ROUND(VLOOKUP($A344,'5 A data'!$A$5:$U$650,9,FALSE)/10,0)*10</f>
        <v>40</v>
      </c>
      <c r="E344" s="23">
        <f t="shared" si="688"/>
        <v>0.99936709902044762</v>
      </c>
      <c r="F344" s="23">
        <f t="shared" si="689"/>
        <v>1.0011822386327505</v>
      </c>
      <c r="G344" s="486">
        <f>VLOOKUP(B344,TwoStageCT!A$10:H$72,3,FALSE)/10000</f>
        <v>2.5200167333853628E-5</v>
      </c>
      <c r="H344" s="486">
        <f>VLOOKUP(B344,TwoStageCT!A$10:H$72,6,FALSE)/10000</f>
        <v>5.7416420558101514E-6</v>
      </c>
      <c r="I344" s="19">
        <f>VLOOKUP($A344,'5 A data'!$A$5:$U$650,10,FALSE)</f>
        <v>-0.13800000000000001</v>
      </c>
      <c r="J344" s="32">
        <f>VLOOKUP($A344,'5 A data'!$A$5:$U$650,11,FALSE)</f>
        <v>0.2050761871093337</v>
      </c>
      <c r="K344" s="31"/>
      <c r="L344" s="31"/>
      <c r="M344" s="31">
        <f t="shared" si="710"/>
        <v>-0.13788745949748793</v>
      </c>
      <c r="N344" s="31">
        <f t="shared" si="711"/>
        <v>0.20532437774244733</v>
      </c>
      <c r="O344" s="20"/>
      <c r="P344" s="634">
        <f>VLOOKUP(B344,TwoStageCT!A$10:H$72,4,FALSE)/10000</f>
        <v>3.3964590328801363E-6</v>
      </c>
      <c r="Q344" s="58">
        <f>VLOOKUP($A344,'5 A data'!$A$5:$U$650,7,FALSE)*slidewire_res</f>
        <v>1E-3</v>
      </c>
      <c r="R344" s="347">
        <f t="shared" si="698"/>
        <v>-1.6000000000000016E-3</v>
      </c>
      <c r="S344" s="4">
        <v>0</v>
      </c>
      <c r="T344" s="4">
        <f t="shared" si="712"/>
        <v>-3.9999999999999992E-3</v>
      </c>
      <c r="U344" s="29">
        <f t="shared" si="699"/>
        <v>-5.5154983798995176E-4</v>
      </c>
      <c r="V344" s="29">
        <f t="shared" si="677"/>
        <v>5.0000000000000001E-4</v>
      </c>
      <c r="W344" s="23">
        <f>VLOOKUP($D344,Uncertainties!$B$35:$D$41,2,FALSE)</f>
        <v>-1.0000000000000009E-3</v>
      </c>
      <c r="X344" s="23"/>
      <c r="Y344" s="24">
        <f t="shared" si="700"/>
        <v>-1.0701183723595402E-5</v>
      </c>
      <c r="Z344" s="23">
        <f t="shared" si="701"/>
        <v>4.5950335444971228E-3</v>
      </c>
      <c r="AA344" s="25">
        <f t="shared" si="702"/>
        <v>8.4399939773416826</v>
      </c>
      <c r="AB344" s="26">
        <f t="shared" si="703"/>
        <v>2.2707266780560973</v>
      </c>
      <c r="AC344" s="14"/>
      <c r="AD344" s="635">
        <f>VLOOKUP(B344,TwoStageCT!A$10:H$72,7,FALSE)/10000</f>
        <v>1.6849048737447556E-6</v>
      </c>
      <c r="AE344" s="366">
        <f>IF(ABS(VLOOKUP($A344,'5 A data'!$A$5:$U$1148,6,FALSE))&lt;4.5,IF(ABS(VLOOKUP($A344,'5 A data'!$A$5:$U$1148,6,FALSE))&lt;1.25,0.0008,0.002),0.004)*VLOOKUP($A344,'5 A data'!$A$5:$U$1148,7,FALSE)*25*RADIANS(1/60)*100</f>
        <v>2.9088820866572159E-3</v>
      </c>
      <c r="AF344" s="23">
        <f t="shared" si="704"/>
        <v>2.9088820866572107E-3</v>
      </c>
      <c r="AG344" s="29">
        <f t="shared" si="705"/>
        <v>2.0532437774244732E-4</v>
      </c>
      <c r="AH344" s="4">
        <f t="shared" si="713"/>
        <v>5.5995980168151429E-3</v>
      </c>
      <c r="AI344" s="4">
        <f t="shared" si="706"/>
        <v>8.2129751096978929E-4</v>
      </c>
      <c r="AJ344" s="4">
        <f t="shared" si="684"/>
        <v>5.0000000000000001E-4</v>
      </c>
      <c r="AK344" s="21">
        <f>VLOOKUP($D344,Uncertainties!$B$35:$D$41,3,FALSE)</f>
        <v>-2.908882086657183E-3</v>
      </c>
      <c r="AL344" s="21"/>
      <c r="AM344" s="369">
        <f>SQRT((VLOOKUP($A344,'5 A data'!$A$5:$U$1148,7,FALSE)*mutual_ind)^2+(aux_CT_phase*J344)^2)</f>
        <v>1.7015480534634398E-3</v>
      </c>
      <c r="AN344" s="29">
        <f t="shared" si="707"/>
        <v>7.7847440067683486E-3</v>
      </c>
      <c r="AO344" s="14">
        <f t="shared" si="708"/>
        <v>15.777186271359094</v>
      </c>
      <c r="AP344" s="27">
        <f t="shared" si="709"/>
        <v>2.1172674904193443</v>
      </c>
      <c r="AS344" s="27">
        <f>VLOOKUP($B344,TwoStageCT!$A$10:$H$72,5,FALSE)</f>
        <v>38.659909732018328</v>
      </c>
      <c r="AT344" s="27">
        <f>VLOOKUP($B344,TwoStageCT!$A$10:$H$72,8,FALSE)</f>
        <v>52.499330597885681</v>
      </c>
    </row>
    <row r="345" spans="1:46" x14ac:dyDescent="0.2">
      <c r="A345" s="409">
        <v>453</v>
      </c>
      <c r="B345" s="5" t="str">
        <f>B331&amp;D345</f>
        <v>120/20060</v>
      </c>
      <c r="C345" s="19">
        <f>VLOOKUP($A345,'5 A data'!$A$5:$U$650,3,FALSE)</f>
        <v>2.1000057980615688E-2</v>
      </c>
      <c r="D345" s="163">
        <f>ROUND(VLOOKUP($A345,'5 A data'!$A$5:$U$650,9,FALSE)/10,0)*10</f>
        <v>60</v>
      </c>
      <c r="E345" s="23">
        <f t="shared" si="688"/>
        <v>0.99936709902044762</v>
      </c>
      <c r="F345" s="23">
        <f t="shared" si="689"/>
        <v>1.0011822386327505</v>
      </c>
      <c r="G345" s="486">
        <f>VLOOKUP(B345,TwoStageCT!A$10:H$72,3,FALSE)/10000</f>
        <v>2.195627602528684E-5</v>
      </c>
      <c r="H345" s="486">
        <f>VLOOKUP(B345,TwoStageCT!A$10:H$72,6,FALSE)/10000</f>
        <v>5.5507836163637805E-6</v>
      </c>
      <c r="I345" s="19">
        <f>VLOOKUP($A345,'5 A data'!$A$5:$U$650,10,FALSE)</f>
        <v>-0.13</v>
      </c>
      <c r="J345" s="32">
        <f>VLOOKUP($A345,'5 A data'!$A$5:$U$650,11,FALSE)</f>
        <v>0.19053177667604765</v>
      </c>
      <c r="K345" s="31"/>
      <c r="L345" s="31"/>
      <c r="M345" s="31">
        <f t="shared" si="710"/>
        <v>-0.12989576659663293</v>
      </c>
      <c r="N345" s="31">
        <f t="shared" si="711"/>
        <v>0.19076258148681702</v>
      </c>
      <c r="O345" s="20"/>
      <c r="P345" s="634">
        <f>VLOOKUP(B345,TwoStageCT!A$10:H$72,4,FALSE)/10000</f>
        <v>2.9709098248278708E-6</v>
      </c>
      <c r="Q345" s="58">
        <f>VLOOKUP($A345,'5 A data'!$A$5:$U$650,7,FALSE)*slidewire_res</f>
        <v>1E-3</v>
      </c>
      <c r="R345" s="347">
        <f t="shared" si="698"/>
        <v>-1.8000000000000017E-3</v>
      </c>
      <c r="S345" s="4">
        <v>0</v>
      </c>
      <c r="T345" s="4">
        <f t="shared" si="712"/>
        <v>-3.7999999999999996E-3</v>
      </c>
      <c r="U345" s="29">
        <f t="shared" si="699"/>
        <v>-5.1958306638653169E-4</v>
      </c>
      <c r="V345" s="29">
        <f t="shared" si="677"/>
        <v>5.0000000000000001E-4</v>
      </c>
      <c r="W345" s="23">
        <f>VLOOKUP($D345,Uncertainties!$B$35:$D$41,2,FALSE)</f>
        <v>-1.0000000000000009E-3</v>
      </c>
      <c r="X345" s="23"/>
      <c r="Y345" s="24">
        <f t="shared" si="700"/>
        <v>-1.0080825246865232E-5</v>
      </c>
      <c r="Z345" s="23">
        <f t="shared" si="701"/>
        <v>4.4944495783375386E-3</v>
      </c>
      <c r="AA345" s="25">
        <f t="shared" si="702"/>
        <v>9.2507239895028111</v>
      </c>
      <c r="AB345" s="26">
        <f t="shared" si="703"/>
        <v>2.2402601621361407</v>
      </c>
      <c r="AC345" s="14"/>
      <c r="AD345" s="635">
        <f>VLOOKUP(B345,TwoStageCT!A$10:H$72,7,FALSE)/10000</f>
        <v>1.6017059195029239E-6</v>
      </c>
      <c r="AE345" s="366">
        <f>IF(ABS(VLOOKUP($A345,'5 A data'!$A$5:$U$1148,6,FALSE))&lt;4.5,IF(ABS(VLOOKUP($A345,'5 A data'!$A$5:$U$1148,6,FALSE))&lt;1.25,0.0008,0.002),0.004)*VLOOKUP($A345,'5 A data'!$A$5:$U$1148,7,FALSE)*25*RADIANS(1/60)*100</f>
        <v>2.9088820866572159E-3</v>
      </c>
      <c r="AF345" s="23">
        <f t="shared" si="704"/>
        <v>3.1997702953229404E-3</v>
      </c>
      <c r="AG345" s="29">
        <f t="shared" si="705"/>
        <v>1.9076258148681703E-4</v>
      </c>
      <c r="AH345" s="4">
        <f t="shared" si="713"/>
        <v>5.1632657038165582E-3</v>
      </c>
      <c r="AI345" s="4">
        <f t="shared" si="706"/>
        <v>7.6305032594726813E-4</v>
      </c>
      <c r="AJ345" s="4">
        <f t="shared" si="684"/>
        <v>5.0000000000000001E-4</v>
      </c>
      <c r="AK345" s="21">
        <f>VLOOKUP($D345,Uncertainties!$B$35:$D$41,3,FALSE)</f>
        <v>-2.908882086657183E-3</v>
      </c>
      <c r="AL345" s="21"/>
      <c r="AM345" s="369">
        <f>SQRT((VLOOKUP($A345,'5 A data'!$A$5:$U$1148,7,FALSE)*mutual_ind)^2+(aux_CT_phase*J345)^2)</f>
        <v>1.7013672383223266E-3</v>
      </c>
      <c r="AN345" s="29">
        <f t="shared" si="707"/>
        <v>7.5884334263872791E-3</v>
      </c>
      <c r="AO345" s="14">
        <f t="shared" si="708"/>
        <v>17.932484026860429</v>
      </c>
      <c r="AP345" s="27">
        <f t="shared" si="709"/>
        <v>2.0974653175407636</v>
      </c>
      <c r="AS345" s="27">
        <f>VLOOKUP($B345,TwoStageCT!$A$10:$H$72,5,FALSE)</f>
        <v>42.291164682130272</v>
      </c>
      <c r="AT345" s="27">
        <f>VLOOKUP($B345,TwoStageCT!$A$10:$H$72,8,FALSE)</f>
        <v>48.978667479860043</v>
      </c>
    </row>
    <row r="346" spans="1:46" x14ac:dyDescent="0.2">
      <c r="A346" s="409">
        <v>454</v>
      </c>
      <c r="B346" s="5" t="str">
        <f>B331&amp;D346</f>
        <v>120/200100</v>
      </c>
      <c r="C346" s="19">
        <f>VLOOKUP($A346,'5 A data'!$A$5:$U$650,3,FALSE)</f>
        <v>2.1000057980615688E-2</v>
      </c>
      <c r="D346" s="164">
        <f>ROUND(VLOOKUP($A346,'5 A data'!$A$5:$U$650,9,FALSE)/10,0)*10</f>
        <v>100</v>
      </c>
      <c r="E346" s="23">
        <f t="shared" si="688"/>
        <v>0.99936709902044762</v>
      </c>
      <c r="F346" s="23">
        <f t="shared" si="689"/>
        <v>1.0011822386327505</v>
      </c>
      <c r="G346" s="486">
        <f>VLOOKUP(B346,TwoStageCT!A$10:H$72,3,FALSE)/10000</f>
        <v>1.6881396356939836E-5</v>
      </c>
      <c r="H346" s="486">
        <f>VLOOKUP(B346,TwoStageCT!A$10:H$72,6,FALSE)/10000</f>
        <v>7.3590724152435355E-6</v>
      </c>
      <c r="I346" s="19">
        <f>VLOOKUP($A346,'5 A data'!$A$5:$U$650,10,FALSE)</f>
        <v>-0.121</v>
      </c>
      <c r="J346" s="32">
        <f>VLOOKUP($A346,'5 A data'!$A$5:$U$650,11,FALSE)</f>
        <v>0.17453292519943295</v>
      </c>
      <c r="K346" s="31"/>
      <c r="L346" s="31"/>
      <c r="M346" s="31">
        <f t="shared" si="710"/>
        <v>-0.12090653758511721</v>
      </c>
      <c r="N346" s="31">
        <f t="shared" si="711"/>
        <v>0.17474662383870593</v>
      </c>
      <c r="O346" s="20"/>
      <c r="P346" s="634">
        <f>VLOOKUP(B346,TwoStageCT!A$10:H$72,4,FALSE)/10000</f>
        <v>2.4131313466023584E-6</v>
      </c>
      <c r="Q346" s="58">
        <f>VLOOKUP($A346,'5 A data'!$A$5:$U$650,7,FALSE)*slidewire_res</f>
        <v>1E-3</v>
      </c>
      <c r="R346" s="347">
        <f t="shared" si="698"/>
        <v>-4.000000000000004E-4</v>
      </c>
      <c r="S346" s="4">
        <v>0</v>
      </c>
      <c r="T346" s="4">
        <f t="shared" si="712"/>
        <v>-3.6000000000000008E-3</v>
      </c>
      <c r="U346" s="29">
        <f t="shared" si="699"/>
        <v>-4.8362615034046888E-4</v>
      </c>
      <c r="V346" s="29">
        <f t="shared" si="677"/>
        <v>5.0000000000000001E-4</v>
      </c>
      <c r="W346" s="23">
        <f>VLOOKUP($D346,Uncertainties!$B$35:$D$41,2,FALSE)</f>
        <v>1.999999999999974E-3</v>
      </c>
      <c r="X346" s="23"/>
      <c r="Y346" s="24">
        <f t="shared" si="700"/>
        <v>-9.3829219605437922E-6</v>
      </c>
      <c r="Z346" s="23">
        <f t="shared" si="701"/>
        <v>4.313234066883046E-3</v>
      </c>
      <c r="AA346" s="25">
        <f t="shared" si="702"/>
        <v>9.8603898515713233</v>
      </c>
      <c r="AB346" s="26">
        <f t="shared" si="703"/>
        <v>2.2210605780453867</v>
      </c>
      <c r="AC346" s="14"/>
      <c r="AD346" s="635">
        <f>VLOOKUP(B346,TwoStageCT!A$10:H$72,7,FALSE)/10000</f>
        <v>1.6933288916776063E-6</v>
      </c>
      <c r="AE346" s="366">
        <f>IF(ABS(VLOOKUP($A346,'5 A data'!$A$5:$U$1148,6,FALSE))&lt;4.5,IF(ABS(VLOOKUP($A346,'5 A data'!$A$5:$U$1148,6,FALSE))&lt;1.25,0.0008,0.002),0.004)*VLOOKUP($A346,'5 A data'!$A$5:$U$1148,7,FALSE)*25*RADIANS(1/60)*100</f>
        <v>2.9088820866572159E-3</v>
      </c>
      <c r="AF346" s="23">
        <f t="shared" si="704"/>
        <v>1.1635528346628844E-3</v>
      </c>
      <c r="AG346" s="29">
        <f t="shared" si="705"/>
        <v>1.7474662383870594E-4</v>
      </c>
      <c r="AH346" s="4">
        <f t="shared" si="713"/>
        <v>4.799655442984406E-3</v>
      </c>
      <c r="AI346" s="4">
        <f t="shared" si="706"/>
        <v>6.9898649535482375E-4</v>
      </c>
      <c r="AJ346" s="4">
        <f t="shared" si="684"/>
        <v>5.0000000000000001E-4</v>
      </c>
      <c r="AK346" s="21">
        <f>VLOOKUP($D346,Uncertainties!$B$35:$D$41,3,FALSE)</f>
        <v>-2.9088820866572385E-3</v>
      </c>
      <c r="AL346" s="21"/>
      <c r="AM346" s="369">
        <f>SQRT((VLOOKUP($A346,'5 A data'!$A$5:$U$1148,7,FALSE)*mutual_ind)^2+(aux_CT_phase*J346)^2)</f>
        <v>1.7011836780036968E-3</v>
      </c>
      <c r="AN346" s="29">
        <f t="shared" si="707"/>
        <v>6.7064808085517428E-3</v>
      </c>
      <c r="AO346" s="14">
        <f t="shared" si="708"/>
        <v>15.768641640432133</v>
      </c>
      <c r="AP346" s="27">
        <f t="shared" si="709"/>
        <v>2.1173574437856213</v>
      </c>
      <c r="AS346" s="27">
        <f>VLOOKUP($B346,TwoStageCT!$A$10:$H$72,5,FALSE)</f>
        <v>59.567261398457461</v>
      </c>
      <c r="AT346" s="27">
        <f>VLOOKUP($B346,TwoStageCT!$A$10:$H$72,8,FALSE)</f>
        <v>45.732629829898706</v>
      </c>
    </row>
    <row r="347" spans="1:46" x14ac:dyDescent="0.2">
      <c r="A347" s="409">
        <v>455</v>
      </c>
      <c r="B347" s="5" t="str">
        <f>B331&amp;D347</f>
        <v>120/200120</v>
      </c>
      <c r="C347" s="19">
        <f>VLOOKUP($A347,'5 A data'!$A$5:$U$650,3,FALSE)</f>
        <v>2.1000057980615688E-2</v>
      </c>
      <c r="D347" s="164">
        <f>ROUND(VLOOKUP($A347,'5 A data'!$A$5:$U$650,9,FALSE)/10,0)*10</f>
        <v>120</v>
      </c>
      <c r="E347" s="23">
        <f t="shared" si="688"/>
        <v>0.99936709902044762</v>
      </c>
      <c r="F347" s="23">
        <f t="shared" si="689"/>
        <v>1.0011822386327505</v>
      </c>
      <c r="G347" s="486">
        <f>VLOOKUP(B347,TwoStageCT!A$10:H$72,3,FALSE)/10000</f>
        <v>1.5213305302217845E-5</v>
      </c>
      <c r="H347" s="486">
        <f>VLOOKUP(B347,TwoStageCT!A$10:H$72,6,FALSE)/10000</f>
        <v>7.5885012454326174E-6</v>
      </c>
      <c r="I347" s="19">
        <f>VLOOKUP($A347,'5 A data'!$A$5:$U$650,10,FALSE)</f>
        <v>-0.11899999999999999</v>
      </c>
      <c r="J347" s="32">
        <f>VLOOKUP($A347,'5 A data'!$A$5:$U$650,11,FALSE)</f>
        <v>0.16871516102611853</v>
      </c>
      <c r="K347" s="31"/>
      <c r="L347" s="31"/>
      <c r="M347" s="31">
        <f t="shared" si="710"/>
        <v>-0.11890947147813105</v>
      </c>
      <c r="N347" s="31">
        <f t="shared" si="711"/>
        <v>0.16892221110865976</v>
      </c>
      <c r="O347" s="20"/>
      <c r="P347" s="634">
        <f>VLOOKUP(B347,TwoStageCT!A$10:H$72,4,FALSE)/10000</f>
        <v>2.2681305202526645E-6</v>
      </c>
      <c r="Q347" s="58">
        <f>VLOOKUP($A347,'5 A data'!$A$5:$U$650,7,FALSE)*slidewire_res</f>
        <v>1E-3</v>
      </c>
      <c r="R347" s="347">
        <f t="shared" si="698"/>
        <v>0</v>
      </c>
      <c r="S347" s="4">
        <v>0</v>
      </c>
      <c r="T347" s="4">
        <f t="shared" si="712"/>
        <v>-3.5500000000000006E-3</v>
      </c>
      <c r="U347" s="29">
        <f t="shared" si="699"/>
        <v>-4.7563788591252422E-4</v>
      </c>
      <c r="V347" s="29">
        <f t="shared" si="677"/>
        <v>5.0000000000000001E-4</v>
      </c>
      <c r="W347" s="23">
        <f>VLOOKUP($D347,Uncertainties!$B$35:$D$41,2,FALSE)</f>
        <v>-1.0000000000000009E-3</v>
      </c>
      <c r="X347" s="23"/>
      <c r="Y347" s="24">
        <f t="shared" si="700"/>
        <v>-9.2278323413612514E-6</v>
      </c>
      <c r="Z347" s="23">
        <f t="shared" si="701"/>
        <v>3.8831458504440856E-3</v>
      </c>
      <c r="AA347" s="25">
        <f t="shared" si="702"/>
        <v>7.0904191712536306</v>
      </c>
      <c r="AB347" s="26">
        <f t="shared" si="703"/>
        <v>2.3397782721930618</v>
      </c>
      <c r="AC347" s="14"/>
      <c r="AD347" s="635">
        <f>VLOOKUP(B347,TwoStageCT!A$10:H$72,7,FALSE)/10000</f>
        <v>1.7092397901526349E-6</v>
      </c>
      <c r="AE347" s="366">
        <f>IF(ABS(VLOOKUP($A347,'5 A data'!$A$5:$U$1148,6,FALSE))&lt;4.5,IF(ABS(VLOOKUP($A347,'5 A data'!$A$5:$U$1148,6,FALSE))&lt;1.25,0.0008,0.002),0.004)*VLOOKUP($A347,'5 A data'!$A$5:$U$1148,7,FALSE)*25*RADIANS(1/60)*100</f>
        <v>2.9088820866572159E-3</v>
      </c>
      <c r="AF347" s="23">
        <f t="shared" si="704"/>
        <v>0</v>
      </c>
      <c r="AG347" s="29">
        <f t="shared" si="705"/>
        <v>1.6892221110865978E-4</v>
      </c>
      <c r="AH347" s="4">
        <f t="shared" si="713"/>
        <v>4.6542113386515444E-3</v>
      </c>
      <c r="AI347" s="4">
        <f t="shared" si="706"/>
        <v>6.756888444346391E-4</v>
      </c>
      <c r="AJ347" s="4">
        <f t="shared" si="684"/>
        <v>5.0000000000000001E-4</v>
      </c>
      <c r="AK347" s="21">
        <f>VLOOKUP($D347,Uncertainties!$B$35:$D$41,3,FALSE)</f>
        <v>1.4544410433285915E-3</v>
      </c>
      <c r="AL347" s="21"/>
      <c r="AM347" s="369">
        <f>SQRT((VLOOKUP($A347,'5 A data'!$A$5:$U$1148,7,FALSE)*mutual_ind)^2+(aux_CT_phase*J347)^2)</f>
        <v>1.7011209132495365E-3</v>
      </c>
      <c r="AN347" s="29">
        <f t="shared" si="707"/>
        <v>5.9889550289112586E-3</v>
      </c>
      <c r="AO347" s="14">
        <f t="shared" si="708"/>
        <v>11.668509489608578</v>
      </c>
      <c r="AP347" s="27">
        <f t="shared" si="709"/>
        <v>2.1771036434914914</v>
      </c>
      <c r="AS347" s="27">
        <f>VLOOKUP($B347,TwoStageCT!$A$10:$H$72,5,FALSE)</f>
        <v>68.00069900375496</v>
      </c>
      <c r="AT347" s="27">
        <f>VLOOKUP($B347,TwoStageCT!$A$10:$H$72,8,FALSE)</f>
        <v>47.345132453902309</v>
      </c>
    </row>
    <row r="348" spans="1:46" x14ac:dyDescent="0.2">
      <c r="A348" s="409">
        <v>456</v>
      </c>
      <c r="P348" s="97"/>
      <c r="AD348" s="250"/>
    </row>
    <row r="349" spans="1:46" x14ac:dyDescent="0.2">
      <c r="A349" s="409">
        <v>457</v>
      </c>
      <c r="B349" s="474" t="str">
        <f>MID(D349,FIND("AT,",D349,1)-4,3)&amp;"/"&amp;MID(D349,FIND("AT,",D349,1)+4,3)</f>
        <v>120/200</v>
      </c>
      <c r="C349" t="s">
        <v>113</v>
      </c>
      <c r="D349" s="59" t="str">
        <f>VLOOKUP($A349,'5 A data'!$A$5:$U$574,2,FALSE)</f>
        <v>200/5 Range, 1 turns @ 5VA burden, vs 120 AT, 200 range, 2 Stage CT</v>
      </c>
      <c r="P349" s="97"/>
      <c r="R349" s="42"/>
      <c r="Z349" s="29"/>
      <c r="AA349" s="25"/>
      <c r="AD349" s="250"/>
      <c r="AN349" s="29"/>
      <c r="AO349" s="14"/>
    </row>
    <row r="350" spans="1:46" x14ac:dyDescent="0.2">
      <c r="A350" s="409">
        <v>458</v>
      </c>
      <c r="C350" s="19"/>
      <c r="M350" s="638" t="s">
        <v>160</v>
      </c>
      <c r="N350" s="638"/>
      <c r="O350" s="19"/>
      <c r="P350" s="97"/>
      <c r="R350" s="42"/>
      <c r="Z350" s="29"/>
      <c r="AA350" s="25"/>
      <c r="AD350" s="250"/>
      <c r="AN350" s="29"/>
      <c r="AO350" s="14"/>
    </row>
    <row r="351" spans="1:46" x14ac:dyDescent="0.2">
      <c r="A351" s="409">
        <v>459</v>
      </c>
      <c r="B351" s="5" t="str">
        <f>B349&amp;D351</f>
        <v>120/2005</v>
      </c>
      <c r="C351" s="19">
        <f>VLOOKUP($A351,'5 A data'!$A$5:$U$574,3,FALSE)</f>
        <v>0.21600059637204713</v>
      </c>
      <c r="D351" s="19">
        <f>ROUND(VLOOKUP($A351,'5 A data'!$A$5:$U$650,9,FALSE),0)</f>
        <v>5</v>
      </c>
      <c r="E351" s="23">
        <f>TestSetRatioCor</f>
        <v>0.99936709902044762</v>
      </c>
      <c r="F351" s="23">
        <f>TestSetPhaseCor</f>
        <v>1.0011822386327505</v>
      </c>
      <c r="G351" s="486">
        <f>VLOOKUP(B351,TwoStageCT!A$10:H$72,3,FALSE)/10000</f>
        <v>3.6805932694608759E-5</v>
      </c>
      <c r="H351" s="486">
        <f>VLOOKUP(B351,TwoStageCT!A$10:H$72,6,FALSE)/10000</f>
        <v>4.6965346060309593E-6</v>
      </c>
      <c r="I351" s="19">
        <f>VLOOKUP($A351,'5 A data'!$A$5:$U$650,10,FALSE)</f>
        <v>-1.08</v>
      </c>
      <c r="J351" s="32">
        <f>VLOOKUP($A351,'5 A data'!$A$5:$U$650,11,FALSE)</f>
        <v>0.50905436516501279</v>
      </c>
      <c r="K351" s="22">
        <f>I351-I359</f>
        <v>-0.85600000000000009</v>
      </c>
      <c r="L351" s="22">
        <f>J351-J359</f>
        <v>0.11635528346628859</v>
      </c>
      <c r="M351" s="22">
        <f>I351*E351+G351</f>
        <v>-1.0792796610093891</v>
      </c>
      <c r="N351" s="22">
        <f>J351*F351+H351</f>
        <v>0.50966088543628718</v>
      </c>
      <c r="O351" s="20"/>
      <c r="P351" s="634">
        <f>VLOOKUP(B351,TwoStageCT!A$10:H$72,4,FALSE)/10000</f>
        <v>6.4429594675743464E-6</v>
      </c>
      <c r="Q351" s="58">
        <f>VLOOKUP($A351,'5 A data'!$A$5:$U$650,7,FALSE)*slidewire_res</f>
        <v>0.01</v>
      </c>
      <c r="R351" s="347">
        <f t="shared" ref="R351:R357" si="714">current_coef*(I351-I352)*IF(I352=0,0,1)</f>
        <v>-2.6800000000000025E-2</v>
      </c>
      <c r="S351" s="4">
        <v>0</v>
      </c>
      <c r="T351" s="21">
        <f>BurdenUnc*K351</f>
        <v>-4.2800000000000005E-2</v>
      </c>
      <c r="U351" s="29">
        <f>0.004*M351</f>
        <v>-4.3171186440375568E-3</v>
      </c>
      <c r="V351" s="29">
        <f t="shared" ref="V351:V365" si="715">earthing_Re</f>
        <v>5.0000000000000001E-4</v>
      </c>
      <c r="W351" s="23">
        <f>VLOOKUP($D351,Uncertainties!$B$35:$D$41,2,FALSE)</f>
        <v>5.0000000000000044E-3</v>
      </c>
      <c r="X351" s="23"/>
      <c r="Y351" s="24">
        <f t="shared" ref="Y351:Y357" si="716">I351*aux_CT_ratio</f>
        <v>-8.3748394358572705E-5</v>
      </c>
      <c r="Z351" s="23">
        <f t="shared" ref="Z351:Z357" si="717">SQRT(SUMSQ(P351:Y351))</f>
        <v>5.1903512103633052E-2</v>
      </c>
      <c r="AA351" s="25">
        <f t="shared" ref="AA351:AA357" si="718">DoF_A(P351:Y351,$P$7:$Y$7)</f>
        <v>9.3473785848399711</v>
      </c>
      <c r="AB351" s="26">
        <f t="shared" ref="AB351:AB357" si="719">CoverFactor(AA351)</f>
        <v>2.2370273650886725</v>
      </c>
      <c r="AC351" s="14"/>
      <c r="AD351" s="635">
        <f>VLOOKUP(B351,TwoStageCT!A$10:H$72,7,FALSE)/10000</f>
        <v>4.6788986298833412E-6</v>
      </c>
      <c r="AE351" s="366">
        <f>IF(ABS(VLOOKUP($A351,'5 A data'!$A$5:$U$1148,6,FALSE))&lt;4.5,IF(ABS(VLOOKUP($A351,'5 A data'!$A$5:$U$1148,6,FALSE))&lt;1.25,0.0008,0.002),0.004)*VLOOKUP($A351,'5 A data'!$A$5:$U$1148,7,FALSE)*25*RADIANS(1/60)*100</f>
        <v>1.454441043328608E-2</v>
      </c>
      <c r="AF351" s="23">
        <f>current_coef*(J351-J352)*IF(J352=0,0,1)</f>
        <v>1.4544410433286081E-2</v>
      </c>
      <c r="AG351" s="29">
        <f t="shared" ref="AG351:AG357" si="720">0.001*N351</f>
        <v>5.0966088543628722E-4</v>
      </c>
      <c r="AH351" s="4">
        <f>BurdenUnc*L351</f>
        <v>5.8177641733144301E-3</v>
      </c>
      <c r="AI351" s="4">
        <f t="shared" ref="AI351:AI357" si="721">0.004*N351</f>
        <v>2.0386435417451489E-3</v>
      </c>
      <c r="AJ351" s="4">
        <f t="shared" ref="AJ351:AJ365" si="722">earthing_Im</f>
        <v>5.0000000000000001E-4</v>
      </c>
      <c r="AK351" s="21">
        <f>VLOOKUP($D351,Uncertainties!$B$35:$D$41,3,FALSE)</f>
        <v>-1.1635528346628732E-2</v>
      </c>
      <c r="AL351" s="21"/>
      <c r="AM351" s="369">
        <f>SQRT((VLOOKUP($A351,'5 A data'!$A$5:$U$1148,7,FALSE)*mutual_ind)^2+(aux_CT_phase*J351)^2)</f>
        <v>1.7003074879769216E-2</v>
      </c>
      <c r="AN351" s="29">
        <f t="shared" ref="AN351:AN357" si="723">SQRT(SUMSQ(AD351:AM351))</f>
        <v>2.9767130337888432E-2</v>
      </c>
      <c r="AO351" s="14">
        <f t="shared" ref="AO351:AO357" si="724">DoF_A(AD351:AM351,$AD$7:$AM$7)</f>
        <v>21.620382115378373</v>
      </c>
      <c r="AP351" s="27">
        <f t="shared" ref="AP351:AP357" si="725">CoverFactor(AO351)</f>
        <v>2.0731382852083362</v>
      </c>
      <c r="AS351" s="27">
        <f>VLOOKUP($B351,TwoStageCT!$A$10:$H$72,5,FALSE)</f>
        <v>26.31606241070681</v>
      </c>
      <c r="AT351" s="27">
        <f>VLOOKUP($B351,TwoStageCT!$A$10:$H$72,8,FALSE)</f>
        <v>9.9413455012810044</v>
      </c>
    </row>
    <row r="352" spans="1:46" x14ac:dyDescent="0.2">
      <c r="A352" s="409">
        <v>460</v>
      </c>
      <c r="B352" s="5" t="str">
        <f>B349&amp;D352</f>
        <v>120/20010</v>
      </c>
      <c r="C352" s="19">
        <f>VLOOKUP($A352,'5 A data'!$A$5:$U$650,3,FALSE)</f>
        <v>0.21600059637204713</v>
      </c>
      <c r="D352" s="163">
        <f>ROUND(VLOOKUP($A352,'5 A data'!$A$5:$U$650,9,FALSE)/10,0)*10</f>
        <v>10</v>
      </c>
      <c r="E352" s="23">
        <f t="shared" ref="E352:E365" si="726">TestSetRatioCor</f>
        <v>0.99936709902044762</v>
      </c>
      <c r="F352" s="23">
        <f t="shared" ref="F352:F365" si="727">TestSetPhaseCor</f>
        <v>1.0011822386327505</v>
      </c>
      <c r="G352" s="486">
        <f>VLOOKUP(B352,TwoStageCT!A$10:H$72,3,FALSE)/10000</f>
        <v>3.4690340839935311E-5</v>
      </c>
      <c r="H352" s="486">
        <f>VLOOKUP(B352,TwoStageCT!A$10:H$72,6,FALSE)/10000</f>
        <v>2.6036797087866982E-6</v>
      </c>
      <c r="I352" s="19">
        <f>VLOOKUP($A352,'5 A data'!$A$5:$U$650,10,FALSE)</f>
        <v>-0.94599999999999995</v>
      </c>
      <c r="J352" s="32">
        <f>VLOOKUP($A352,'5 A data'!$A$5:$U$650,11,FALSE)</f>
        <v>0.43633231299858238</v>
      </c>
      <c r="K352" s="22">
        <f t="shared" ref="K352:K357" si="728">I352-I360</f>
        <v>-0.7609999999999999</v>
      </c>
      <c r="L352" s="22">
        <f t="shared" ref="L352:L357" si="729">J352-J360</f>
        <v>0.1367174580728891</v>
      </c>
      <c r="M352" s="22">
        <f t="shared" ref="M352:M357" si="730">I352*E352+G352</f>
        <v>-0.94536658533250351</v>
      </c>
      <c r="N352" s="22">
        <f t="shared" ref="N352:N357" si="731">J352*F352+H352</f>
        <v>0.43685076559543545</v>
      </c>
      <c r="O352" s="20"/>
      <c r="P352" s="634">
        <f>VLOOKUP(B352,TwoStageCT!A$10:H$72,4,FALSE)/10000</f>
        <v>5.0170517941146892E-6</v>
      </c>
      <c r="Q352" s="58">
        <f>VLOOKUP($A352,'5 A data'!$A$5:$U$650,7,FALSE)*slidewire_res</f>
        <v>2E-3</v>
      </c>
      <c r="R352" s="347">
        <f t="shared" si="714"/>
        <v>-2.0399999999999998E-2</v>
      </c>
      <c r="S352" s="4">
        <v>0</v>
      </c>
      <c r="T352" s="21">
        <f t="shared" ref="T352:T357" si="732">BurdenUnc*K352</f>
        <v>-3.805E-2</v>
      </c>
      <c r="U352" s="29">
        <f t="shared" ref="U352:U357" si="733">0.004*M352</f>
        <v>-3.781466341330014E-3</v>
      </c>
      <c r="V352" s="29">
        <f t="shared" si="715"/>
        <v>5.0000000000000001E-4</v>
      </c>
      <c r="W352" s="23">
        <f>VLOOKUP($D352,Uncertainties!$B$35:$D$41,2,FALSE)</f>
        <v>2.5000000000000022E-3</v>
      </c>
      <c r="X352" s="23"/>
      <c r="Y352" s="24">
        <f t="shared" si="716"/>
        <v>-7.3357389873342373E-5</v>
      </c>
      <c r="Z352" s="23">
        <f t="shared" si="717"/>
        <v>4.3459951612583161E-2</v>
      </c>
      <c r="AA352" s="25">
        <f t="shared" si="718"/>
        <v>7.8593347957333748</v>
      </c>
      <c r="AB352" s="26">
        <f t="shared" si="719"/>
        <v>2.2970443852763389</v>
      </c>
      <c r="AC352" s="14"/>
      <c r="AD352" s="635">
        <f>VLOOKUP(B352,TwoStageCT!A$10:H$72,7,FALSE)/10000</f>
        <v>2.600738521505678E-6</v>
      </c>
      <c r="AE352" s="366">
        <f>IF(ABS(VLOOKUP($A352,'5 A data'!$A$5:$U$1148,6,FALSE))&lt;4.5,IF(ABS(VLOOKUP($A352,'5 A data'!$A$5:$U$1148,6,FALSE))&lt;1.25,0.0008,0.002),0.004)*VLOOKUP($A352,'5 A data'!$A$5:$U$1148,7,FALSE)*25*RADIANS(1/60)*100</f>
        <v>5.8177641733144318E-3</v>
      </c>
      <c r="AF352" s="23">
        <f t="shared" ref="AF352:AF357" si="734">current_coef*(J352-J353)*IF(J353=0,0,1)</f>
        <v>1.2217304763960313E-2</v>
      </c>
      <c r="AG352" s="29">
        <f t="shared" si="720"/>
        <v>4.3685076559543548E-4</v>
      </c>
      <c r="AH352" s="4">
        <f t="shared" ref="AH352:AH357" si="735">BurdenUnc*L352</f>
        <v>6.8358729036444551E-3</v>
      </c>
      <c r="AI352" s="4">
        <f t="shared" si="721"/>
        <v>1.7474030623817419E-3</v>
      </c>
      <c r="AJ352" s="4">
        <f t="shared" si="722"/>
        <v>5.0000000000000001E-4</v>
      </c>
      <c r="AK352" s="21">
        <f>VLOOKUP($D352,Uncertainties!$B$35:$D$41,3,FALSE)</f>
        <v>4.363323129985941E-3</v>
      </c>
      <c r="AL352" s="21"/>
      <c r="AM352" s="369">
        <f>SQRT((VLOOKUP($A352,'5 A data'!$A$5:$U$1148,7,FALSE)*mutual_ind)^2+(aux_CT_phase*J352)^2)</f>
        <v>3.4034442727148037E-3</v>
      </c>
      <c r="AN352" s="29">
        <f t="shared" si="723"/>
        <v>1.624667222844043E-2</v>
      </c>
      <c r="AO352" s="14">
        <f t="shared" si="724"/>
        <v>13.451690136175701</v>
      </c>
      <c r="AP352" s="27">
        <f t="shared" si="725"/>
        <v>2.1462891398450967</v>
      </c>
      <c r="AS352" s="27">
        <f>VLOOKUP($B352,TwoStageCT!$A$10:$H$72,5,FALSE)</f>
        <v>38.265350164989712</v>
      </c>
      <c r="AT352" s="27">
        <f>VLOOKUP($B352,TwoStageCT!$A$10:$H$72,8,FALSE)</f>
        <v>16.586629386739094</v>
      </c>
    </row>
    <row r="353" spans="1:46" x14ac:dyDescent="0.2">
      <c r="A353" s="409">
        <v>461</v>
      </c>
      <c r="B353" s="5" t="str">
        <f>B349&amp;D353</f>
        <v>120/20020</v>
      </c>
      <c r="C353" s="19">
        <f>VLOOKUP($A353,'5 A data'!$A$5:$U$650,3,FALSE)</f>
        <v>0.21600059637204713</v>
      </c>
      <c r="D353" s="163">
        <f>ROUND(VLOOKUP($A353,'5 A data'!$A$5:$U$650,9,FALSE)/10,0)*10</f>
        <v>20</v>
      </c>
      <c r="E353" s="23">
        <f t="shared" si="726"/>
        <v>0.99936709902044762</v>
      </c>
      <c r="F353" s="23">
        <f t="shared" si="727"/>
        <v>1.0011822386327505</v>
      </c>
      <c r="G353" s="486">
        <f>VLOOKUP(B353,TwoStageCT!A$10:H$72,3,FALSE)/10000</f>
        <v>3.1280516301103777E-5</v>
      </c>
      <c r="H353" s="486">
        <f>VLOOKUP(B353,TwoStageCT!A$10:H$72,6,FALSE)/10000</f>
        <v>4.5493238991726806E-6</v>
      </c>
      <c r="I353" s="19">
        <f>VLOOKUP($A353,'5 A data'!$A$5:$U$650,10,FALSE)</f>
        <v>-0.84399999999999997</v>
      </c>
      <c r="J353" s="32">
        <f>VLOOKUP($A353,'5 A data'!$A$5:$U$650,11,FALSE)</f>
        <v>0.37524578917878082</v>
      </c>
      <c r="K353" s="22">
        <f t="shared" si="728"/>
        <v>-0.68899999999999995</v>
      </c>
      <c r="L353" s="22">
        <f t="shared" si="729"/>
        <v>0.1367174580728891</v>
      </c>
      <c r="M353" s="22">
        <f t="shared" si="730"/>
        <v>-0.84343455105695664</v>
      </c>
      <c r="N353" s="22">
        <f t="shared" si="731"/>
        <v>0.37569396857142406</v>
      </c>
      <c r="O353" s="20"/>
      <c r="P353" s="634">
        <f>VLOOKUP(B353,TwoStageCT!A$10:H$72,4,FALSE)/10000</f>
        <v>4.17832023036102E-6</v>
      </c>
      <c r="Q353" s="364">
        <f>VLOOKUP($A353,'5 A data'!$A$5:$U$650,7,FALSE)*slidewire_res</f>
        <v>2E-3</v>
      </c>
      <c r="R353" s="347">
        <f t="shared" si="714"/>
        <v>-1.5599999999999992E-2</v>
      </c>
      <c r="S353" s="4">
        <v>0</v>
      </c>
      <c r="T353" s="21">
        <f t="shared" si="732"/>
        <v>-3.4450000000000001E-2</v>
      </c>
      <c r="U353" s="29">
        <f t="shared" si="733"/>
        <v>-3.3737382042278267E-3</v>
      </c>
      <c r="V353" s="29">
        <f t="shared" si="715"/>
        <v>5.0000000000000001E-4</v>
      </c>
      <c r="W353" s="23">
        <f>VLOOKUP($D353,Uncertainties!$B$35:$D$41,2,FALSE)</f>
        <v>-1.0000000000000009E-3</v>
      </c>
      <c r="X353" s="23"/>
      <c r="Y353" s="24">
        <f t="shared" si="716"/>
        <v>-6.5447819295032735E-5</v>
      </c>
      <c r="Z353" s="23">
        <f t="shared" si="717"/>
        <v>3.8036809939137592E-2</v>
      </c>
      <c r="AA353" s="25">
        <f t="shared" si="718"/>
        <v>7.1301501146945441</v>
      </c>
      <c r="AB353" s="26">
        <f t="shared" si="719"/>
        <v>2.3373016629955199</v>
      </c>
      <c r="AC353" s="14"/>
      <c r="AD353" s="635">
        <f>VLOOKUP(B353,TwoStageCT!A$10:H$72,7,FALSE)/10000</f>
        <v>1.9770475075939077E-6</v>
      </c>
      <c r="AE353" s="366">
        <f>IF(ABS(VLOOKUP($A353,'5 A data'!$A$5:$U$1148,6,FALSE))&lt;4.5,IF(ABS(VLOOKUP($A353,'5 A data'!$A$5:$U$1148,6,FALSE))&lt;1.25,0.0008,0.002),0.004)*VLOOKUP($A353,'5 A data'!$A$5:$U$1148,7,FALSE)*25*RADIANS(1/60)*100</f>
        <v>5.8177641733144318E-3</v>
      </c>
      <c r="AF353" s="23">
        <f t="shared" si="734"/>
        <v>8.7266462599716373E-3</v>
      </c>
      <c r="AG353" s="29">
        <f t="shared" si="720"/>
        <v>3.756939685714241E-4</v>
      </c>
      <c r="AH353" s="4">
        <f t="shared" si="735"/>
        <v>6.8358729036444551E-3</v>
      </c>
      <c r="AI353" s="4">
        <f t="shared" si="721"/>
        <v>1.5027758742856964E-3</v>
      </c>
      <c r="AJ353" s="4">
        <f t="shared" si="722"/>
        <v>5.0000000000000001E-4</v>
      </c>
      <c r="AK353" s="21">
        <f>VLOOKUP($D353,Uncertainties!$B$35:$D$41,3,FALSE)</f>
        <v>-1.454441043328647E-3</v>
      </c>
      <c r="AL353" s="21"/>
      <c r="AM353" s="369">
        <f>SQRT((VLOOKUP($A353,'5 A data'!$A$5:$U$1148,7,FALSE)*mutual_ind)^2+(aux_CT_phase*J353)^2)</f>
        <v>3.4026653370675028E-3</v>
      </c>
      <c r="AN353" s="29">
        <f t="shared" si="723"/>
        <v>1.3155717715785442E-2</v>
      </c>
      <c r="AO353" s="14">
        <f t="shared" si="724"/>
        <v>16.157061096851589</v>
      </c>
      <c r="AP353" s="27">
        <f t="shared" si="725"/>
        <v>2.1133704443185488</v>
      </c>
      <c r="AS353" s="27">
        <f>VLOOKUP($B353,TwoStageCT!$A$10:$H$72,5,FALSE)</f>
        <v>36.657700403051521</v>
      </c>
      <c r="AT353" s="27">
        <f>VLOOKUP($B353,TwoStageCT!$A$10:$H$72,8,FALSE)</f>
        <v>53.09445811850042</v>
      </c>
    </row>
    <row r="354" spans="1:46" x14ac:dyDescent="0.2">
      <c r="A354" s="409">
        <v>462</v>
      </c>
      <c r="B354" s="5" t="str">
        <f>B349&amp;D354</f>
        <v>120/20040</v>
      </c>
      <c r="C354" s="19">
        <f>VLOOKUP($A354,'5 A data'!$A$5:$U$650,3,FALSE)</f>
        <v>0.21600059637204713</v>
      </c>
      <c r="D354" s="163">
        <f>ROUND(VLOOKUP($A354,'5 A data'!$A$5:$U$650,9,FALSE)/10,0)*10</f>
        <v>40</v>
      </c>
      <c r="E354" s="23">
        <f t="shared" si="726"/>
        <v>0.99936709902044762</v>
      </c>
      <c r="F354" s="23">
        <f t="shared" si="727"/>
        <v>1.0011822386327505</v>
      </c>
      <c r="G354" s="486">
        <f>VLOOKUP(B354,TwoStageCT!A$10:H$72,3,FALSE)/10000</f>
        <v>2.5200167333853628E-5</v>
      </c>
      <c r="H354" s="486">
        <f>VLOOKUP(B354,TwoStageCT!A$10:H$72,6,FALSE)/10000</f>
        <v>5.7416420558101514E-6</v>
      </c>
      <c r="I354" s="19">
        <f>VLOOKUP($A354,'5 A data'!$A$5:$U$650,10,FALSE)</f>
        <v>-0.76600000000000001</v>
      </c>
      <c r="J354" s="32">
        <f>VLOOKUP($A354,'5 A data'!$A$5:$U$650,11,FALSE)</f>
        <v>0.33161255787892263</v>
      </c>
      <c r="K354" s="22">
        <f t="shared" si="728"/>
        <v>-0.628</v>
      </c>
      <c r="L354" s="22">
        <f t="shared" si="729"/>
        <v>0.12653637076958893</v>
      </c>
      <c r="M354" s="22">
        <f t="shared" si="730"/>
        <v>-0.76548999768232906</v>
      </c>
      <c r="N354" s="22">
        <f t="shared" si="731"/>
        <v>0.33201034469800811</v>
      </c>
      <c r="O354" s="20"/>
      <c r="P354" s="634">
        <f>VLOOKUP(B354,TwoStageCT!A$10:H$72,4,FALSE)/10000</f>
        <v>3.3964590328801363E-6</v>
      </c>
      <c r="Q354" s="58">
        <f>VLOOKUP($A354,'5 A data'!$A$5:$U$650,7,FALSE)*slidewire_res</f>
        <v>2E-3</v>
      </c>
      <c r="R354" s="347">
        <f t="shared" si="714"/>
        <v>-8.8000000000000075E-3</v>
      </c>
      <c r="S354" s="4">
        <v>0</v>
      </c>
      <c r="T354" s="21">
        <f t="shared" si="732"/>
        <v>-3.1400000000000004E-2</v>
      </c>
      <c r="U354" s="29">
        <f t="shared" si="733"/>
        <v>-3.0619599907293162E-3</v>
      </c>
      <c r="V354" s="29">
        <f t="shared" si="715"/>
        <v>5.0000000000000001E-4</v>
      </c>
      <c r="W354" s="23">
        <f>VLOOKUP($D354,Uncertainties!$B$35:$D$41,2,FALSE)</f>
        <v>-1.0000000000000009E-3</v>
      </c>
      <c r="X354" s="23"/>
      <c r="Y354" s="24">
        <f t="shared" si="716"/>
        <v>-5.93993241469136E-5</v>
      </c>
      <c r="Z354" s="23">
        <f t="shared" si="717"/>
        <v>3.2833354059560692E-2</v>
      </c>
      <c r="AA354" s="25">
        <f t="shared" si="718"/>
        <v>5.9401191855225681</v>
      </c>
      <c r="AB354" s="26">
        <f t="shared" si="719"/>
        <v>2.4292724308731097</v>
      </c>
      <c r="AC354" s="14"/>
      <c r="AD354" s="635">
        <f>VLOOKUP(B354,TwoStageCT!A$10:H$72,7,FALSE)/10000</f>
        <v>1.6849048737447556E-6</v>
      </c>
      <c r="AE354" s="366">
        <f>IF(ABS(VLOOKUP($A354,'5 A data'!$A$5:$U$1148,6,FALSE))&lt;4.5,IF(ABS(VLOOKUP($A354,'5 A data'!$A$5:$U$1148,6,FALSE))&lt;1.25,0.0008,0.002),0.004)*VLOOKUP($A354,'5 A data'!$A$5:$U$1148,7,FALSE)*25*RADIANS(1/60)*100</f>
        <v>5.8177641733144318E-3</v>
      </c>
      <c r="AF354" s="23">
        <f t="shared" si="734"/>
        <v>9.3084226773030854E-3</v>
      </c>
      <c r="AG354" s="29">
        <f t="shared" si="720"/>
        <v>3.3201034469800813E-4</v>
      </c>
      <c r="AH354" s="4">
        <f t="shared" si="735"/>
        <v>6.3268185384794465E-3</v>
      </c>
      <c r="AI354" s="4">
        <f t="shared" si="721"/>
        <v>1.3280413787920325E-3</v>
      </c>
      <c r="AJ354" s="4">
        <f t="shared" si="722"/>
        <v>5.0000000000000001E-4</v>
      </c>
      <c r="AK354" s="21">
        <f>VLOOKUP($D354,Uncertainties!$B$35:$D$41,3,FALSE)</f>
        <v>-2.908882086657183E-3</v>
      </c>
      <c r="AL354" s="21"/>
      <c r="AM354" s="369">
        <f>SQRT((VLOOKUP($A354,'5 A data'!$A$5:$U$1148,7,FALSE)*mutual_ind)^2+(aux_CT_phase*J354)^2)</f>
        <v>3.4021806557806415E-3</v>
      </c>
      <c r="AN354" s="29">
        <f t="shared" si="723"/>
        <v>1.3515994279178885E-2</v>
      </c>
      <c r="AO354" s="14">
        <f t="shared" si="724"/>
        <v>16.011757089537301</v>
      </c>
      <c r="AP354" s="27">
        <f t="shared" si="725"/>
        <v>2.1148378870262285</v>
      </c>
      <c r="AS354" s="27">
        <f>VLOOKUP($B354,TwoStageCT!$A$10:$H$72,5,FALSE)</f>
        <v>38.659909732018328</v>
      </c>
      <c r="AT354" s="27">
        <f>VLOOKUP($B354,TwoStageCT!$A$10:$H$72,8,FALSE)</f>
        <v>52.499330597885681</v>
      </c>
    </row>
    <row r="355" spans="1:46" x14ac:dyDescent="0.2">
      <c r="A355" s="409">
        <v>463</v>
      </c>
      <c r="B355" s="5" t="str">
        <f>B349&amp;D355</f>
        <v>120/20060</v>
      </c>
      <c r="C355" s="19">
        <f>VLOOKUP($A355,'5 A data'!$A$5:$U$650,3,FALSE)</f>
        <v>0.21600059637204713</v>
      </c>
      <c r="D355" s="163">
        <f>ROUND(VLOOKUP($A355,'5 A data'!$A$5:$U$650,9,FALSE)/10,0)*10</f>
        <v>60</v>
      </c>
      <c r="E355" s="23">
        <f t="shared" si="726"/>
        <v>0.99936709902044762</v>
      </c>
      <c r="F355" s="23">
        <f t="shared" si="727"/>
        <v>1.0011822386327505</v>
      </c>
      <c r="G355" s="486">
        <f>VLOOKUP(B355,TwoStageCT!A$10:H$72,3,FALSE)/10000</f>
        <v>2.195627602528684E-5</v>
      </c>
      <c r="H355" s="486">
        <f>VLOOKUP(B355,TwoStageCT!A$10:H$72,6,FALSE)/10000</f>
        <v>5.5507836163637805E-6</v>
      </c>
      <c r="I355" s="19">
        <f>VLOOKUP($A355,'5 A data'!$A$5:$U$650,10,FALSE)</f>
        <v>-0.72199999999999998</v>
      </c>
      <c r="J355" s="32">
        <f>VLOOKUP($A355,'5 A data'!$A$5:$U$650,11,FALSE)</f>
        <v>0.2850704444924072</v>
      </c>
      <c r="K355" s="22">
        <f t="shared" si="728"/>
        <v>-0.59250000000000003</v>
      </c>
      <c r="L355" s="22">
        <f t="shared" si="729"/>
        <v>9.5993108859688175E-2</v>
      </c>
      <c r="M355" s="22">
        <f t="shared" si="730"/>
        <v>-0.72152108921673785</v>
      </c>
      <c r="N355" s="22">
        <f t="shared" si="731"/>
        <v>0.28541301656855783</v>
      </c>
      <c r="O355" s="20"/>
      <c r="P355" s="634">
        <f>VLOOKUP(B355,TwoStageCT!A$10:H$72,4,FALSE)/10000</f>
        <v>2.9709098248278708E-6</v>
      </c>
      <c r="Q355" s="58">
        <f>VLOOKUP($A355,'5 A data'!$A$5:$U$650,7,FALSE)*slidewire_res</f>
        <v>2E-3</v>
      </c>
      <c r="R355" s="347">
        <f t="shared" si="714"/>
        <v>-1.319999999999999E-2</v>
      </c>
      <c r="S355" s="4">
        <v>0</v>
      </c>
      <c r="T355" s="21">
        <f t="shared" si="732"/>
        <v>-2.9625000000000002E-2</v>
      </c>
      <c r="U355" s="29">
        <f t="shared" si="733"/>
        <v>-2.8860843568669515E-3</v>
      </c>
      <c r="V355" s="29">
        <f t="shared" si="715"/>
        <v>5.0000000000000001E-4</v>
      </c>
      <c r="W355" s="23">
        <f>VLOOKUP($D355,Uncertainties!$B$35:$D$41,2,FALSE)</f>
        <v>-1.0000000000000009E-3</v>
      </c>
      <c r="X355" s="23"/>
      <c r="Y355" s="24">
        <f t="shared" si="716"/>
        <v>-5.5987352524897672E-5</v>
      </c>
      <c r="Z355" s="23">
        <f t="shared" si="717"/>
        <v>3.2641434578230474E-2</v>
      </c>
      <c r="AA355" s="25">
        <f t="shared" si="718"/>
        <v>7.0888852563725813</v>
      </c>
      <c r="AB355" s="26">
        <f t="shared" si="719"/>
        <v>2.339874551028593</v>
      </c>
      <c r="AC355" s="14"/>
      <c r="AD355" s="635">
        <f>VLOOKUP(B355,TwoStageCT!A$10:H$72,7,FALSE)/10000</f>
        <v>1.6017059195029239E-6</v>
      </c>
      <c r="AE355" s="366">
        <f>IF(ABS(VLOOKUP($A355,'5 A data'!$A$5:$U$1148,6,FALSE))&lt;4.5,IF(ABS(VLOOKUP($A355,'5 A data'!$A$5:$U$1148,6,FALSE))&lt;1.25,0.0008,0.002),0.004)*VLOOKUP($A355,'5 A data'!$A$5:$U$1148,7,FALSE)*25*RADIANS(1/60)*100</f>
        <v>5.8177641733144318E-3</v>
      </c>
      <c r="AF355" s="23">
        <f t="shared" si="734"/>
        <v>1.6871516102611863E-2</v>
      </c>
      <c r="AG355" s="29">
        <f t="shared" si="720"/>
        <v>2.8541301656855782E-4</v>
      </c>
      <c r="AH355" s="4">
        <f t="shared" si="735"/>
        <v>4.7996554429844095E-3</v>
      </c>
      <c r="AI355" s="4">
        <f t="shared" si="721"/>
        <v>1.1416520662742313E-3</v>
      </c>
      <c r="AJ355" s="4">
        <f t="shared" si="722"/>
        <v>5.0000000000000001E-4</v>
      </c>
      <c r="AK355" s="21">
        <f>VLOOKUP($D355,Uncertainties!$B$35:$D$41,3,FALSE)</f>
        <v>-2.908882086657183E-3</v>
      </c>
      <c r="AL355" s="21"/>
      <c r="AM355" s="369">
        <f>SQRT((VLOOKUP($A355,'5 A data'!$A$5:$U$1148,7,FALSE)*mutual_ind)^2+(aux_CT_phase*J355)^2)</f>
        <v>3.4017295542608547E-3</v>
      </c>
      <c r="AN355" s="29">
        <f t="shared" si="723"/>
        <v>1.9057788945695819E-2</v>
      </c>
      <c r="AO355" s="14">
        <f t="shared" si="724"/>
        <v>7.9595483042887878</v>
      </c>
      <c r="AP355" s="27">
        <f t="shared" si="725"/>
        <v>2.29218337671329</v>
      </c>
      <c r="AS355" s="27">
        <f>VLOOKUP($B355,TwoStageCT!$A$10:$H$72,5,FALSE)</f>
        <v>42.291164682130272</v>
      </c>
      <c r="AT355" s="27">
        <f>VLOOKUP($B355,TwoStageCT!$A$10:$H$72,8,FALSE)</f>
        <v>48.978667479860043</v>
      </c>
    </row>
    <row r="356" spans="1:46" x14ac:dyDescent="0.2">
      <c r="A356" s="409">
        <v>464</v>
      </c>
      <c r="B356" s="5" t="str">
        <f>B349&amp;D356</f>
        <v>120/200100</v>
      </c>
      <c r="C356" s="19">
        <f>VLOOKUP($A356,'5 A data'!$A$5:$U$650,3,FALSE)</f>
        <v>0.21600059637204713</v>
      </c>
      <c r="D356" s="164">
        <f>ROUND(VLOOKUP($A356,'5 A data'!$A$5:$U$650,9,FALSE)/10,0)*10</f>
        <v>100</v>
      </c>
      <c r="E356" s="23">
        <f t="shared" si="726"/>
        <v>0.99936709902044762</v>
      </c>
      <c r="F356" s="23">
        <f t="shared" si="727"/>
        <v>1.0011822386327505</v>
      </c>
      <c r="G356" s="486">
        <f>VLOOKUP(B356,TwoStageCT!A$10:H$72,3,FALSE)/10000</f>
        <v>1.6881396356939836E-5</v>
      </c>
      <c r="H356" s="486">
        <f>VLOOKUP(B356,TwoStageCT!A$10:H$72,6,FALSE)/10000</f>
        <v>7.3590724152435355E-6</v>
      </c>
      <c r="I356" s="19">
        <f>VLOOKUP($A356,'5 A data'!$A$5:$U$650,10,FALSE)</f>
        <v>-0.65600000000000003</v>
      </c>
      <c r="J356" s="32">
        <f>VLOOKUP($A356,'5 A data'!$A$5:$U$650,11,FALSE)</f>
        <v>0.2007128639793479</v>
      </c>
      <c r="K356" s="22">
        <f t="shared" si="728"/>
        <v>-0.53500000000000003</v>
      </c>
      <c r="L356" s="22">
        <f t="shared" si="729"/>
        <v>2.472549773658636E-2</v>
      </c>
      <c r="M356" s="22">
        <f t="shared" si="730"/>
        <v>-0.65556793556105675</v>
      </c>
      <c r="N356" s="22">
        <f t="shared" si="731"/>
        <v>0.20095751355364952</v>
      </c>
      <c r="O356" s="20"/>
      <c r="P356" s="634">
        <f>VLOOKUP(B356,TwoStageCT!A$10:H$72,4,FALSE)/10000</f>
        <v>2.4131313466023584E-6</v>
      </c>
      <c r="Q356" s="58">
        <f>VLOOKUP($A356,'5 A data'!$A$5:$U$650,7,FALSE)*slidewire_res</f>
        <v>2E-3</v>
      </c>
      <c r="R356" s="347">
        <f t="shared" si="714"/>
        <v>-6.4000000000000064E-3</v>
      </c>
      <c r="S356" s="4">
        <v>0</v>
      </c>
      <c r="T356" s="21">
        <f t="shared" si="732"/>
        <v>-2.6750000000000003E-2</v>
      </c>
      <c r="U356" s="29">
        <f t="shared" si="733"/>
        <v>-2.6222717422442273E-3</v>
      </c>
      <c r="V356" s="29">
        <f t="shared" si="715"/>
        <v>5.0000000000000001E-4</v>
      </c>
      <c r="W356" s="23">
        <f>VLOOKUP($D356,Uncertainties!$B$35:$D$41,2,FALSE)</f>
        <v>1.999999999999974E-3</v>
      </c>
      <c r="X356" s="23"/>
      <c r="Y356" s="24">
        <f t="shared" si="716"/>
        <v>-5.0869395091873792E-5</v>
      </c>
      <c r="Z356" s="23">
        <f t="shared" si="717"/>
        <v>2.7778614123255548E-2</v>
      </c>
      <c r="AA356" s="25">
        <f t="shared" si="718"/>
        <v>5.7947874536222423</v>
      </c>
      <c r="AB356" s="26">
        <f t="shared" si="719"/>
        <v>2.4437323169243816</v>
      </c>
      <c r="AC356" s="14"/>
      <c r="AD356" s="635">
        <f>VLOOKUP(B356,TwoStageCT!A$10:H$72,7,FALSE)/10000</f>
        <v>1.6933288916776063E-6</v>
      </c>
      <c r="AE356" s="366">
        <f>IF(ABS(VLOOKUP($A356,'5 A data'!$A$5:$U$1148,6,FALSE))&lt;4.5,IF(ABS(VLOOKUP($A356,'5 A data'!$A$5:$U$1148,6,FALSE))&lt;1.25,0.0008,0.002),0.004)*VLOOKUP($A356,'5 A data'!$A$5:$U$1148,7,FALSE)*25*RADIANS(1/60)*100</f>
        <v>2.9088820866572159E-3</v>
      </c>
      <c r="AF356" s="23">
        <f t="shared" si="734"/>
        <v>5.2359877559829907E-3</v>
      </c>
      <c r="AG356" s="29">
        <f t="shared" si="720"/>
        <v>2.0095751355364951E-4</v>
      </c>
      <c r="AH356" s="4">
        <f t="shared" si="735"/>
        <v>1.2362748868293182E-3</v>
      </c>
      <c r="AI356" s="4">
        <f t="shared" si="721"/>
        <v>8.0383005421459804E-4</v>
      </c>
      <c r="AJ356" s="4">
        <f t="shared" si="722"/>
        <v>5.0000000000000001E-4</v>
      </c>
      <c r="AK356" s="21">
        <f>VLOOKUP($D356,Uncertainties!$B$35:$D$41,3,FALSE)</f>
        <v>-2.9088820866572385E-3</v>
      </c>
      <c r="AL356" s="21"/>
      <c r="AM356" s="369">
        <f>SQRT((VLOOKUP($A356,'5 A data'!$A$5:$U$1148,7,FALSE)*mutual_ind)^2+(aux_CT_phase*J356)^2)</f>
        <v>3.4010853807934162E-3</v>
      </c>
      <c r="AN356" s="29">
        <f t="shared" si="723"/>
        <v>7.6400945463967257E-3</v>
      </c>
      <c r="AO356" s="14">
        <f t="shared" si="724"/>
        <v>17.234552371578587</v>
      </c>
      <c r="AP356" s="27">
        <f t="shared" si="725"/>
        <v>2.1033048182782719</v>
      </c>
      <c r="AS356" s="27">
        <f>VLOOKUP($B356,TwoStageCT!$A$10:$H$72,5,FALSE)</f>
        <v>59.567261398457461</v>
      </c>
      <c r="AT356" s="27">
        <f>VLOOKUP($B356,TwoStageCT!$A$10:$H$72,8,FALSE)</f>
        <v>45.732629829898706</v>
      </c>
    </row>
    <row r="357" spans="1:46" x14ac:dyDescent="0.2">
      <c r="A357" s="409">
        <v>465</v>
      </c>
      <c r="B357" s="5" t="str">
        <f>B349&amp;D357</f>
        <v>120/200120</v>
      </c>
      <c r="C357" s="19">
        <f>VLOOKUP($A357,'5 A data'!$A$5:$U$650,3,FALSE)</f>
        <v>0.21600059637204713</v>
      </c>
      <c r="D357" s="164">
        <f>ROUND(VLOOKUP($A357,'5 A data'!$A$5:$U$650,9,FALSE)/10,0)*10</f>
        <v>120</v>
      </c>
      <c r="E357" s="23">
        <f t="shared" si="726"/>
        <v>0.99936709902044762</v>
      </c>
      <c r="F357" s="23">
        <f t="shared" si="727"/>
        <v>1.0011822386327505</v>
      </c>
      <c r="G357" s="486">
        <f>VLOOKUP(B357,TwoStageCT!A$10:H$72,3,FALSE)/10000</f>
        <v>1.5213305302217845E-5</v>
      </c>
      <c r="H357" s="486">
        <f>VLOOKUP(B357,TwoStageCT!A$10:H$72,6,FALSE)/10000</f>
        <v>7.5885012454326174E-6</v>
      </c>
      <c r="I357" s="19">
        <f>VLOOKUP($A357,'5 A data'!$A$5:$U$650,10,FALSE)</f>
        <v>-0.624</v>
      </c>
      <c r="J357" s="32">
        <f>VLOOKUP($A357,'5 A data'!$A$5:$U$650,11,FALSE)</f>
        <v>0.17453292519943295</v>
      </c>
      <c r="K357" s="22">
        <f t="shared" si="728"/>
        <v>-0.505</v>
      </c>
      <c r="L357" s="22">
        <f t="shared" si="729"/>
        <v>2.908882086657183E-3</v>
      </c>
      <c r="M357" s="22">
        <f t="shared" si="730"/>
        <v>-0.62358985648345711</v>
      </c>
      <c r="N357" s="22">
        <f t="shared" si="731"/>
        <v>0.17474685326753611</v>
      </c>
      <c r="O357" s="20"/>
      <c r="P357" s="634">
        <f>VLOOKUP(B357,TwoStageCT!A$10:H$72,4,FALSE)/10000</f>
        <v>2.2681305202526645E-6</v>
      </c>
      <c r="Q357" s="58">
        <f>VLOOKUP($A357,'5 A data'!$A$5:$U$650,7,FALSE)*slidewire_res</f>
        <v>2E-3</v>
      </c>
      <c r="R357" s="347">
        <f t="shared" si="714"/>
        <v>0</v>
      </c>
      <c r="S357" s="4">
        <v>0</v>
      </c>
      <c r="T357" s="21">
        <f t="shared" si="732"/>
        <v>-2.5250000000000002E-2</v>
      </c>
      <c r="U357" s="29">
        <f t="shared" si="733"/>
        <v>-2.4943594259338284E-3</v>
      </c>
      <c r="V357" s="29">
        <f t="shared" si="715"/>
        <v>5.0000000000000001E-4</v>
      </c>
      <c r="W357" s="23">
        <f>VLOOKUP($D357,Uncertainties!$B$35:$D$41,2,FALSE)</f>
        <v>-1.0000000000000009E-3</v>
      </c>
      <c r="X357" s="23"/>
      <c r="Y357" s="24">
        <f t="shared" si="716"/>
        <v>-4.8387961184953118E-5</v>
      </c>
      <c r="Z357" s="23">
        <f t="shared" si="717"/>
        <v>2.5476198214901467E-2</v>
      </c>
      <c r="AA357" s="25">
        <f t="shared" si="718"/>
        <v>5.1808856535330081</v>
      </c>
      <c r="AB357" s="26">
        <f t="shared" si="719"/>
        <v>2.5163179032621943</v>
      </c>
      <c r="AC357" s="14"/>
      <c r="AD357" s="635">
        <f>VLOOKUP(B357,TwoStageCT!A$10:H$72,7,FALSE)/10000</f>
        <v>1.7092397901526349E-6</v>
      </c>
      <c r="AE357" s="366">
        <f>IF(ABS(VLOOKUP($A357,'5 A data'!$A$5:$U$1148,6,FALSE))&lt;4.5,IF(ABS(VLOOKUP($A357,'5 A data'!$A$5:$U$1148,6,FALSE))&lt;1.25,0.0008,0.002),0.004)*VLOOKUP($A357,'5 A data'!$A$5:$U$1148,7,FALSE)*25*RADIANS(1/60)*100</f>
        <v>2.9088820866572159E-3</v>
      </c>
      <c r="AF357" s="23">
        <f t="shared" si="734"/>
        <v>0</v>
      </c>
      <c r="AG357" s="29">
        <f t="shared" si="720"/>
        <v>1.7474685326753612E-4</v>
      </c>
      <c r="AH357" s="4">
        <f t="shared" si="735"/>
        <v>1.4544410433285916E-4</v>
      </c>
      <c r="AI357" s="4">
        <f t="shared" si="721"/>
        <v>6.9898741307014448E-4</v>
      </c>
      <c r="AJ357" s="4">
        <f t="shared" si="722"/>
        <v>5.0000000000000001E-4</v>
      </c>
      <c r="AK357" s="21">
        <f>VLOOKUP($D357,Uncertainties!$B$35:$D$41,3,FALSE)</f>
        <v>1.4544410433285915E-3</v>
      </c>
      <c r="AL357" s="21"/>
      <c r="AM357" s="369">
        <f>SQRT((VLOOKUP($A357,'5 A data'!$A$5:$U$1148,7,FALSE)*mutual_ind)^2+(aux_CT_phase*J357)^2)</f>
        <v>3.4009309366050738E-3</v>
      </c>
      <c r="AN357" s="29">
        <f t="shared" si="723"/>
        <v>4.7889040242517604E-3</v>
      </c>
      <c r="AO357" s="14">
        <f t="shared" si="724"/>
        <v>12.675257437816581</v>
      </c>
      <c r="AP357" s="27">
        <f t="shared" si="725"/>
        <v>2.1585486752071761</v>
      </c>
      <c r="AS357" s="27">
        <f>VLOOKUP($B357,TwoStageCT!$A$10:$H$72,5,FALSE)</f>
        <v>68.00069900375496</v>
      </c>
      <c r="AT357" s="27">
        <f>VLOOKUP($B357,TwoStageCT!$A$10:$H$72,8,FALSE)</f>
        <v>47.345132453902309</v>
      </c>
    </row>
    <row r="358" spans="1:46" x14ac:dyDescent="0.2">
      <c r="A358" s="409">
        <v>466</v>
      </c>
      <c r="B358" s="5"/>
      <c r="C358" s="19"/>
      <c r="D358" s="19"/>
      <c r="E358" s="23"/>
      <c r="F358" s="23"/>
      <c r="G358" s="347"/>
      <c r="H358" s="347"/>
      <c r="I358" s="19"/>
      <c r="J358" s="32"/>
      <c r="K358" s="31"/>
      <c r="L358" s="31"/>
      <c r="M358" s="638" t="s">
        <v>93</v>
      </c>
      <c r="N358" s="638"/>
      <c r="O358" s="20"/>
      <c r="P358" s="634"/>
      <c r="Q358" s="58"/>
      <c r="R358" s="347"/>
      <c r="S358" s="4"/>
      <c r="T358" s="4"/>
      <c r="U358" s="29"/>
      <c r="V358" s="29"/>
      <c r="W358" s="29"/>
      <c r="X358" s="29"/>
      <c r="Y358" s="24"/>
      <c r="Z358" s="29"/>
      <c r="AA358" s="25"/>
      <c r="AB358" s="26"/>
      <c r="AC358" s="14"/>
      <c r="AD358" s="635"/>
      <c r="AE358" s="35"/>
      <c r="AF358" s="28"/>
      <c r="AG358" s="29"/>
      <c r="AH358" s="4"/>
      <c r="AI358" s="4"/>
      <c r="AJ358" s="4"/>
      <c r="AK358" s="4"/>
      <c r="AL358" s="4"/>
      <c r="AM358" s="24"/>
      <c r="AN358" s="29"/>
      <c r="AO358" s="14"/>
      <c r="AP358" s="27"/>
    </row>
    <row r="359" spans="1:46" x14ac:dyDescent="0.2">
      <c r="A359" s="409">
        <v>467</v>
      </c>
      <c r="B359" s="5" t="str">
        <f>B349&amp;D359</f>
        <v>120/2005</v>
      </c>
      <c r="C359" s="19">
        <f>VLOOKUP($A359,'5 A data'!$A$5:$U$650,3,FALSE)</f>
        <v>2.1000057980615688E-2</v>
      </c>
      <c r="D359" s="19">
        <f>ROUND(VLOOKUP($A359,'5 A data'!$A$5:$U$650,9,FALSE),0)</f>
        <v>5</v>
      </c>
      <c r="E359" s="23">
        <f t="shared" si="726"/>
        <v>0.99936709902044762</v>
      </c>
      <c r="F359" s="23">
        <f t="shared" si="727"/>
        <v>1.0011822386327505</v>
      </c>
      <c r="G359" s="486">
        <f>VLOOKUP(B359,TwoStageCT!A$10:H$72,3,FALSE)/10000</f>
        <v>3.6805932694608759E-5</v>
      </c>
      <c r="H359" s="486">
        <f>VLOOKUP(B359,TwoStageCT!A$10:H$72,6,FALSE)/10000</f>
        <v>4.6965346060309593E-6</v>
      </c>
      <c r="I359" s="19">
        <f>VLOOKUP($A359,'5 A data'!$A$5:$U$650,10,FALSE)</f>
        <v>-0.224</v>
      </c>
      <c r="J359" s="32">
        <f>VLOOKUP($A359,'5 A data'!$A$5:$U$650,11,FALSE)</f>
        <v>0.3926990816987242</v>
      </c>
      <c r="K359" s="31"/>
      <c r="L359" s="31"/>
      <c r="M359" s="31">
        <f>I359*E359+G359</f>
        <v>-0.22382142424788565</v>
      </c>
      <c r="N359" s="31">
        <f>J359*F359+H359</f>
        <v>0.39316804225876012</v>
      </c>
      <c r="O359" s="20"/>
      <c r="P359" s="634">
        <f>VLOOKUP(B359,TwoStageCT!A$10:H$72,4,FALSE)/10000</f>
        <v>6.4429594675743464E-6</v>
      </c>
      <c r="Q359" s="58">
        <f>VLOOKUP($A359,'5 A data'!$A$5:$U$650,7,FALSE)*slidewire_res</f>
        <v>1E-3</v>
      </c>
      <c r="R359" s="347">
        <f t="shared" ref="R359:R365" si="736">current_coef*(I359-I360)*IF(I360=0,0,1)</f>
        <v>-7.8000000000000014E-3</v>
      </c>
      <c r="S359" s="4">
        <v>0</v>
      </c>
      <c r="T359" s="4">
        <f>BurdenUnc*K351</f>
        <v>-4.2800000000000005E-2</v>
      </c>
      <c r="U359" s="29">
        <f t="shared" ref="U359:U365" si="737">0.004*M359</f>
        <v>-8.9528569699154261E-4</v>
      </c>
      <c r="V359" s="29">
        <f t="shared" si="715"/>
        <v>5.0000000000000001E-4</v>
      </c>
      <c r="W359" s="23">
        <f>VLOOKUP($D359,Uncertainties!$B$35:$D$41,2,FALSE)</f>
        <v>5.0000000000000044E-3</v>
      </c>
      <c r="X359" s="23"/>
      <c r="Y359" s="24">
        <f t="shared" ref="Y359:Y365" si="738">I359*aux_CT_ratio</f>
        <v>-1.7370037348444708E-5</v>
      </c>
      <c r="Z359" s="23">
        <f t="shared" ref="Z359:Z365" si="739">SQRT(SUMSQ(P359:Y359))</f>
        <v>4.3814745003356602E-2</v>
      </c>
      <c r="AA359" s="25">
        <f t="shared" ref="AA359:AA365" si="740">DoF_A(P359:Y359,$P$7:$Y$7)</f>
        <v>5.484849932898288</v>
      </c>
      <c r="AB359" s="26">
        <f t="shared" ref="AB359:AB365" si="741">CoverFactor(AA359)</f>
        <v>2.4778089392323666</v>
      </c>
      <c r="AC359" s="14"/>
      <c r="AD359" s="635">
        <f>VLOOKUP(B359,TwoStageCT!A$10:H$72,7,FALSE)/10000</f>
        <v>4.6788986298833412E-6</v>
      </c>
      <c r="AE359" s="366">
        <f>IF(ABS(VLOOKUP($A359,'5 A data'!$A$5:$U$1148,6,FALSE))&lt;4.5,IF(ABS(VLOOKUP($A359,'5 A data'!$A$5:$U$1148,6,FALSE))&lt;1.25,0.0008,0.002),0.004)*VLOOKUP($A359,'5 A data'!$A$5:$U$1148,7,FALSE)*25*RADIANS(1/60)*100</f>
        <v>2.9088820866572159E-3</v>
      </c>
      <c r="AF359" s="23">
        <f t="shared" ref="AF359:AF365" si="742">current_coef*(J359-J360)*IF(J360=0,0,1)</f>
        <v>1.8616845354606181E-2</v>
      </c>
      <c r="AG359" s="29">
        <f t="shared" ref="AG359:AG365" si="743">0.001*N359</f>
        <v>3.9316804225876013E-4</v>
      </c>
      <c r="AH359" s="4">
        <f>BurdenUnc*L351</f>
        <v>5.8177641733144301E-3</v>
      </c>
      <c r="AI359" s="4">
        <f t="shared" ref="AI359:AI365" si="744">0.004*N359</f>
        <v>1.5726721690350405E-3</v>
      </c>
      <c r="AJ359" s="4">
        <f t="shared" si="722"/>
        <v>5.0000000000000001E-4</v>
      </c>
      <c r="AK359" s="21">
        <f>VLOOKUP($D359,Uncertainties!$B$35:$D$41,3,FALSE)</f>
        <v>-1.1635528346628732E-2</v>
      </c>
      <c r="AL359" s="21"/>
      <c r="AM359" s="369">
        <f>SQRT((VLOOKUP($A359,'5 A data'!$A$5:$U$1148,7,FALSE)*mutual_ind)^2+(aux_CT_phase*J359)^2)</f>
        <v>1.7050687231449911E-3</v>
      </c>
      <c r="AN359" s="29">
        <f t="shared" ref="AN359:AN365" si="745">SQRT(SUMSQ(AD359:AM359))</f>
        <v>2.3023153257891268E-2</v>
      </c>
      <c r="AO359" s="14">
        <f t="shared" ref="AO359:AO365" si="746">DoF_A(AD359:AM359,$AD$7:$AM$7)</f>
        <v>10.916862131826008</v>
      </c>
      <c r="AP359" s="27">
        <f t="shared" ref="AP359:AP365" si="747">CoverFactor(AO359)</f>
        <v>2.1934201548523</v>
      </c>
      <c r="AS359" s="27">
        <f>VLOOKUP($B359,TwoStageCT!$A$10:$H$72,5,FALSE)</f>
        <v>26.31606241070681</v>
      </c>
      <c r="AT359" s="27">
        <f>VLOOKUP($B359,TwoStageCT!$A$10:$H$72,8,FALSE)</f>
        <v>9.9413455012810044</v>
      </c>
    </row>
    <row r="360" spans="1:46" x14ac:dyDescent="0.2">
      <c r="A360" s="409">
        <v>468</v>
      </c>
      <c r="B360" s="5" t="str">
        <f>B349&amp;D360</f>
        <v>120/20010</v>
      </c>
      <c r="C360" s="19">
        <f>VLOOKUP($A360,'5 A data'!$A$5:$U$650,3,FALSE)</f>
        <v>2.1000057980615688E-2</v>
      </c>
      <c r="D360" s="163">
        <f>ROUND(VLOOKUP($A360,'5 A data'!$A$5:$U$650,9,FALSE)/10,0)*10</f>
        <v>10</v>
      </c>
      <c r="E360" s="23">
        <f t="shared" si="726"/>
        <v>0.99936709902044762</v>
      </c>
      <c r="F360" s="23">
        <f t="shared" si="727"/>
        <v>1.0011822386327505</v>
      </c>
      <c r="G360" s="486">
        <f>VLOOKUP(B360,TwoStageCT!A$10:H$72,3,FALSE)/10000</f>
        <v>3.4690340839935311E-5</v>
      </c>
      <c r="H360" s="486">
        <f>VLOOKUP(B360,TwoStageCT!A$10:H$72,6,FALSE)/10000</f>
        <v>2.6036797087866982E-6</v>
      </c>
      <c r="I360" s="19">
        <f>VLOOKUP($A360,'5 A data'!$A$5:$U$650,10,FALSE)</f>
        <v>-0.185</v>
      </c>
      <c r="J360" s="32">
        <f>VLOOKUP($A360,'5 A data'!$A$5:$U$650,11,FALSE)</f>
        <v>0.29961485492569329</v>
      </c>
      <c r="K360" s="31"/>
      <c r="L360" s="31"/>
      <c r="M360" s="31">
        <f t="shared" ref="M360:M365" si="748">I360*E360+G360</f>
        <v>-0.18484822297794287</v>
      </c>
      <c r="N360" s="31">
        <f t="shared" ref="N360:N365" si="749">J360*F360+H360</f>
        <v>0.29997167486184112</v>
      </c>
      <c r="O360" s="20"/>
      <c r="P360" s="634">
        <f>VLOOKUP(B360,TwoStageCT!A$10:H$72,4,FALSE)/10000</f>
        <v>5.0170517941146892E-6</v>
      </c>
      <c r="Q360" s="58">
        <f>VLOOKUP($A360,'5 A data'!$A$5:$U$650,7,FALSE)*slidewire_res</f>
        <v>1E-3</v>
      </c>
      <c r="R360" s="347">
        <f t="shared" si="736"/>
        <v>-6.0000000000000001E-3</v>
      </c>
      <c r="S360" s="4">
        <v>0</v>
      </c>
      <c r="T360" s="4">
        <f t="shared" ref="T360:T365" si="750">BurdenUnc*K352</f>
        <v>-3.805E-2</v>
      </c>
      <c r="U360" s="29">
        <f t="shared" si="737"/>
        <v>-7.393928919117715E-4</v>
      </c>
      <c r="V360" s="29">
        <f t="shared" si="715"/>
        <v>5.0000000000000001E-4</v>
      </c>
      <c r="W360" s="23">
        <f>VLOOKUP($D360,Uncertainties!$B$35:$D$41,2,FALSE)</f>
        <v>2.5000000000000022E-3</v>
      </c>
      <c r="X360" s="23"/>
      <c r="Y360" s="24">
        <f t="shared" si="738"/>
        <v>-1.4345789774385138E-5</v>
      </c>
      <c r="Z360" s="23">
        <f t="shared" si="739"/>
        <v>3.8624466764229932E-2</v>
      </c>
      <c r="AA360" s="25">
        <f t="shared" si="740"/>
        <v>5.3055375965130676</v>
      </c>
      <c r="AB360" s="26">
        <f t="shared" si="741"/>
        <v>2.4998447393397827</v>
      </c>
      <c r="AC360" s="14"/>
      <c r="AD360" s="635">
        <f>VLOOKUP(B360,TwoStageCT!A$10:H$72,7,FALSE)/10000</f>
        <v>2.600738521505678E-6</v>
      </c>
      <c r="AE360" s="366">
        <f>IF(ABS(VLOOKUP($A360,'5 A data'!$A$5:$U$1148,6,FALSE))&lt;4.5,IF(ABS(VLOOKUP($A360,'5 A data'!$A$5:$U$1148,6,FALSE))&lt;1.25,0.0008,0.002),0.004)*VLOOKUP($A360,'5 A data'!$A$5:$U$1148,7,FALSE)*25*RADIANS(1/60)*100</f>
        <v>2.9088820866572159E-3</v>
      </c>
      <c r="AF360" s="23">
        <f t="shared" si="742"/>
        <v>1.2217304763960313E-2</v>
      </c>
      <c r="AG360" s="29">
        <f t="shared" si="743"/>
        <v>2.9997167486184111E-4</v>
      </c>
      <c r="AH360" s="4">
        <f t="shared" ref="AH360:AH365" si="751">BurdenUnc*L352</f>
        <v>6.8358729036444551E-3</v>
      </c>
      <c r="AI360" s="4">
        <f t="shared" si="744"/>
        <v>1.1998866994473644E-3</v>
      </c>
      <c r="AJ360" s="4">
        <f t="shared" si="722"/>
        <v>5.0000000000000001E-4</v>
      </c>
      <c r="AK360" s="21">
        <f>VLOOKUP($D360,Uncertainties!$B$35:$D$41,3,FALSE)</f>
        <v>4.363323129985941E-3</v>
      </c>
      <c r="AL360" s="21"/>
      <c r="AM360" s="369">
        <f>SQRT((VLOOKUP($A360,'5 A data'!$A$5:$U$1148,7,FALSE)*mutual_ind)^2+(aux_CT_phase*J360)^2)</f>
        <v>1.7030466835145975E-3</v>
      </c>
      <c r="AN360" s="29">
        <f t="shared" si="745"/>
        <v>1.510536208266172E-2</v>
      </c>
      <c r="AO360" s="14">
        <f t="shared" si="746"/>
        <v>10.543199330967866</v>
      </c>
      <c r="AP360" s="27">
        <f t="shared" si="747"/>
        <v>2.2024924264047541</v>
      </c>
      <c r="AS360" s="27">
        <f>VLOOKUP($B360,TwoStageCT!$A$10:$H$72,5,FALSE)</f>
        <v>38.265350164989712</v>
      </c>
      <c r="AT360" s="27">
        <f>VLOOKUP($B360,TwoStageCT!$A$10:$H$72,8,FALSE)</f>
        <v>16.586629386739094</v>
      </c>
    </row>
    <row r="361" spans="1:46" x14ac:dyDescent="0.2">
      <c r="A361" s="409">
        <v>469</v>
      </c>
      <c r="B361" s="5" t="str">
        <f>B349&amp;D361</f>
        <v>120/20020</v>
      </c>
      <c r="C361" s="19">
        <f>VLOOKUP($A361,'5 A data'!$A$5:$U$650,3,FALSE)</f>
        <v>2.1000057980615688E-2</v>
      </c>
      <c r="D361" s="163">
        <f>ROUND(VLOOKUP($A361,'5 A data'!$A$5:$U$650,9,FALSE)/10,0)*10</f>
        <v>20</v>
      </c>
      <c r="E361" s="23">
        <f t="shared" si="726"/>
        <v>0.99936709902044762</v>
      </c>
      <c r="F361" s="23">
        <f t="shared" si="727"/>
        <v>1.0011822386327505</v>
      </c>
      <c r="G361" s="486">
        <f>VLOOKUP(B361,TwoStageCT!A$10:H$72,3,FALSE)/10000</f>
        <v>3.1280516301103777E-5</v>
      </c>
      <c r="H361" s="486">
        <f>VLOOKUP(B361,TwoStageCT!A$10:H$72,6,FALSE)/10000</f>
        <v>4.5493238991726806E-6</v>
      </c>
      <c r="I361" s="19">
        <f>VLOOKUP($A361,'5 A data'!$A$5:$U$650,10,FALSE)</f>
        <v>-0.155</v>
      </c>
      <c r="J361" s="32">
        <f>VLOOKUP($A361,'5 A data'!$A$5:$U$650,11,FALSE)</f>
        <v>0.23852833110589172</v>
      </c>
      <c r="K361" s="31"/>
      <c r="L361" s="31"/>
      <c r="M361" s="31">
        <f t="shared" si="748"/>
        <v>-0.15487061983186828</v>
      </c>
      <c r="N361" s="31">
        <f t="shared" si="749"/>
        <v>0.23881487783782979</v>
      </c>
      <c r="O361" s="20"/>
      <c r="P361" s="634">
        <f>VLOOKUP(B361,TwoStageCT!A$10:H$72,4,FALSE)/10000</f>
        <v>4.17832023036102E-6</v>
      </c>
      <c r="Q361" s="58">
        <f>VLOOKUP($A361,'5 A data'!$A$5:$U$650,7,FALSE)*slidewire_res</f>
        <v>1E-3</v>
      </c>
      <c r="R361" s="347">
        <f t="shared" si="736"/>
        <v>-3.3999999999999976E-3</v>
      </c>
      <c r="S361" s="4">
        <v>0</v>
      </c>
      <c r="T361" s="4">
        <f t="shared" si="750"/>
        <v>-3.4450000000000001E-2</v>
      </c>
      <c r="U361" s="29">
        <f t="shared" si="737"/>
        <v>-6.194824793274732E-4</v>
      </c>
      <c r="V361" s="29">
        <f t="shared" si="715"/>
        <v>5.0000000000000001E-4</v>
      </c>
      <c r="W361" s="23">
        <f>VLOOKUP($D361,Uncertainties!$B$35:$D$41,2,FALSE)</f>
        <v>-1.0000000000000009E-3</v>
      </c>
      <c r="X361" s="23"/>
      <c r="Y361" s="24">
        <f t="shared" si="738"/>
        <v>-1.2019445486647008E-5</v>
      </c>
      <c r="Z361" s="23">
        <f t="shared" si="739"/>
        <v>3.4655395257702996E-2</v>
      </c>
      <c r="AA361" s="25">
        <f t="shared" si="740"/>
        <v>5.1198215811654642</v>
      </c>
      <c r="AB361" s="26">
        <f t="shared" si="741"/>
        <v>2.5247649179443621</v>
      </c>
      <c r="AC361" s="14"/>
      <c r="AD361" s="635">
        <f>VLOOKUP(B361,TwoStageCT!A$10:H$72,7,FALSE)/10000</f>
        <v>1.9770475075939077E-6</v>
      </c>
      <c r="AE361" s="366">
        <f>IF(ABS(VLOOKUP($A361,'5 A data'!$A$5:$U$1148,6,FALSE))&lt;4.5,IF(ABS(VLOOKUP($A361,'5 A data'!$A$5:$U$1148,6,FALSE))&lt;1.25,0.0008,0.002),0.004)*VLOOKUP($A361,'5 A data'!$A$5:$U$1148,7,FALSE)*25*RADIANS(1/60)*100</f>
        <v>2.9088820866572159E-3</v>
      </c>
      <c r="AF361" s="23">
        <f t="shared" si="742"/>
        <v>6.6904287993116048E-3</v>
      </c>
      <c r="AG361" s="29">
        <f t="shared" si="743"/>
        <v>2.3881487783782978E-4</v>
      </c>
      <c r="AH361" s="4">
        <f t="shared" si="751"/>
        <v>6.8358729036444551E-3</v>
      </c>
      <c r="AI361" s="4">
        <f t="shared" si="744"/>
        <v>9.5525951135131911E-4</v>
      </c>
      <c r="AJ361" s="4">
        <f t="shared" si="722"/>
        <v>5.0000000000000001E-4</v>
      </c>
      <c r="AK361" s="21">
        <f>VLOOKUP($D361,Uncertainties!$B$35:$D$41,3,FALSE)</f>
        <v>-1.454441043328647E-3</v>
      </c>
      <c r="AL361" s="21"/>
      <c r="AM361" s="369">
        <f>SQRT((VLOOKUP($A361,'5 A data'!$A$5:$U$1148,7,FALSE)*mutual_ind)^2+(aux_CT_phase*J361)^2)</f>
        <v>1.7020142950347199E-3</v>
      </c>
      <c r="AN361" s="29">
        <f t="shared" si="745"/>
        <v>1.0304581479378771E-2</v>
      </c>
      <c r="AO361" s="14">
        <f t="shared" si="746"/>
        <v>13.202986989286819</v>
      </c>
      <c r="AP361" s="27">
        <f t="shared" si="747"/>
        <v>2.1500462944262955</v>
      </c>
      <c r="AS361" s="27">
        <f>VLOOKUP($B361,TwoStageCT!$A$10:$H$72,5,FALSE)</f>
        <v>36.657700403051521</v>
      </c>
      <c r="AT361" s="27">
        <f>VLOOKUP($B361,TwoStageCT!$A$10:$H$72,8,FALSE)</f>
        <v>53.09445811850042</v>
      </c>
    </row>
    <row r="362" spans="1:46" x14ac:dyDescent="0.2">
      <c r="A362" s="409">
        <v>470</v>
      </c>
      <c r="B362" s="5" t="str">
        <f>B349&amp;D362</f>
        <v>120/20040</v>
      </c>
      <c r="C362" s="19">
        <f>VLOOKUP($A362,'5 A data'!$A$5:$U$650,3,FALSE)</f>
        <v>2.1000057980615688E-2</v>
      </c>
      <c r="D362" s="163">
        <f>ROUND(VLOOKUP($A362,'5 A data'!$A$5:$U$650,9,FALSE)/10,0)*10</f>
        <v>40</v>
      </c>
      <c r="E362" s="23">
        <f t="shared" si="726"/>
        <v>0.99936709902044762</v>
      </c>
      <c r="F362" s="23">
        <f t="shared" si="727"/>
        <v>1.0011822386327505</v>
      </c>
      <c r="G362" s="486">
        <f>VLOOKUP(B362,TwoStageCT!A$10:H$72,3,FALSE)/10000</f>
        <v>2.5200167333853628E-5</v>
      </c>
      <c r="H362" s="486">
        <f>VLOOKUP(B362,TwoStageCT!A$10:H$72,6,FALSE)/10000</f>
        <v>5.7416420558101514E-6</v>
      </c>
      <c r="I362" s="19">
        <f>VLOOKUP($A362,'5 A data'!$A$5:$U$650,10,FALSE)</f>
        <v>-0.13800000000000001</v>
      </c>
      <c r="J362" s="32">
        <f>VLOOKUP($A362,'5 A data'!$A$5:$U$650,11,FALSE)</f>
        <v>0.2050761871093337</v>
      </c>
      <c r="K362" s="31"/>
      <c r="L362" s="31"/>
      <c r="M362" s="31">
        <f t="shared" si="748"/>
        <v>-0.13788745949748793</v>
      </c>
      <c r="N362" s="31">
        <f t="shared" si="749"/>
        <v>0.20532437774244733</v>
      </c>
      <c r="O362" s="20"/>
      <c r="P362" s="634">
        <f>VLOOKUP(B362,TwoStageCT!A$10:H$72,4,FALSE)/10000</f>
        <v>3.3964590328801363E-6</v>
      </c>
      <c r="Q362" s="58">
        <f>VLOOKUP($A362,'5 A data'!$A$5:$U$650,7,FALSE)*slidewire_res</f>
        <v>1E-3</v>
      </c>
      <c r="R362" s="347">
        <f t="shared" si="736"/>
        <v>-1.7000000000000016E-3</v>
      </c>
      <c r="S362" s="4">
        <v>0</v>
      </c>
      <c r="T362" s="4">
        <f t="shared" si="750"/>
        <v>-3.1400000000000004E-2</v>
      </c>
      <c r="U362" s="29">
        <f t="shared" si="737"/>
        <v>-5.5154983798995176E-4</v>
      </c>
      <c r="V362" s="29">
        <f t="shared" si="715"/>
        <v>5.0000000000000001E-4</v>
      </c>
      <c r="W362" s="23">
        <f>VLOOKUP($D362,Uncertainties!$B$35:$D$41,2,FALSE)</f>
        <v>-1.0000000000000009E-3</v>
      </c>
      <c r="X362" s="23"/>
      <c r="Y362" s="24">
        <f t="shared" si="738"/>
        <v>-1.0701183723595402E-5</v>
      </c>
      <c r="Z362" s="23">
        <f t="shared" si="739"/>
        <v>3.1486573857361075E-2</v>
      </c>
      <c r="AA362" s="25">
        <f t="shared" si="740"/>
        <v>5.0553195363183319</v>
      </c>
      <c r="AB362" s="26">
        <f t="shared" si="741"/>
        <v>2.5339740457262043</v>
      </c>
      <c r="AC362" s="14"/>
      <c r="AD362" s="635">
        <f>VLOOKUP(B362,TwoStageCT!A$10:H$72,7,FALSE)/10000</f>
        <v>1.6849048737447556E-6</v>
      </c>
      <c r="AE362" s="366">
        <f>IF(ABS(VLOOKUP($A362,'5 A data'!$A$5:$U$1148,6,FALSE))&lt;4.5,IF(ABS(VLOOKUP($A362,'5 A data'!$A$5:$U$1148,6,FALSE))&lt;1.25,0.0008,0.002),0.004)*VLOOKUP($A362,'5 A data'!$A$5:$U$1148,7,FALSE)*25*RADIANS(1/60)*100</f>
        <v>2.9088820866572159E-3</v>
      </c>
      <c r="AF362" s="23">
        <f t="shared" si="742"/>
        <v>3.1997702953229347E-3</v>
      </c>
      <c r="AG362" s="29">
        <f t="shared" si="743"/>
        <v>2.0532437774244732E-4</v>
      </c>
      <c r="AH362" s="4">
        <f t="shared" si="751"/>
        <v>6.3268185384794465E-3</v>
      </c>
      <c r="AI362" s="4">
        <f t="shared" si="744"/>
        <v>8.2129751096978929E-4</v>
      </c>
      <c r="AJ362" s="4">
        <f t="shared" si="722"/>
        <v>5.0000000000000001E-4</v>
      </c>
      <c r="AK362" s="21">
        <f>VLOOKUP($D362,Uncertainties!$B$35:$D$41,3,FALSE)</f>
        <v>-2.908882086657183E-3</v>
      </c>
      <c r="AL362" s="21"/>
      <c r="AM362" s="369">
        <f>SQRT((VLOOKUP($A362,'5 A data'!$A$5:$U$1148,7,FALSE)*mutual_ind)^2+(aux_CT_phase*J362)^2)</f>
        <v>1.7015480534634398E-3</v>
      </c>
      <c r="AN362" s="29">
        <f t="shared" si="745"/>
        <v>8.4292531738344792E-3</v>
      </c>
      <c r="AO362" s="14">
        <f t="shared" si="746"/>
        <v>13.89788346717163</v>
      </c>
      <c r="AP362" s="27">
        <f t="shared" si="747"/>
        <v>2.139911290420264</v>
      </c>
      <c r="AS362" s="27">
        <f>VLOOKUP($B362,TwoStageCT!$A$10:$H$72,5,FALSE)</f>
        <v>38.659909732018328</v>
      </c>
      <c r="AT362" s="27">
        <f>VLOOKUP($B362,TwoStageCT!$A$10:$H$72,8,FALSE)</f>
        <v>52.499330597885681</v>
      </c>
    </row>
    <row r="363" spans="1:46" x14ac:dyDescent="0.2">
      <c r="A363" s="409">
        <v>471</v>
      </c>
      <c r="B363" s="5" t="str">
        <f>B349&amp;D363</f>
        <v>120/20060</v>
      </c>
      <c r="C363" s="19">
        <f>VLOOKUP($A363,'5 A data'!$A$5:$U$650,3,FALSE)</f>
        <v>2.1000057980615688E-2</v>
      </c>
      <c r="D363" s="163">
        <f>ROUND(VLOOKUP($A363,'5 A data'!$A$5:$U$650,9,FALSE)/10,0)*10</f>
        <v>60</v>
      </c>
      <c r="E363" s="23">
        <f t="shared" si="726"/>
        <v>0.99936709902044762</v>
      </c>
      <c r="F363" s="23">
        <f t="shared" si="727"/>
        <v>1.0011822386327505</v>
      </c>
      <c r="G363" s="486">
        <f>VLOOKUP(B363,TwoStageCT!A$10:H$72,3,FALSE)/10000</f>
        <v>2.195627602528684E-5</v>
      </c>
      <c r="H363" s="486">
        <f>VLOOKUP(B363,TwoStageCT!A$10:H$72,6,FALSE)/10000</f>
        <v>5.5507836163637805E-6</v>
      </c>
      <c r="I363" s="19">
        <f>VLOOKUP($A363,'5 A data'!$A$5:$U$650,10,FALSE)</f>
        <v>-0.1295</v>
      </c>
      <c r="J363" s="32">
        <f>VLOOKUP($A363,'5 A data'!$A$5:$U$650,11,FALSE)</f>
        <v>0.18907733563271903</v>
      </c>
      <c r="K363" s="31"/>
      <c r="L363" s="31"/>
      <c r="M363" s="31">
        <f t="shared" si="748"/>
        <v>-0.12939608304712269</v>
      </c>
      <c r="N363" s="31">
        <f t="shared" si="749"/>
        <v>0.1893064209470979</v>
      </c>
      <c r="O363" s="20"/>
      <c r="P363" s="634">
        <f>VLOOKUP(B363,TwoStageCT!A$10:H$72,4,FALSE)/10000</f>
        <v>2.9709098248278708E-6</v>
      </c>
      <c r="Q363" s="58">
        <f>VLOOKUP($A363,'5 A data'!$A$5:$U$650,7,FALSE)*slidewire_res</f>
        <v>1E-3</v>
      </c>
      <c r="R363" s="347">
        <f t="shared" si="736"/>
        <v>-1.7000000000000016E-3</v>
      </c>
      <c r="S363" s="4">
        <v>0</v>
      </c>
      <c r="T363" s="4">
        <f t="shared" si="750"/>
        <v>-2.9625000000000002E-2</v>
      </c>
      <c r="U363" s="29">
        <f t="shared" si="737"/>
        <v>-5.1758433218849077E-4</v>
      </c>
      <c r="V363" s="29">
        <f t="shared" si="715"/>
        <v>5.0000000000000001E-4</v>
      </c>
      <c r="W363" s="23">
        <f>VLOOKUP($D363,Uncertainties!$B$35:$D$41,2,FALSE)</f>
        <v>-1.0000000000000009E-3</v>
      </c>
      <c r="X363" s="23"/>
      <c r="Y363" s="24">
        <f t="shared" si="738"/>
        <v>-1.0042052842069597E-5</v>
      </c>
      <c r="Z363" s="23">
        <f t="shared" si="739"/>
        <v>2.971613413972379E-2</v>
      </c>
      <c r="AA363" s="25">
        <f t="shared" si="740"/>
        <v>5.061744672576121</v>
      </c>
      <c r="AB363" s="26">
        <f t="shared" si="741"/>
        <v>2.533043111404222</v>
      </c>
      <c r="AC363" s="14"/>
      <c r="AD363" s="635">
        <f>VLOOKUP(B363,TwoStageCT!A$10:H$72,7,FALSE)/10000</f>
        <v>1.6017059195029239E-6</v>
      </c>
      <c r="AE363" s="366">
        <f>IF(ABS(VLOOKUP($A363,'5 A data'!$A$5:$U$1148,6,FALSE))&lt;4.5,IF(ABS(VLOOKUP($A363,'5 A data'!$A$5:$U$1148,6,FALSE))&lt;1.25,0.0008,0.002),0.004)*VLOOKUP($A363,'5 A data'!$A$5:$U$1148,7,FALSE)*25*RADIANS(1/60)*100</f>
        <v>2.9088820866572159E-3</v>
      </c>
      <c r="AF363" s="23">
        <f t="shared" si="742"/>
        <v>2.617993877991498E-3</v>
      </c>
      <c r="AG363" s="29">
        <f t="shared" si="743"/>
        <v>1.893064209470979E-4</v>
      </c>
      <c r="AH363" s="4">
        <f t="shared" si="751"/>
        <v>4.7996554429844095E-3</v>
      </c>
      <c r="AI363" s="4">
        <f t="shared" si="744"/>
        <v>7.5722568378839162E-4</v>
      </c>
      <c r="AJ363" s="4">
        <f t="shared" si="722"/>
        <v>5.0000000000000001E-4</v>
      </c>
      <c r="AK363" s="21">
        <f>VLOOKUP($D363,Uncertainties!$B$35:$D$41,3,FALSE)</f>
        <v>-2.908882086657183E-3</v>
      </c>
      <c r="AL363" s="21"/>
      <c r="AM363" s="369">
        <f>SQRT((VLOOKUP($A363,'5 A data'!$A$5:$U$1148,7,FALSE)*mutual_ind)^2+(aux_CT_phase*J363)^2)</f>
        <v>1.7013498870354781E-3</v>
      </c>
      <c r="AN363" s="29">
        <f t="shared" si="745"/>
        <v>7.1110896468473232E-3</v>
      </c>
      <c r="AO363" s="14">
        <f t="shared" si="746"/>
        <v>18.619321038388911</v>
      </c>
      <c r="AP363" s="27">
        <f t="shared" si="747"/>
        <v>2.0921678971476076</v>
      </c>
      <c r="AS363" s="27">
        <f>VLOOKUP($B363,TwoStageCT!$A$10:$H$72,5,FALSE)</f>
        <v>42.291164682130272</v>
      </c>
      <c r="AT363" s="27">
        <f>VLOOKUP($B363,TwoStageCT!$A$10:$H$72,8,FALSE)</f>
        <v>48.978667479860043</v>
      </c>
    </row>
    <row r="364" spans="1:46" x14ac:dyDescent="0.2">
      <c r="A364" s="409">
        <v>472</v>
      </c>
      <c r="B364" s="5" t="str">
        <f>B349&amp;D364</f>
        <v>120/200100</v>
      </c>
      <c r="C364" s="19">
        <f>VLOOKUP($A364,'5 A data'!$A$5:$U$650,3,FALSE)</f>
        <v>2.1000057980615688E-2</v>
      </c>
      <c r="D364" s="164">
        <f>ROUND(VLOOKUP($A364,'5 A data'!$A$5:$U$650,9,FALSE)/10,0)*10</f>
        <v>100</v>
      </c>
      <c r="E364" s="23">
        <f t="shared" si="726"/>
        <v>0.99936709902044762</v>
      </c>
      <c r="F364" s="23">
        <f t="shared" si="727"/>
        <v>1.0011822386327505</v>
      </c>
      <c r="G364" s="486">
        <f>VLOOKUP(B364,TwoStageCT!A$10:H$72,3,FALSE)/10000</f>
        <v>1.6881396356939836E-5</v>
      </c>
      <c r="H364" s="486">
        <f>VLOOKUP(B364,TwoStageCT!A$10:H$72,6,FALSE)/10000</f>
        <v>7.3590724152435355E-6</v>
      </c>
      <c r="I364" s="19">
        <f>VLOOKUP($A364,'5 A data'!$A$5:$U$650,10,FALSE)</f>
        <v>-0.121</v>
      </c>
      <c r="J364" s="32">
        <f>VLOOKUP($A364,'5 A data'!$A$5:$U$650,11,FALSE)</f>
        <v>0.17598736624276154</v>
      </c>
      <c r="K364" s="31"/>
      <c r="L364" s="31"/>
      <c r="M364" s="31">
        <f t="shared" si="748"/>
        <v>-0.12090653758511721</v>
      </c>
      <c r="N364" s="31">
        <f t="shared" si="749"/>
        <v>0.17620278437842499</v>
      </c>
      <c r="O364" s="20"/>
      <c r="P364" s="634">
        <f>VLOOKUP(B364,TwoStageCT!A$10:H$72,4,FALSE)/10000</f>
        <v>2.4131313466023584E-6</v>
      </c>
      <c r="Q364" s="58">
        <f>VLOOKUP($A364,'5 A data'!$A$5:$U$650,7,FALSE)*slidewire_res</f>
        <v>1E-3</v>
      </c>
      <c r="R364" s="347">
        <f t="shared" si="736"/>
        <v>-4.000000000000004E-4</v>
      </c>
      <c r="S364" s="4">
        <v>0</v>
      </c>
      <c r="T364" s="4">
        <f t="shared" si="750"/>
        <v>-2.6750000000000003E-2</v>
      </c>
      <c r="U364" s="29">
        <f t="shared" si="737"/>
        <v>-4.8362615034046888E-4</v>
      </c>
      <c r="V364" s="29">
        <f t="shared" si="715"/>
        <v>5.0000000000000001E-4</v>
      </c>
      <c r="W364" s="23">
        <f>VLOOKUP($D364,Uncertainties!$B$35:$D$41,2,FALSE)</f>
        <v>1.999999999999974E-3</v>
      </c>
      <c r="X364" s="23"/>
      <c r="Y364" s="24">
        <f t="shared" si="738"/>
        <v>-9.3829219605437922E-6</v>
      </c>
      <c r="Z364" s="23">
        <f t="shared" si="739"/>
        <v>2.6855287898581923E-2</v>
      </c>
      <c r="AA364" s="25">
        <f t="shared" si="740"/>
        <v>5.0791110855432899</v>
      </c>
      <c r="AB364" s="26">
        <f t="shared" si="741"/>
        <v>2.5305421159200945</v>
      </c>
      <c r="AC364" s="14"/>
      <c r="AD364" s="635">
        <f>VLOOKUP(B364,TwoStageCT!A$10:H$72,7,FALSE)/10000</f>
        <v>1.6933288916776063E-6</v>
      </c>
      <c r="AE364" s="366">
        <f>IF(ABS(VLOOKUP($A364,'5 A data'!$A$5:$U$1148,6,FALSE))&lt;4.5,IF(ABS(VLOOKUP($A364,'5 A data'!$A$5:$U$1148,6,FALSE))&lt;1.25,0.0008,0.002),0.004)*VLOOKUP($A364,'5 A data'!$A$5:$U$1148,7,FALSE)*25*RADIANS(1/60)*100</f>
        <v>2.9088820866572159E-3</v>
      </c>
      <c r="AF364" s="23">
        <f t="shared" si="742"/>
        <v>8.7266462599715493E-4</v>
      </c>
      <c r="AG364" s="29">
        <f t="shared" si="743"/>
        <v>1.7620278437842498E-4</v>
      </c>
      <c r="AH364" s="4">
        <f t="shared" si="751"/>
        <v>1.2362748868293182E-3</v>
      </c>
      <c r="AI364" s="4">
        <f t="shared" si="744"/>
        <v>7.0481113751369993E-4</v>
      </c>
      <c r="AJ364" s="4">
        <f t="shared" si="722"/>
        <v>5.0000000000000001E-4</v>
      </c>
      <c r="AK364" s="21">
        <f>VLOOKUP($D364,Uncertainties!$B$35:$D$41,3,FALSE)</f>
        <v>-2.9088820866572385E-3</v>
      </c>
      <c r="AL364" s="21"/>
      <c r="AM364" s="369">
        <f>SQRT((VLOOKUP($A364,'5 A data'!$A$5:$U$1148,7,FALSE)*mutual_ind)^2+(aux_CT_phase*J364)^2)</f>
        <v>1.7011997012616174E-3</v>
      </c>
      <c r="AN364" s="29">
        <f t="shared" si="745"/>
        <v>4.7838267720668589E-3</v>
      </c>
      <c r="AO364" s="14">
        <f t="shared" si="746"/>
        <v>23.413980006053933</v>
      </c>
      <c r="AP364" s="27">
        <f t="shared" si="747"/>
        <v>2.0641831985701629</v>
      </c>
      <c r="AS364" s="27">
        <f>VLOOKUP($B364,TwoStageCT!$A$10:$H$72,5,FALSE)</f>
        <v>59.567261398457461</v>
      </c>
      <c r="AT364" s="27">
        <f>VLOOKUP($B364,TwoStageCT!$A$10:$H$72,8,FALSE)</f>
        <v>45.732629829898706</v>
      </c>
    </row>
    <row r="365" spans="1:46" x14ac:dyDescent="0.2">
      <c r="A365" s="409">
        <v>473</v>
      </c>
      <c r="B365" s="5" t="str">
        <f>B349&amp;D365</f>
        <v>120/200120</v>
      </c>
      <c r="C365" s="19">
        <f>VLOOKUP($A365,'5 A data'!$A$5:$U$650,3,FALSE)</f>
        <v>2.1000057980615688E-2</v>
      </c>
      <c r="D365" s="164">
        <f>ROUND(VLOOKUP($A365,'5 A data'!$A$5:$U$650,9,FALSE)/10,0)*10</f>
        <v>120</v>
      </c>
      <c r="E365" s="23">
        <f t="shared" si="726"/>
        <v>0.99936709902044762</v>
      </c>
      <c r="F365" s="23">
        <f t="shared" si="727"/>
        <v>1.0011822386327505</v>
      </c>
      <c r="G365" s="486">
        <f>VLOOKUP(B365,TwoStageCT!A$10:H$72,3,FALSE)/10000</f>
        <v>1.5213305302217845E-5</v>
      </c>
      <c r="H365" s="486">
        <f>VLOOKUP(B365,TwoStageCT!A$10:H$72,6,FALSE)/10000</f>
        <v>7.5885012454326174E-6</v>
      </c>
      <c r="I365" s="19">
        <f>VLOOKUP($A365,'5 A data'!$A$5:$U$650,10,FALSE)</f>
        <v>-0.11899999999999999</v>
      </c>
      <c r="J365" s="32">
        <f>VLOOKUP($A365,'5 A data'!$A$5:$U$650,11,FALSE)</f>
        <v>0.17162404311277576</v>
      </c>
      <c r="K365" s="31"/>
      <c r="L365" s="31"/>
      <c r="M365" s="31">
        <f t="shared" si="748"/>
        <v>-0.11890947147813105</v>
      </c>
      <c r="N365" s="31">
        <f t="shared" si="749"/>
        <v>0.17183453218809797</v>
      </c>
      <c r="O365" s="20"/>
      <c r="P365" s="634">
        <f>VLOOKUP(B365,TwoStageCT!A$10:H$72,4,FALSE)/10000</f>
        <v>2.2681305202526645E-6</v>
      </c>
      <c r="Q365" s="58">
        <f>VLOOKUP($A365,'5 A data'!$A$5:$U$650,7,FALSE)*slidewire_res</f>
        <v>1E-3</v>
      </c>
      <c r="R365" s="347">
        <f t="shared" si="736"/>
        <v>0</v>
      </c>
      <c r="S365" s="4">
        <v>0</v>
      </c>
      <c r="T365" s="4">
        <f t="shared" si="750"/>
        <v>-2.5250000000000002E-2</v>
      </c>
      <c r="U365" s="29">
        <f t="shared" si="737"/>
        <v>-4.7563788591252422E-4</v>
      </c>
      <c r="V365" s="29">
        <f t="shared" si="715"/>
        <v>5.0000000000000001E-4</v>
      </c>
      <c r="W365" s="23">
        <f>VLOOKUP($D365,Uncertainties!$B$35:$D$41,2,FALSE)</f>
        <v>-1.0000000000000009E-3</v>
      </c>
      <c r="X365" s="23"/>
      <c r="Y365" s="24">
        <f t="shared" si="738"/>
        <v>-9.2278323413612514E-6</v>
      </c>
      <c r="Z365" s="23">
        <f t="shared" si="739"/>
        <v>2.529898855084569E-2</v>
      </c>
      <c r="AA365" s="25">
        <f t="shared" si="740"/>
        <v>5.0388971191029279</v>
      </c>
      <c r="AB365" s="26">
        <f t="shared" si="741"/>
        <v>2.5363674384332784</v>
      </c>
      <c r="AC365" s="14"/>
      <c r="AD365" s="635">
        <f>VLOOKUP(B365,TwoStageCT!A$10:H$72,7,FALSE)/10000</f>
        <v>1.7092397901526349E-6</v>
      </c>
      <c r="AE365" s="366">
        <f>IF(ABS(VLOOKUP($A365,'5 A data'!$A$5:$U$1148,6,FALSE))&lt;4.5,IF(ABS(VLOOKUP($A365,'5 A data'!$A$5:$U$1148,6,FALSE))&lt;1.25,0.0008,0.002),0.004)*VLOOKUP($A365,'5 A data'!$A$5:$U$1148,7,FALSE)*25*RADIANS(1/60)*100</f>
        <v>2.9088820866572159E-3</v>
      </c>
      <c r="AF365" s="23">
        <f t="shared" si="742"/>
        <v>0</v>
      </c>
      <c r="AG365" s="29">
        <f t="shared" si="743"/>
        <v>1.7183453218809797E-4</v>
      </c>
      <c r="AH365" s="4">
        <f t="shared" si="751"/>
        <v>1.4544410433285916E-4</v>
      </c>
      <c r="AI365" s="4">
        <f t="shared" si="744"/>
        <v>6.873381287523919E-4</v>
      </c>
      <c r="AJ365" s="4">
        <f t="shared" si="722"/>
        <v>5.0000000000000001E-4</v>
      </c>
      <c r="AK365" s="21">
        <f>VLOOKUP($D365,Uncertainties!$B$35:$D$41,3,FALSE)</f>
        <v>1.4544410433285915E-3</v>
      </c>
      <c r="AL365" s="21"/>
      <c r="AM365" s="369">
        <f>SQRT((VLOOKUP($A365,'5 A data'!$A$5:$U$1148,7,FALSE)*mutual_ind)^2+(aux_CT_phase*J365)^2)</f>
        <v>1.7011520299637143E-3</v>
      </c>
      <c r="AN365" s="29">
        <f t="shared" si="745"/>
        <v>3.7741263479537431E-3</v>
      </c>
      <c r="AO365" s="14">
        <f t="shared" si="746"/>
        <v>12.363897939040921</v>
      </c>
      <c r="AP365" s="27">
        <f t="shared" si="747"/>
        <v>2.1639355826756943</v>
      </c>
      <c r="AS365" s="27">
        <f>VLOOKUP($B365,TwoStageCT!$A$10:$H$72,5,FALSE)</f>
        <v>68.00069900375496</v>
      </c>
      <c r="AT365" s="27">
        <f>VLOOKUP($B365,TwoStageCT!$A$10:$H$72,8,FALSE)</f>
        <v>47.345132453902309</v>
      </c>
    </row>
    <row r="366" spans="1:46" x14ac:dyDescent="0.2">
      <c r="A366" s="409"/>
      <c r="R366" s="42"/>
    </row>
    <row r="369" spans="45:46" x14ac:dyDescent="0.2">
      <c r="AS369" s="27"/>
      <c r="AT369" s="27"/>
    </row>
    <row r="370" spans="45:46" x14ac:dyDescent="0.2">
      <c r="AS370" s="27"/>
      <c r="AT370" s="27"/>
    </row>
    <row r="371" spans="45:46" x14ac:dyDescent="0.2">
      <c r="AS371" s="27"/>
      <c r="AT371" s="27"/>
    </row>
    <row r="372" spans="45:46" x14ac:dyDescent="0.2">
      <c r="AS372" s="27"/>
      <c r="AT372" s="27"/>
    </row>
    <row r="373" spans="45:46" x14ac:dyDescent="0.2">
      <c r="AS373" s="27"/>
      <c r="AT373" s="27"/>
    </row>
    <row r="374" spans="45:46" x14ac:dyDescent="0.2">
      <c r="AS374" s="27"/>
      <c r="AT374" s="27"/>
    </row>
    <row r="375" spans="45:46" x14ac:dyDescent="0.2">
      <c r="AS375" s="27"/>
      <c r="AT375" s="27"/>
    </row>
    <row r="377" spans="45:46" x14ac:dyDescent="0.2">
      <c r="AS377" s="27"/>
      <c r="AT377" s="27"/>
    </row>
    <row r="378" spans="45:46" x14ac:dyDescent="0.2">
      <c r="AS378" s="27"/>
      <c r="AT378" s="27"/>
    </row>
    <row r="379" spans="45:46" x14ac:dyDescent="0.2">
      <c r="AS379" s="27"/>
      <c r="AT379" s="27"/>
    </row>
    <row r="380" spans="45:46" x14ac:dyDescent="0.2">
      <c r="AS380" s="27"/>
      <c r="AT380" s="27"/>
    </row>
    <row r="381" spans="45:46" x14ac:dyDescent="0.2">
      <c r="AS381" s="27"/>
      <c r="AT381" s="27"/>
    </row>
    <row r="382" spans="45:46" x14ac:dyDescent="0.2">
      <c r="AS382" s="27"/>
      <c r="AT382" s="27"/>
    </row>
    <row r="383" spans="45:46" x14ac:dyDescent="0.2">
      <c r="AS383" s="27"/>
      <c r="AT383" s="27"/>
    </row>
    <row r="387" spans="45:46" x14ac:dyDescent="0.2">
      <c r="AS387" s="27"/>
      <c r="AT387" s="27"/>
    </row>
    <row r="388" spans="45:46" x14ac:dyDescent="0.2">
      <c r="AS388" s="27"/>
      <c r="AT388" s="27"/>
    </row>
    <row r="389" spans="45:46" x14ac:dyDescent="0.2">
      <c r="AS389" s="27"/>
      <c r="AT389" s="27"/>
    </row>
    <row r="390" spans="45:46" x14ac:dyDescent="0.2">
      <c r="AS390" s="27"/>
      <c r="AT390" s="27"/>
    </row>
    <row r="391" spans="45:46" x14ac:dyDescent="0.2">
      <c r="AS391" s="27"/>
      <c r="AT391" s="27"/>
    </row>
    <row r="392" spans="45:46" x14ac:dyDescent="0.2">
      <c r="AS392" s="27"/>
      <c r="AT392" s="27"/>
    </row>
    <row r="393" spans="45:46" x14ac:dyDescent="0.2">
      <c r="AS393" s="27"/>
      <c r="AT393" s="27"/>
    </row>
    <row r="395" spans="45:46" x14ac:dyDescent="0.2">
      <c r="AS395" s="27"/>
      <c r="AT395" s="27"/>
    </row>
    <row r="396" spans="45:46" x14ac:dyDescent="0.2">
      <c r="AS396" s="27"/>
      <c r="AT396" s="27"/>
    </row>
    <row r="397" spans="45:46" x14ac:dyDescent="0.2">
      <c r="AS397" s="27"/>
      <c r="AT397" s="27"/>
    </row>
    <row r="398" spans="45:46" x14ac:dyDescent="0.2">
      <c r="AS398" s="27"/>
      <c r="AT398" s="27"/>
    </row>
    <row r="399" spans="45:46" x14ac:dyDescent="0.2">
      <c r="AS399" s="27"/>
      <c r="AT399" s="27"/>
    </row>
    <row r="400" spans="45:46" x14ac:dyDescent="0.2">
      <c r="AS400" s="27"/>
      <c r="AT400" s="27"/>
    </row>
    <row r="401" spans="45:46" x14ac:dyDescent="0.2">
      <c r="AS401" s="27"/>
      <c r="AT401" s="27"/>
    </row>
    <row r="405" spans="45:46" x14ac:dyDescent="0.2">
      <c r="AS405" s="27"/>
      <c r="AT405" s="27"/>
    </row>
    <row r="406" spans="45:46" x14ac:dyDescent="0.2">
      <c r="AS406" s="27"/>
      <c r="AT406" s="27"/>
    </row>
    <row r="407" spans="45:46" x14ac:dyDescent="0.2">
      <c r="AS407" s="27"/>
      <c r="AT407" s="27"/>
    </row>
    <row r="408" spans="45:46" x14ac:dyDescent="0.2">
      <c r="AS408" s="27"/>
      <c r="AT408" s="27"/>
    </row>
    <row r="409" spans="45:46" x14ac:dyDescent="0.2">
      <c r="AS409" s="27"/>
      <c r="AT409" s="27"/>
    </row>
    <row r="410" spans="45:46" x14ac:dyDescent="0.2">
      <c r="AS410" s="27"/>
      <c r="AT410" s="27"/>
    </row>
    <row r="411" spans="45:46" x14ac:dyDescent="0.2">
      <c r="AS411" s="27"/>
      <c r="AT411" s="27"/>
    </row>
    <row r="413" spans="45:46" x14ac:dyDescent="0.2">
      <c r="AS413" s="27"/>
      <c r="AT413" s="27"/>
    </row>
    <row r="414" spans="45:46" x14ac:dyDescent="0.2">
      <c r="AS414" s="27"/>
      <c r="AT414" s="27"/>
    </row>
    <row r="415" spans="45:46" x14ac:dyDescent="0.2">
      <c r="AS415" s="27"/>
      <c r="AT415" s="27"/>
    </row>
    <row r="416" spans="45:46" x14ac:dyDescent="0.2">
      <c r="AS416" s="27"/>
      <c r="AT416" s="27"/>
    </row>
    <row r="417" spans="45:46" x14ac:dyDescent="0.2">
      <c r="AS417" s="27"/>
      <c r="AT417" s="27"/>
    </row>
    <row r="418" spans="45:46" x14ac:dyDescent="0.2">
      <c r="AS418" s="27"/>
      <c r="AT418" s="27"/>
    </row>
    <row r="419" spans="45:46" x14ac:dyDescent="0.2">
      <c r="AS419" s="27"/>
      <c r="AT419" s="27"/>
    </row>
    <row r="423" spans="45:46" x14ac:dyDescent="0.2">
      <c r="AS423" s="27"/>
      <c r="AT423" s="27"/>
    </row>
    <row r="424" spans="45:46" x14ac:dyDescent="0.2">
      <c r="AS424" s="27"/>
      <c r="AT424" s="27"/>
    </row>
    <row r="425" spans="45:46" x14ac:dyDescent="0.2">
      <c r="AS425" s="27"/>
      <c r="AT425" s="27"/>
    </row>
    <row r="426" spans="45:46" x14ac:dyDescent="0.2">
      <c r="AS426" s="27"/>
      <c r="AT426" s="27"/>
    </row>
    <row r="427" spans="45:46" x14ac:dyDescent="0.2">
      <c r="AS427" s="27"/>
      <c r="AT427" s="27"/>
    </row>
    <row r="428" spans="45:46" x14ac:dyDescent="0.2">
      <c r="AS428" s="27"/>
      <c r="AT428" s="27"/>
    </row>
    <row r="429" spans="45:46" x14ac:dyDescent="0.2">
      <c r="AS429" s="27"/>
      <c r="AT429" s="27"/>
    </row>
    <row r="431" spans="45:46" x14ac:dyDescent="0.2">
      <c r="AS431" s="27"/>
      <c r="AT431" s="27"/>
    </row>
    <row r="432" spans="45:46" x14ac:dyDescent="0.2">
      <c r="AS432" s="27"/>
      <c r="AT432" s="27"/>
    </row>
    <row r="433" spans="45:46" x14ac:dyDescent="0.2">
      <c r="AS433" s="27"/>
      <c r="AT433" s="27"/>
    </row>
    <row r="434" spans="45:46" x14ac:dyDescent="0.2">
      <c r="AS434" s="27"/>
      <c r="AT434" s="27"/>
    </row>
    <row r="435" spans="45:46" x14ac:dyDescent="0.2">
      <c r="AS435" s="27"/>
      <c r="AT435" s="27"/>
    </row>
    <row r="436" spans="45:46" x14ac:dyDescent="0.2">
      <c r="AS436" s="27"/>
      <c r="AT436" s="27"/>
    </row>
    <row r="437" spans="45:46" x14ac:dyDescent="0.2">
      <c r="AS437" s="27"/>
      <c r="AT437" s="27"/>
    </row>
  </sheetData>
  <mergeCells count="44">
    <mergeCell ref="M304:N304"/>
    <mergeCell ref="M206:N206"/>
    <mergeCell ref="M214:N214"/>
    <mergeCell ref="M170:N170"/>
    <mergeCell ref="M178:N178"/>
    <mergeCell ref="M196:N196"/>
    <mergeCell ref="M224:N224"/>
    <mergeCell ref="M232:N232"/>
    <mergeCell ref="M242:N242"/>
    <mergeCell ref="M250:N250"/>
    <mergeCell ref="M260:N260"/>
    <mergeCell ref="M268:N268"/>
    <mergeCell ref="M278:N278"/>
    <mergeCell ref="M286:N286"/>
    <mergeCell ref="M296:N296"/>
    <mergeCell ref="M134:N134"/>
    <mergeCell ref="M142:N142"/>
    <mergeCell ref="M152:N152"/>
    <mergeCell ref="M160:N160"/>
    <mergeCell ref="M188:N188"/>
    <mergeCell ref="M116:N116"/>
    <mergeCell ref="M124:N124"/>
    <mergeCell ref="M80:N80"/>
    <mergeCell ref="M88:N88"/>
    <mergeCell ref="M106:N106"/>
    <mergeCell ref="M98:N98"/>
    <mergeCell ref="E5:F5"/>
    <mergeCell ref="M70:N70"/>
    <mergeCell ref="K6:L6"/>
    <mergeCell ref="M34:N34"/>
    <mergeCell ref="M44:N44"/>
    <mergeCell ref="M52:N52"/>
    <mergeCell ref="M62:N62"/>
    <mergeCell ref="M16:N16"/>
    <mergeCell ref="M8:N8"/>
    <mergeCell ref="G5:H5"/>
    <mergeCell ref="M26:N26"/>
    <mergeCell ref="I5:J5"/>
    <mergeCell ref="M358:N358"/>
    <mergeCell ref="M314:N314"/>
    <mergeCell ref="M322:N322"/>
    <mergeCell ref="M332:N332"/>
    <mergeCell ref="M340:N340"/>
    <mergeCell ref="M350:N350"/>
  </mergeCells>
  <phoneticPr fontId="0" type="noConversion"/>
  <pageMargins left="0.75" right="0.75" top="1" bottom="1" header="0.5" footer="0.5"/>
  <pageSetup paperSize="9" scale="18" fitToHeight="0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11"/>
  <sheetViews>
    <sheetView tabSelected="1" workbookViewId="0">
      <selection activeCell="P9" sqref="P9"/>
    </sheetView>
  </sheetViews>
  <sheetFormatPr defaultRowHeight="12.75" x14ac:dyDescent="0.2"/>
  <cols>
    <col min="10" max="10" width="9.5703125" bestFit="1" customWidth="1"/>
    <col min="11" max="11" width="10.140625" customWidth="1"/>
    <col min="12" max="12" width="9.85546875" customWidth="1"/>
  </cols>
  <sheetData>
    <row r="1" spans="1:13" x14ac:dyDescent="0.2">
      <c r="B1" t="s">
        <v>547</v>
      </c>
    </row>
    <row r="2" spans="1:13" x14ac:dyDescent="0.2">
      <c r="K2" t="s">
        <v>552</v>
      </c>
    </row>
    <row r="3" spans="1:13" x14ac:dyDescent="0.2">
      <c r="J3" t="s">
        <v>553</v>
      </c>
      <c r="L3" t="s">
        <v>222</v>
      </c>
    </row>
    <row r="4" spans="1:13" x14ac:dyDescent="0.2">
      <c r="F4" t="s">
        <v>19</v>
      </c>
      <c r="J4" t="s">
        <v>554</v>
      </c>
      <c r="L4" t="s">
        <v>554</v>
      </c>
    </row>
    <row r="5" spans="1:13" x14ac:dyDescent="0.2">
      <c r="A5" t="s">
        <v>549</v>
      </c>
      <c r="D5" s="46" t="s">
        <v>548</v>
      </c>
      <c r="E5" t="s">
        <v>241</v>
      </c>
      <c r="F5" t="s">
        <v>294</v>
      </c>
      <c r="G5" t="s">
        <v>239</v>
      </c>
      <c r="J5" t="s">
        <v>555</v>
      </c>
      <c r="K5" t="s">
        <v>556</v>
      </c>
      <c r="L5" t="s">
        <v>555</v>
      </c>
      <c r="M5" t="s">
        <v>556</v>
      </c>
    </row>
    <row r="6" spans="1:13" x14ac:dyDescent="0.2">
      <c r="A6">
        <f>VLOOKUP(B6,'5 A data'!A5:G474,7,FALSE)</f>
        <v>2</v>
      </c>
      <c r="B6">
        <v>99</v>
      </c>
      <c r="D6" s="46" t="s">
        <v>539</v>
      </c>
      <c r="E6">
        <f>VLOOKUP($B6,'5 A calc'!$A$2:$AR$203,4,FALSE)</f>
        <v>5</v>
      </c>
      <c r="F6" s="4">
        <f>VLOOKUP($B6,'5 A calc'!$A$2:$AR$203,13,FALSE)</f>
        <v>-0.68153155559925072</v>
      </c>
      <c r="G6" s="4">
        <f>VLOOKUP($B6,'5 A calc'!$A$2:$AR$203,14,FALSE)</f>
        <v>1.0426156429734734</v>
      </c>
      <c r="H6" s="4"/>
      <c r="I6" s="4"/>
      <c r="J6" s="686">
        <f>VLOOKUP($B6,'5 A calc'!$A$2:$AR$203,16,FALSE)</f>
        <v>6.4429594675743464E-6</v>
      </c>
      <c r="K6" s="27">
        <f>VLOOKUP($B6,'5 A calc'!$A$2:$AT$398,45,FALSE)</f>
        <v>26.31606241070681</v>
      </c>
      <c r="L6" s="686">
        <f>VLOOKUP($B6,'5 A calc'!$A$2:$AR$203,30,FALSE)</f>
        <v>4.6788986298833412E-6</v>
      </c>
      <c r="M6" s="27">
        <f>VLOOKUP($B6,'5 A calc'!$A$2:$AT$398,46,FALSE)</f>
        <v>9.9413455012810044</v>
      </c>
    </row>
    <row r="7" spans="1:13" x14ac:dyDescent="0.2">
      <c r="A7">
        <f>VLOOKUP(B7,'5 A data'!A6:G475,7,FALSE)</f>
        <v>2</v>
      </c>
      <c r="B7">
        <v>100</v>
      </c>
      <c r="D7" s="46" t="s">
        <v>539</v>
      </c>
      <c r="E7">
        <f>VLOOKUP($B7,'5 A calc'!$A$2:$AR$203,4,FALSE)</f>
        <v>10</v>
      </c>
      <c r="F7" s="4">
        <f>VLOOKUP($B7,'5 A calc'!$A$2:$AR$203,13,FALSE)</f>
        <v>-0.60358303746751041</v>
      </c>
      <c r="G7" s="4">
        <f>VLOOKUP($B7,'5 A calc'!$A$2:$AR$203,14,FALSE)</f>
        <v>0.89699749614666746</v>
      </c>
      <c r="H7" s="4"/>
      <c r="I7" s="4"/>
      <c r="J7" s="686">
        <f>VLOOKUP($B7,'5 A calc'!$A$2:$AR$203,16,FALSE)</f>
        <v>5.0170517941146892E-6</v>
      </c>
      <c r="K7" s="27">
        <f>VLOOKUP($B7,'5 A calc'!$A$2:$AT$398,45,FALSE)</f>
        <v>38.265350164989712</v>
      </c>
      <c r="L7" s="686">
        <f>VLOOKUP($B7,'5 A calc'!$A$2:$AR$203,30,FALSE)</f>
        <v>2.600738521505678E-6</v>
      </c>
      <c r="M7" s="27">
        <f>VLOOKUP($B7,'5 A calc'!$A$2:$AT$398,46,FALSE)</f>
        <v>16.586629386739094</v>
      </c>
    </row>
    <row r="8" spans="1:13" x14ac:dyDescent="0.2">
      <c r="A8">
        <f>VLOOKUP(B8,'5 A data'!A7:G476,7,FALSE)</f>
        <v>2</v>
      </c>
      <c r="B8">
        <v>101</v>
      </c>
      <c r="D8" s="46" t="s">
        <v>539</v>
      </c>
      <c r="E8">
        <f>VLOOKUP($B8,'5 A calc'!$A$2:$AR$203,4,FALSE)</f>
        <v>20</v>
      </c>
      <c r="F8" s="4">
        <f>VLOOKUP($B8,'5 A calc'!$A$2:$AR$203,13,FALSE)</f>
        <v>-0.54762188974690429</v>
      </c>
      <c r="G8" s="4">
        <f>VLOOKUP($B8,'5 A calc'!$A$2:$AR$203,14,FALSE)</f>
        <v>0.78633124077220728</v>
      </c>
      <c r="H8" s="4"/>
      <c r="I8" s="4"/>
      <c r="J8" s="686">
        <f>VLOOKUP($B8,'5 A calc'!$A$2:$AR$203,16,FALSE)</f>
        <v>4.17832023036102E-6</v>
      </c>
      <c r="K8" s="27">
        <f>VLOOKUP($B8,'5 A calc'!$A$2:$AT$398,45,FALSE)</f>
        <v>36.657700403051521</v>
      </c>
      <c r="L8" s="686">
        <f>VLOOKUP($B8,'5 A calc'!$A$2:$AR$203,30,FALSE)</f>
        <v>1.9770475075939077E-6</v>
      </c>
      <c r="M8" s="27">
        <f>VLOOKUP($B8,'5 A calc'!$A$2:$AT$398,46,FALSE)</f>
        <v>53.09445811850042</v>
      </c>
    </row>
    <row r="9" spans="1:13" x14ac:dyDescent="0.2">
      <c r="A9">
        <f>VLOOKUP(B9,'5 A data'!A8:G477,7,FALSE)</f>
        <v>2</v>
      </c>
      <c r="B9">
        <v>102</v>
      </c>
      <c r="D9" s="46" t="s">
        <v>539</v>
      </c>
      <c r="E9">
        <f>VLOOKUP($B9,'5 A calc'!$A$2:$AR$203,4,FALSE)</f>
        <v>40</v>
      </c>
      <c r="F9" s="4">
        <f>VLOOKUP($B9,'5 A calc'!$A$2:$AR$203,13,FALSE)</f>
        <v>-0.50165708354093086</v>
      </c>
      <c r="G9" s="4">
        <f>VLOOKUP($B9,'5 A calc'!$A$2:$AR$203,14,FALSE)</f>
        <v>0.70187512178665656</v>
      </c>
      <c r="H9" s="4"/>
      <c r="I9" s="4"/>
      <c r="J9" s="686">
        <f>VLOOKUP($B9,'5 A calc'!$A$2:$AR$203,16,FALSE)</f>
        <v>3.3964590328801363E-6</v>
      </c>
      <c r="K9" s="27">
        <f>VLOOKUP($B9,'5 A calc'!$A$2:$AT$398,45,FALSE)</f>
        <v>38.659909732018328</v>
      </c>
      <c r="L9" s="686">
        <f>VLOOKUP($B9,'5 A calc'!$A$2:$AR$203,30,FALSE)</f>
        <v>1.6849048737447556E-6</v>
      </c>
      <c r="M9" s="27">
        <f>VLOOKUP($B9,'5 A calc'!$A$2:$AT$398,46,FALSE)</f>
        <v>52.499330597885681</v>
      </c>
    </row>
    <row r="10" spans="1:13" x14ac:dyDescent="0.2">
      <c r="A10">
        <f>VLOOKUP(B10,'5 A data'!A9:G478,7,FALSE)</f>
        <v>2</v>
      </c>
      <c r="B10">
        <v>103</v>
      </c>
      <c r="D10" s="46" t="s">
        <v>539</v>
      </c>
      <c r="E10">
        <f>VLOOKUP($B10,'5 A calc'!$A$2:$AR$203,4,FALSE)</f>
        <v>60</v>
      </c>
      <c r="F10" s="4">
        <f>VLOOKUP($B10,'5 A calc'!$A$2:$AR$203,13,FALSE)</f>
        <v>-0.49166665644203494</v>
      </c>
      <c r="G10" s="4">
        <f>VLOOKUP($B10,'5 A calc'!$A$2:$AR$203,14,FALSE)</f>
        <v>0.63489154610113918</v>
      </c>
      <c r="H10" s="4"/>
      <c r="I10" s="4"/>
      <c r="J10" s="686">
        <f>VLOOKUP($B10,'5 A calc'!$A$2:$AR$203,16,FALSE)</f>
        <v>2.9709098248278708E-6</v>
      </c>
      <c r="K10" s="27">
        <f>VLOOKUP($B10,'5 A calc'!$A$2:$AT$398,45,FALSE)</f>
        <v>42.291164682130272</v>
      </c>
      <c r="L10" s="686">
        <f>VLOOKUP($B10,'5 A calc'!$A$2:$AR$203,30,FALSE)</f>
        <v>1.6017059195029239E-6</v>
      </c>
      <c r="M10" s="27">
        <f>VLOOKUP($B10,'5 A calc'!$A$2:$AT$398,46,FALSE)</f>
        <v>48.978667479860043</v>
      </c>
    </row>
    <row r="11" spans="1:13" x14ac:dyDescent="0.2">
      <c r="A11">
        <f>VLOOKUP(B11,'5 A data'!A10:G479,7,FALSE)</f>
        <v>2</v>
      </c>
      <c r="B11">
        <v>104</v>
      </c>
      <c r="D11" s="46" t="s">
        <v>539</v>
      </c>
      <c r="E11">
        <f>VLOOKUP($B11,'5 A calc'!$A$2:$AR$203,4,FALSE)</f>
        <v>100</v>
      </c>
      <c r="F11" s="4">
        <f>VLOOKUP($B11,'5 A calc'!$A$2:$AR$203,13,FALSE)</f>
        <v>-0.46968565514325344</v>
      </c>
      <c r="G11" s="4">
        <f>VLOOKUP($B11,'5 A calc'!$A$2:$AR$203,14,FALSE)</f>
        <v>0.52422515337128717</v>
      </c>
      <c r="H11" s="4"/>
      <c r="I11" s="4"/>
      <c r="J11" s="686">
        <f>VLOOKUP($B11,'5 A calc'!$A$2:$AR$203,16,FALSE)</f>
        <v>2.4131313466023584E-6</v>
      </c>
      <c r="K11" s="27">
        <f>VLOOKUP($B11,'5 A calc'!$A$2:$AT$398,45,FALSE)</f>
        <v>59.567261398457461</v>
      </c>
      <c r="L11" s="686">
        <f>VLOOKUP($B11,'5 A calc'!$A$2:$AR$203,30,FALSE)</f>
        <v>1.6933288916776063E-6</v>
      </c>
      <c r="M11" s="27">
        <f>VLOOKUP($B11,'5 A calc'!$A$2:$AT$398,46,FALSE)</f>
        <v>45.732629829898706</v>
      </c>
    </row>
    <row r="12" spans="1:13" x14ac:dyDescent="0.2">
      <c r="A12">
        <f>VLOOKUP(B12,'5 A data'!A11:G480,7,FALSE)</f>
        <v>2</v>
      </c>
      <c r="B12">
        <v>105</v>
      </c>
      <c r="D12" s="46" t="s">
        <v>539</v>
      </c>
      <c r="E12">
        <f>VLOOKUP($B12,'5 A calc'!$A$2:$AR$203,4,FALSE)</f>
        <v>120</v>
      </c>
      <c r="F12" s="4">
        <f>VLOOKUP($B12,'5 A calc'!$A$2:$AR$203,13,FALSE)</f>
        <v>-0.45769491804606277</v>
      </c>
      <c r="G12" s="4">
        <f>VLOOKUP($B12,'5 A calc'!$A$2:$AR$203,14,FALSE)</f>
        <v>0.483452887687983</v>
      </c>
      <c r="H12" s="4"/>
      <c r="I12" s="4"/>
      <c r="J12" s="686">
        <f>VLOOKUP($B12,'5 A calc'!$A$2:$AR$203,16,FALSE)</f>
        <v>2.2681305202526645E-6</v>
      </c>
      <c r="K12" s="27">
        <f>VLOOKUP($B12,'5 A calc'!$A$2:$AT$398,45,FALSE)</f>
        <v>68.00069900375496</v>
      </c>
      <c r="L12" s="686">
        <f>VLOOKUP($B12,'5 A calc'!$A$2:$AR$203,30,FALSE)</f>
        <v>1.7092397901526349E-6</v>
      </c>
      <c r="M12" s="27">
        <f>VLOOKUP($B12,'5 A calc'!$A$2:$AT$398,46,FALSE)</f>
        <v>47.345132453902309</v>
      </c>
    </row>
    <row r="13" spans="1:13" x14ac:dyDescent="0.2">
      <c r="H13" s="4"/>
      <c r="I13" s="4"/>
      <c r="J13" s="686"/>
      <c r="K13" s="27"/>
      <c r="L13" s="686"/>
    </row>
    <row r="14" spans="1:13" x14ac:dyDescent="0.2">
      <c r="A14">
        <f>VLOOKUP(B14,'5 A data'!A13:G482,7,FALSE)</f>
        <v>1</v>
      </c>
      <c r="B14">
        <v>107</v>
      </c>
      <c r="D14" s="46" t="s">
        <v>543</v>
      </c>
      <c r="E14">
        <f>VLOOKUP($B14,'5 A calc'!$A$2:$AR$203,4,FALSE)</f>
        <v>5</v>
      </c>
      <c r="F14" s="4">
        <f>VLOOKUP($B14,'5 A calc'!$A$2:$AR$203,13,FALSE)</f>
        <v>-0.22182269004984476</v>
      </c>
      <c r="G14" s="4">
        <f>VLOOKUP($B14,'5 A calc'!$A$2:$AR$203,14,FALSE)</f>
        <v>0.38443107902044549</v>
      </c>
      <c r="H14" s="4"/>
      <c r="I14" s="4"/>
      <c r="J14" s="686">
        <f>VLOOKUP($B14,'5 A calc'!$A$2:$AR$203,16,FALSE)</f>
        <v>6.4429594675743464E-6</v>
      </c>
      <c r="K14" s="27">
        <f>VLOOKUP($B14,'5 A calc'!$A$2:$AT$398,45,FALSE)</f>
        <v>26.31606241070681</v>
      </c>
      <c r="L14" s="686">
        <f>VLOOKUP($B14,'5 A calc'!$A$2:$AR$203,30,FALSE)</f>
        <v>4.6788986298833412E-6</v>
      </c>
      <c r="M14" s="27">
        <f>VLOOKUP($B14,'5 A calc'!$A$2:$AT$398,46,FALSE)</f>
        <v>9.9413455012810044</v>
      </c>
    </row>
    <row r="15" spans="1:13" x14ac:dyDescent="0.2">
      <c r="A15">
        <f>VLOOKUP(B15,'5 A data'!A14:G483,7,FALSE)</f>
        <v>1</v>
      </c>
      <c r="B15">
        <v>108</v>
      </c>
      <c r="D15" s="46" t="s">
        <v>543</v>
      </c>
      <c r="E15">
        <f>VLOOKUP($B15,'5 A calc'!$A$2:$AR$203,4,FALSE)</f>
        <v>10</v>
      </c>
      <c r="F15" s="4">
        <f>VLOOKUP($B15,'5 A calc'!$A$2:$AR$203,13,FALSE)</f>
        <v>-0.18185012168088152</v>
      </c>
      <c r="G15" s="4">
        <f>VLOOKUP($B15,'5 A calc'!$A$2:$AR$203,14,FALSE)</f>
        <v>0.29414703270296477</v>
      </c>
      <c r="H15" s="4"/>
      <c r="I15" s="4"/>
      <c r="J15" s="686">
        <f>VLOOKUP($B15,'5 A calc'!$A$2:$AR$203,16,FALSE)</f>
        <v>5.0170517941146892E-6</v>
      </c>
      <c r="K15" s="27">
        <f>VLOOKUP($B15,'5 A calc'!$A$2:$AT$398,45,FALSE)</f>
        <v>38.265350164989712</v>
      </c>
      <c r="L15" s="686">
        <f>VLOOKUP($B15,'5 A calc'!$A$2:$AR$203,30,FALSE)</f>
        <v>2.600738521505678E-6</v>
      </c>
      <c r="M15" s="27">
        <f>VLOOKUP($B15,'5 A calc'!$A$2:$AT$398,46,FALSE)</f>
        <v>16.586629386739094</v>
      </c>
    </row>
    <row r="16" spans="1:13" x14ac:dyDescent="0.2">
      <c r="A16">
        <f>VLOOKUP(B16,'5 A data'!A15:G484,7,FALSE)</f>
        <v>1</v>
      </c>
      <c r="B16">
        <v>109</v>
      </c>
      <c r="D16" s="46" t="s">
        <v>543</v>
      </c>
      <c r="E16">
        <f>VLOOKUP($B16,'5 A calc'!$A$2:$AR$203,4,FALSE)</f>
        <v>20</v>
      </c>
      <c r="F16" s="4">
        <f>VLOOKUP($B16,'5 A calc'!$A$2:$AR$203,13,FALSE)</f>
        <v>-0.15287188563382736</v>
      </c>
      <c r="G16" s="4">
        <f>VLOOKUP($B16,'5 A calc'!$A$2:$AR$203,14,FALSE)</f>
        <v>0.2344463962186725</v>
      </c>
      <c r="H16" s="4"/>
      <c r="I16" s="4"/>
      <c r="J16" s="686">
        <f>VLOOKUP($B16,'5 A calc'!$A$2:$AR$203,16,FALSE)</f>
        <v>4.17832023036102E-6</v>
      </c>
      <c r="K16" s="27">
        <f>VLOOKUP($B16,'5 A calc'!$A$2:$AT$398,45,FALSE)</f>
        <v>36.657700403051521</v>
      </c>
      <c r="L16" s="686">
        <f>VLOOKUP($B16,'5 A calc'!$A$2:$AR$203,30,FALSE)</f>
        <v>1.9770475075939077E-6</v>
      </c>
      <c r="M16" s="27">
        <f>VLOOKUP($B16,'5 A calc'!$A$2:$AT$398,46,FALSE)</f>
        <v>53.09445811850042</v>
      </c>
    </row>
    <row r="17" spans="1:13" x14ac:dyDescent="0.2">
      <c r="A17">
        <f>VLOOKUP(B17,'5 A data'!A16:G485,7,FALSE)</f>
        <v>1</v>
      </c>
      <c r="B17">
        <v>110</v>
      </c>
      <c r="D17" s="46" t="s">
        <v>543</v>
      </c>
      <c r="E17">
        <f>VLOOKUP($B17,'5 A calc'!$A$2:$AR$203,4,FALSE)</f>
        <v>40</v>
      </c>
      <c r="F17" s="4">
        <f>VLOOKUP($B17,'5 A calc'!$A$2:$AR$203,13,FALSE)</f>
        <v>-0.1368880923984675</v>
      </c>
      <c r="G17" s="4">
        <f>VLOOKUP($B17,'5 A calc'!$A$2:$AR$203,14,FALSE)</f>
        <v>0.20386821720272824</v>
      </c>
      <c r="H17" s="4"/>
      <c r="I17" s="4"/>
      <c r="J17" s="686">
        <f>VLOOKUP($B17,'5 A calc'!$A$2:$AR$203,16,FALSE)</f>
        <v>3.3964590328801363E-6</v>
      </c>
      <c r="K17" s="27">
        <f>VLOOKUP($B17,'5 A calc'!$A$2:$AT$398,45,FALSE)</f>
        <v>38.659909732018328</v>
      </c>
      <c r="L17" s="686">
        <f>VLOOKUP($B17,'5 A calc'!$A$2:$AR$203,30,FALSE)</f>
        <v>1.6849048737447556E-6</v>
      </c>
      <c r="M17" s="27">
        <f>VLOOKUP($B17,'5 A calc'!$A$2:$AT$398,46,FALSE)</f>
        <v>52.499330597885681</v>
      </c>
    </row>
    <row r="18" spans="1:13" x14ac:dyDescent="0.2">
      <c r="A18">
        <f>VLOOKUP(B18,'5 A data'!A17:G486,7,FALSE)</f>
        <v>1</v>
      </c>
      <c r="B18">
        <v>111</v>
      </c>
      <c r="D18" s="46" t="s">
        <v>543</v>
      </c>
      <c r="E18">
        <f>VLOOKUP($B18,'5 A calc'!$A$2:$AR$203,4,FALSE)</f>
        <v>60</v>
      </c>
      <c r="F18" s="4">
        <f>VLOOKUP($B18,'5 A calc'!$A$2:$AR$203,13,FALSE)</f>
        <v>-0.12889639949761247</v>
      </c>
      <c r="G18" s="4">
        <f>VLOOKUP($B18,'5 A calc'!$A$2:$AR$203,14,FALSE)</f>
        <v>0.1893064209470979</v>
      </c>
      <c r="H18" s="4"/>
      <c r="I18" s="4"/>
      <c r="J18" s="686">
        <f>VLOOKUP($B18,'5 A calc'!$A$2:$AR$203,16,FALSE)</f>
        <v>2.9709098248278708E-6</v>
      </c>
      <c r="K18" s="27">
        <f>VLOOKUP($B18,'5 A calc'!$A$2:$AT$398,45,FALSE)</f>
        <v>42.291164682130272</v>
      </c>
      <c r="L18" s="686">
        <f>VLOOKUP($B18,'5 A calc'!$A$2:$AR$203,30,FALSE)</f>
        <v>1.6017059195029239E-6</v>
      </c>
      <c r="M18" s="27">
        <f>VLOOKUP($B18,'5 A calc'!$A$2:$AT$398,46,FALSE)</f>
        <v>48.978667479860043</v>
      </c>
    </row>
    <row r="19" spans="1:13" x14ac:dyDescent="0.2">
      <c r="A19">
        <f>VLOOKUP(B19,'5 A data'!A18:G487,7,FALSE)</f>
        <v>1</v>
      </c>
      <c r="B19">
        <v>112</v>
      </c>
      <c r="D19" s="46" t="s">
        <v>543</v>
      </c>
      <c r="E19">
        <f>VLOOKUP($B19,'5 A calc'!$A$2:$AR$203,4,FALSE)</f>
        <v>100</v>
      </c>
      <c r="F19" s="4">
        <f>VLOOKUP($B19,'5 A calc'!$A$2:$AR$203,13,FALSE)</f>
        <v>-0.12090653758511721</v>
      </c>
      <c r="G19" s="4">
        <f>VLOOKUP($B19,'5 A calc'!$A$2:$AR$203,14,FALSE)</f>
        <v>0.17474662383870593</v>
      </c>
      <c r="H19" s="4"/>
      <c r="I19" s="4"/>
      <c r="J19" s="686">
        <f>VLOOKUP($B19,'5 A calc'!$A$2:$AR$203,16,FALSE)</f>
        <v>2.4131313466023584E-6</v>
      </c>
      <c r="K19" s="27">
        <f>VLOOKUP($B19,'5 A calc'!$A$2:$AT$398,45,FALSE)</f>
        <v>59.567261398457461</v>
      </c>
      <c r="L19" s="686">
        <f>VLOOKUP($B19,'5 A calc'!$A$2:$AR$203,30,FALSE)</f>
        <v>1.6933288916776063E-6</v>
      </c>
      <c r="M19" s="27">
        <f>VLOOKUP($B19,'5 A calc'!$A$2:$AT$398,46,FALSE)</f>
        <v>45.732629829898706</v>
      </c>
    </row>
    <row r="20" spans="1:13" x14ac:dyDescent="0.2">
      <c r="A20">
        <f>VLOOKUP(B20,'5 A data'!A19:G488,7,FALSE)</f>
        <v>1</v>
      </c>
      <c r="B20">
        <v>113</v>
      </c>
      <c r="D20" s="46" t="s">
        <v>543</v>
      </c>
      <c r="E20">
        <f>VLOOKUP($B20,'5 A calc'!$A$2:$AR$203,4,FALSE)</f>
        <v>120</v>
      </c>
      <c r="F20" s="4">
        <f>VLOOKUP($B20,'5 A calc'!$A$2:$AR$203,13,FALSE)</f>
        <v>-0.11890947147813105</v>
      </c>
      <c r="G20" s="4">
        <f>VLOOKUP($B20,'5 A calc'!$A$2:$AR$203,14,FALSE)</f>
        <v>0.16892221110865976</v>
      </c>
      <c r="H20" s="4"/>
      <c r="I20" s="4"/>
      <c r="J20" s="686">
        <f>VLOOKUP($B20,'5 A calc'!$A$2:$AR$203,16,FALSE)</f>
        <v>2.2681305202526645E-6</v>
      </c>
      <c r="K20" s="27">
        <f>VLOOKUP($B20,'5 A calc'!$A$2:$AT$398,45,FALSE)</f>
        <v>68.00069900375496</v>
      </c>
      <c r="L20" s="686">
        <f>VLOOKUP($B20,'5 A calc'!$A$2:$AR$203,30,FALSE)</f>
        <v>1.7092397901526349E-6</v>
      </c>
      <c r="M20" s="27">
        <f>VLOOKUP($B20,'5 A calc'!$A$2:$AT$398,46,FALSE)</f>
        <v>47.345132453902309</v>
      </c>
    </row>
    <row r="23" spans="1:13" x14ac:dyDescent="0.2">
      <c r="A23">
        <f>VLOOKUP(B23,'5 A data'!A22:G491,7,FALSE)</f>
        <v>2</v>
      </c>
      <c r="B23">
        <v>117</v>
      </c>
      <c r="D23" s="46" t="s">
        <v>539</v>
      </c>
      <c r="E23">
        <f>VLOOKUP($B23,'5 A calc'!$A$2:$AR$203,4,FALSE)</f>
        <v>5</v>
      </c>
      <c r="F23" s="4">
        <f>VLOOKUP($B23,'5 A calc'!$A$2:$AR$203,13,FALSE)</f>
        <v>-0.67953282140120985</v>
      </c>
      <c r="G23" s="4">
        <f>VLOOKUP($B23,'5 A calc'!$A$2:$AR$203,14,FALSE)</f>
        <v>1.0426156429734734</v>
      </c>
      <c r="H23" s="4"/>
      <c r="I23" s="4"/>
      <c r="J23" s="686">
        <f>VLOOKUP($B23,'5 A calc'!$A$2:$AR$203,16,FALSE)</f>
        <v>6.4429594675743464E-6</v>
      </c>
      <c r="K23" s="27">
        <f>VLOOKUP($B23,'5 A calc'!$A$2:$AT$398,45,FALSE)</f>
        <v>26.31606241070681</v>
      </c>
      <c r="L23" s="686">
        <f>VLOOKUP($B23,'5 A calc'!$A$2:$AR$203,30,FALSE)</f>
        <v>4.6788986298833412E-6</v>
      </c>
      <c r="M23" s="27">
        <f>VLOOKUP($B23,'5 A calc'!$A$2:$AT$398,46,FALSE)</f>
        <v>9.9413455012810044</v>
      </c>
    </row>
    <row r="24" spans="1:13" x14ac:dyDescent="0.2">
      <c r="A24">
        <f>VLOOKUP(B24,'5 A data'!A23:G492,7,FALSE)</f>
        <v>2</v>
      </c>
      <c r="B24">
        <v>118</v>
      </c>
      <c r="D24" s="46" t="s">
        <v>539</v>
      </c>
      <c r="E24">
        <f>VLOOKUP($B24,'5 A calc'!$A$2:$AR$203,4,FALSE)</f>
        <v>10</v>
      </c>
      <c r="F24" s="4">
        <f>VLOOKUP($B24,'5 A calc'!$A$2:$AR$203,13,FALSE)</f>
        <v>-0.60358303746751041</v>
      </c>
      <c r="G24" s="4">
        <f>VLOOKUP($B24,'5 A calc'!$A$2:$AR$203,14,FALSE)</f>
        <v>0.89699749614666746</v>
      </c>
      <c r="H24" s="4"/>
      <c r="I24" s="4"/>
      <c r="J24" s="686">
        <f>VLOOKUP($B24,'5 A calc'!$A$2:$AR$203,16,FALSE)</f>
        <v>5.0170517941146892E-6</v>
      </c>
      <c r="K24" s="27">
        <f>VLOOKUP($B24,'5 A calc'!$A$2:$AT$398,45,FALSE)</f>
        <v>38.265350164989712</v>
      </c>
      <c r="L24" s="686">
        <f>VLOOKUP($B24,'5 A calc'!$A$2:$AR$203,30,FALSE)</f>
        <v>2.600738521505678E-6</v>
      </c>
      <c r="M24" s="27">
        <f>VLOOKUP($B24,'5 A calc'!$A$2:$AT$398,46,FALSE)</f>
        <v>16.586629386739094</v>
      </c>
    </row>
    <row r="25" spans="1:13" x14ac:dyDescent="0.2">
      <c r="A25">
        <f>VLOOKUP(B25,'5 A data'!A24:G493,7,FALSE)</f>
        <v>2</v>
      </c>
      <c r="B25">
        <v>119</v>
      </c>
      <c r="D25" s="46" t="s">
        <v>539</v>
      </c>
      <c r="E25">
        <f>VLOOKUP($B25,'5 A calc'!$A$2:$AR$203,4,FALSE)</f>
        <v>20</v>
      </c>
      <c r="F25" s="4">
        <f>VLOOKUP($B25,'5 A calc'!$A$2:$AR$203,13,FALSE)</f>
        <v>-0.54762188974690429</v>
      </c>
      <c r="G25" s="4">
        <f>VLOOKUP($B25,'5 A calc'!$A$2:$AR$203,14,FALSE)</f>
        <v>0.78633124077220728</v>
      </c>
      <c r="H25" s="4"/>
      <c r="I25" s="4"/>
      <c r="J25" s="686">
        <f>VLOOKUP($B25,'5 A calc'!$A$2:$AR$203,16,FALSE)</f>
        <v>4.17832023036102E-6</v>
      </c>
      <c r="K25" s="27">
        <f>VLOOKUP($B25,'5 A calc'!$A$2:$AT$398,45,FALSE)</f>
        <v>36.657700403051521</v>
      </c>
      <c r="L25" s="686">
        <f>VLOOKUP($B25,'5 A calc'!$A$2:$AR$203,30,FALSE)</f>
        <v>1.9770475075939077E-6</v>
      </c>
      <c r="M25" s="27">
        <f>VLOOKUP($B25,'5 A calc'!$A$2:$AT$398,46,FALSE)</f>
        <v>53.09445811850042</v>
      </c>
    </row>
    <row r="26" spans="1:13" x14ac:dyDescent="0.2">
      <c r="A26">
        <f>VLOOKUP(B26,'5 A data'!A25:G494,7,FALSE)</f>
        <v>2</v>
      </c>
      <c r="B26">
        <v>120</v>
      </c>
      <c r="D26" s="46" t="s">
        <v>539</v>
      </c>
      <c r="E26">
        <f>VLOOKUP($B26,'5 A calc'!$A$2:$AR$203,4,FALSE)</f>
        <v>40</v>
      </c>
      <c r="F26" s="4">
        <f>VLOOKUP($B26,'5 A calc'!$A$2:$AR$203,13,FALSE)</f>
        <v>-0.50165708354093086</v>
      </c>
      <c r="G26" s="4">
        <f>VLOOKUP($B26,'5 A calc'!$A$2:$AR$203,14,FALSE)</f>
        <v>0.70187512178665656</v>
      </c>
      <c r="H26" s="4"/>
      <c r="I26" s="4"/>
      <c r="J26" s="686">
        <f>VLOOKUP($B26,'5 A calc'!$A$2:$AR$203,16,FALSE)</f>
        <v>3.3964590328801363E-6</v>
      </c>
      <c r="K26" s="27">
        <f>VLOOKUP($B26,'5 A calc'!$A$2:$AT$398,45,FALSE)</f>
        <v>38.659909732018328</v>
      </c>
      <c r="L26" s="686">
        <f>VLOOKUP($B26,'5 A calc'!$A$2:$AR$203,30,FALSE)</f>
        <v>1.6849048737447556E-6</v>
      </c>
      <c r="M26" s="27">
        <f>VLOOKUP($B26,'5 A calc'!$A$2:$AT$398,46,FALSE)</f>
        <v>52.499330597885681</v>
      </c>
    </row>
    <row r="27" spans="1:13" x14ac:dyDescent="0.2">
      <c r="A27">
        <f>VLOOKUP(B27,'5 A data'!A26:G495,7,FALSE)</f>
        <v>2</v>
      </c>
      <c r="B27">
        <v>121</v>
      </c>
      <c r="D27" s="46" t="s">
        <v>539</v>
      </c>
      <c r="E27">
        <f>VLOOKUP($B27,'5 A calc'!$A$2:$AR$203,4,FALSE)</f>
        <v>60</v>
      </c>
      <c r="F27" s="4">
        <f>VLOOKUP($B27,'5 A calc'!$A$2:$AR$203,13,FALSE)</f>
        <v>-0.49166665644203494</v>
      </c>
      <c r="G27" s="4">
        <f>VLOOKUP($B27,'5 A calc'!$A$2:$AR$203,14,FALSE)</f>
        <v>0.63489154610113918</v>
      </c>
      <c r="H27" s="4"/>
      <c r="I27" s="4"/>
      <c r="J27" s="686">
        <f>VLOOKUP($B27,'5 A calc'!$A$2:$AR$203,16,FALSE)</f>
        <v>2.9709098248278708E-6</v>
      </c>
      <c r="K27" s="27">
        <f>VLOOKUP($B27,'5 A calc'!$A$2:$AT$398,45,FALSE)</f>
        <v>42.291164682130272</v>
      </c>
      <c r="L27" s="686">
        <f>VLOOKUP($B27,'5 A calc'!$A$2:$AR$203,30,FALSE)</f>
        <v>1.6017059195029239E-6</v>
      </c>
      <c r="M27" s="27">
        <f>VLOOKUP($B27,'5 A calc'!$A$2:$AT$398,46,FALSE)</f>
        <v>48.978667479860043</v>
      </c>
    </row>
    <row r="28" spans="1:13" x14ac:dyDescent="0.2">
      <c r="A28">
        <f>VLOOKUP(B28,'5 A data'!A27:G496,7,FALSE)</f>
        <v>2</v>
      </c>
      <c r="B28">
        <v>122</v>
      </c>
      <c r="D28" s="46" t="s">
        <v>539</v>
      </c>
      <c r="E28">
        <f>VLOOKUP($B28,'5 A calc'!$A$2:$AR$203,4,FALSE)</f>
        <v>100</v>
      </c>
      <c r="F28" s="4">
        <f>VLOOKUP($B28,'5 A calc'!$A$2:$AR$203,13,FALSE)</f>
        <v>-0.46968565514325344</v>
      </c>
      <c r="G28" s="4">
        <f>VLOOKUP($B28,'5 A calc'!$A$2:$AR$203,14,FALSE)</f>
        <v>0.52713747445072545</v>
      </c>
      <c r="H28" s="4"/>
      <c r="I28" s="4"/>
      <c r="J28" s="686">
        <f>VLOOKUP($B28,'5 A calc'!$A$2:$AR$203,16,FALSE)</f>
        <v>2.4131313466023584E-6</v>
      </c>
      <c r="K28" s="27">
        <f>VLOOKUP($B28,'5 A calc'!$A$2:$AT$398,45,FALSE)</f>
        <v>59.567261398457461</v>
      </c>
      <c r="L28" s="686">
        <f>VLOOKUP($B28,'5 A calc'!$A$2:$AR$203,30,FALSE)</f>
        <v>1.6933288916776063E-6</v>
      </c>
      <c r="M28" s="27">
        <f>VLOOKUP($B28,'5 A calc'!$A$2:$AT$398,46,FALSE)</f>
        <v>45.732629829898706</v>
      </c>
    </row>
    <row r="29" spans="1:13" x14ac:dyDescent="0.2">
      <c r="A29">
        <f>VLOOKUP(B29,'5 A data'!A28:G497,7,FALSE)</f>
        <v>2</v>
      </c>
      <c r="B29">
        <v>123</v>
      </c>
      <c r="D29" s="46" t="s">
        <v>539</v>
      </c>
      <c r="E29">
        <f>VLOOKUP($B29,'5 A calc'!$A$2:$AR$203,4,FALSE)</f>
        <v>120</v>
      </c>
      <c r="F29" s="4">
        <f>VLOOKUP($B29,'5 A calc'!$A$2:$AR$203,13,FALSE)</f>
        <v>-0.45869428514508326</v>
      </c>
      <c r="G29" s="4">
        <f>VLOOKUP($B29,'5 A calc'!$A$2:$AR$203,14,FALSE)</f>
        <v>0.483452887687983</v>
      </c>
      <c r="H29" s="4"/>
      <c r="I29" s="4"/>
      <c r="J29" s="686">
        <f>VLOOKUP($B29,'5 A calc'!$A$2:$AR$203,16,FALSE)</f>
        <v>2.2681305202526645E-6</v>
      </c>
      <c r="K29" s="27">
        <f>VLOOKUP($B29,'5 A calc'!$A$2:$AT$398,45,FALSE)</f>
        <v>68.00069900375496</v>
      </c>
      <c r="L29" s="686">
        <f>VLOOKUP($B29,'5 A calc'!$A$2:$AR$203,30,FALSE)</f>
        <v>1.7092397901526349E-6</v>
      </c>
      <c r="M29" s="27">
        <f>VLOOKUP($B29,'5 A calc'!$A$2:$AT$398,46,FALSE)</f>
        <v>47.345132453902309</v>
      </c>
    </row>
    <row r="30" spans="1:13" x14ac:dyDescent="0.2">
      <c r="H30" s="4"/>
      <c r="I30" s="4"/>
      <c r="J30" s="686"/>
      <c r="K30" s="27"/>
      <c r="L30" s="686"/>
    </row>
    <row r="31" spans="1:13" x14ac:dyDescent="0.2">
      <c r="A31">
        <f>VLOOKUP(B31,'5 A data'!A30:G499,7,FALSE)</f>
        <v>1</v>
      </c>
      <c r="B31">
        <v>125</v>
      </c>
      <c r="D31" s="46" t="s">
        <v>543</v>
      </c>
      <c r="E31">
        <f>VLOOKUP($B31,'5 A calc'!$A$2:$AR$203,4,FALSE)</f>
        <v>5</v>
      </c>
      <c r="F31" s="4">
        <f>VLOOKUP($B31,'5 A calc'!$A$2:$AR$203,13,FALSE)</f>
        <v>-0.23181636104004924</v>
      </c>
      <c r="G31" s="4">
        <f>VLOOKUP($B31,'5 A calc'!$A$2:$AR$203,14,FALSE)</f>
        <v>0.39608036333819824</v>
      </c>
      <c r="H31" s="4"/>
      <c r="I31" s="4"/>
      <c r="J31" s="686">
        <f>VLOOKUP($B31,'5 A calc'!$A$2:$AR$203,16,FALSE)</f>
        <v>6.4429594675743464E-6</v>
      </c>
      <c r="K31" s="27">
        <f>VLOOKUP($B31,'5 A calc'!$A$2:$AT$398,45,FALSE)</f>
        <v>26.31606241070681</v>
      </c>
      <c r="L31" s="686">
        <f>VLOOKUP($B31,'5 A calc'!$A$2:$AR$203,30,FALSE)</f>
        <v>4.6788986298833412E-6</v>
      </c>
      <c r="M31" s="27">
        <f>VLOOKUP($B31,'5 A calc'!$A$2:$AT$398,46,FALSE)</f>
        <v>9.9413455012810044</v>
      </c>
    </row>
    <row r="32" spans="1:13" x14ac:dyDescent="0.2">
      <c r="A32">
        <f>VLOOKUP(B32,'5 A data'!A31:G500,7,FALSE)</f>
        <v>1</v>
      </c>
      <c r="B32">
        <v>126</v>
      </c>
      <c r="D32" s="46" t="s">
        <v>543</v>
      </c>
      <c r="E32">
        <f>VLOOKUP($B32,'5 A calc'!$A$2:$AR$203,4,FALSE)</f>
        <v>10</v>
      </c>
      <c r="F32" s="4">
        <f>VLOOKUP($B32,'5 A calc'!$A$2:$AR$203,13,FALSE)</f>
        <v>-0.18484822297794287</v>
      </c>
      <c r="G32" s="4">
        <f>VLOOKUP($B32,'5 A calc'!$A$2:$AR$203,14,FALSE)</f>
        <v>0.29705935378240289</v>
      </c>
      <c r="H32" s="4"/>
      <c r="I32" s="4"/>
      <c r="J32" s="686">
        <f>VLOOKUP($B32,'5 A calc'!$A$2:$AR$203,16,FALSE)</f>
        <v>5.0170517941146892E-6</v>
      </c>
      <c r="K32" s="27">
        <f>VLOOKUP($B32,'5 A calc'!$A$2:$AT$398,45,FALSE)</f>
        <v>38.265350164989712</v>
      </c>
      <c r="L32" s="686">
        <f>VLOOKUP($B32,'5 A calc'!$A$2:$AR$203,30,FALSE)</f>
        <v>2.600738521505678E-6</v>
      </c>
      <c r="M32" s="27">
        <f>VLOOKUP($B32,'5 A calc'!$A$2:$AT$398,46,FALSE)</f>
        <v>16.586629386739094</v>
      </c>
    </row>
    <row r="33" spans="1:13" x14ac:dyDescent="0.2">
      <c r="A33">
        <f>VLOOKUP(B33,'5 A data'!A32:G501,7,FALSE)</f>
        <v>1</v>
      </c>
      <c r="B33">
        <v>127</v>
      </c>
      <c r="D33" s="46" t="s">
        <v>543</v>
      </c>
      <c r="E33">
        <f>VLOOKUP($B33,'5 A calc'!$A$2:$AR$203,4,FALSE)</f>
        <v>20</v>
      </c>
      <c r="F33" s="4">
        <f>VLOOKUP($B33,'5 A calc'!$A$2:$AR$203,13,FALSE)</f>
        <v>-0.15686935402990917</v>
      </c>
      <c r="G33" s="4">
        <f>VLOOKUP($B33,'5 A calc'!$A$2:$AR$203,14,FALSE)</f>
        <v>0.24172719891726796</v>
      </c>
      <c r="H33" s="4"/>
      <c r="I33" s="4"/>
      <c r="J33" s="686">
        <f>VLOOKUP($B33,'5 A calc'!$A$2:$AR$203,16,FALSE)</f>
        <v>4.17832023036102E-6</v>
      </c>
      <c r="K33" s="27">
        <f>VLOOKUP($B33,'5 A calc'!$A$2:$AT$398,45,FALSE)</f>
        <v>36.657700403051521</v>
      </c>
      <c r="L33" s="686">
        <f>VLOOKUP($B33,'5 A calc'!$A$2:$AR$203,30,FALSE)</f>
        <v>1.9770475075939077E-6</v>
      </c>
      <c r="M33" s="27">
        <f>VLOOKUP($B33,'5 A calc'!$A$2:$AT$398,46,FALSE)</f>
        <v>53.09445811850042</v>
      </c>
    </row>
    <row r="34" spans="1:13" x14ac:dyDescent="0.2">
      <c r="A34">
        <f>VLOOKUP(B34,'5 A data'!A33:G502,7,FALSE)</f>
        <v>1</v>
      </c>
      <c r="B34">
        <v>128</v>
      </c>
      <c r="D34" s="46" t="s">
        <v>543</v>
      </c>
      <c r="E34">
        <f>VLOOKUP($B34,'5 A calc'!$A$2:$AR$203,4,FALSE)</f>
        <v>40</v>
      </c>
      <c r="F34" s="4">
        <f>VLOOKUP($B34,'5 A calc'!$A$2:$AR$203,13,FALSE)</f>
        <v>-0.13788745949748793</v>
      </c>
      <c r="G34" s="4">
        <f>VLOOKUP($B34,'5 A calc'!$A$2:$AR$203,14,FALSE)</f>
        <v>0.20532437774244733</v>
      </c>
      <c r="H34" s="4"/>
      <c r="I34" s="4"/>
      <c r="J34" s="686">
        <f>VLOOKUP($B34,'5 A calc'!$A$2:$AR$203,16,FALSE)</f>
        <v>3.3964590328801363E-6</v>
      </c>
      <c r="K34" s="27">
        <f>VLOOKUP($B34,'5 A calc'!$A$2:$AT$398,45,FALSE)</f>
        <v>38.659909732018328</v>
      </c>
      <c r="L34" s="686">
        <f>VLOOKUP($B34,'5 A calc'!$A$2:$AR$203,30,FALSE)</f>
        <v>1.6849048737447556E-6</v>
      </c>
      <c r="M34" s="27">
        <f>VLOOKUP($B34,'5 A calc'!$A$2:$AT$398,46,FALSE)</f>
        <v>52.499330597885681</v>
      </c>
    </row>
    <row r="35" spans="1:13" x14ac:dyDescent="0.2">
      <c r="A35">
        <f>VLOOKUP(B35,'5 A data'!A34:G503,7,FALSE)</f>
        <v>1</v>
      </c>
      <c r="B35">
        <v>129</v>
      </c>
      <c r="D35" s="46" t="s">
        <v>543</v>
      </c>
      <c r="E35">
        <f>VLOOKUP($B35,'5 A calc'!$A$2:$AR$203,4,FALSE)</f>
        <v>60</v>
      </c>
      <c r="F35" s="4">
        <f>VLOOKUP($B35,'5 A calc'!$A$2:$AR$203,13,FALSE)</f>
        <v>-0.12989576659663293</v>
      </c>
      <c r="G35" s="4">
        <f>VLOOKUP($B35,'5 A calc'!$A$2:$AR$203,14,FALSE)</f>
        <v>0.19076258148681702</v>
      </c>
      <c r="H35" s="4"/>
      <c r="I35" s="4"/>
      <c r="J35" s="686">
        <f>VLOOKUP($B35,'5 A calc'!$A$2:$AR$203,16,FALSE)</f>
        <v>2.9709098248278708E-6</v>
      </c>
      <c r="K35" s="27">
        <f>VLOOKUP($B35,'5 A calc'!$A$2:$AT$398,45,FALSE)</f>
        <v>42.291164682130272</v>
      </c>
      <c r="L35" s="686">
        <f>VLOOKUP($B35,'5 A calc'!$A$2:$AR$203,30,FALSE)</f>
        <v>1.6017059195029239E-6</v>
      </c>
      <c r="M35" s="27">
        <f>VLOOKUP($B35,'5 A calc'!$A$2:$AT$398,46,FALSE)</f>
        <v>48.978667479860043</v>
      </c>
    </row>
    <row r="36" spans="1:13" x14ac:dyDescent="0.2">
      <c r="A36">
        <f>VLOOKUP(B36,'5 A data'!A35:G504,7,FALSE)</f>
        <v>1</v>
      </c>
      <c r="B36">
        <v>130</v>
      </c>
      <c r="D36" s="46" t="s">
        <v>543</v>
      </c>
      <c r="E36">
        <f>VLOOKUP($B36,'5 A calc'!$A$2:$AR$203,4,FALSE)</f>
        <v>100</v>
      </c>
      <c r="F36" s="4">
        <f>VLOOKUP($B36,'5 A calc'!$A$2:$AR$203,13,FALSE)</f>
        <v>-0.12090653758511721</v>
      </c>
      <c r="G36" s="4">
        <f>VLOOKUP($B36,'5 A calc'!$A$2:$AR$203,14,FALSE)</f>
        <v>0.17474662383870593</v>
      </c>
      <c r="H36" s="4"/>
      <c r="I36" s="4"/>
      <c r="J36" s="686">
        <f>VLOOKUP($B36,'5 A calc'!$A$2:$AR$203,16,FALSE)</f>
        <v>2.4131313466023584E-6</v>
      </c>
      <c r="K36" s="27">
        <f>VLOOKUP($B36,'5 A calc'!$A$2:$AT$398,45,FALSE)</f>
        <v>59.567261398457461</v>
      </c>
      <c r="L36" s="686">
        <f>VLOOKUP($B36,'5 A calc'!$A$2:$AR$203,30,FALSE)</f>
        <v>1.6933288916776063E-6</v>
      </c>
      <c r="M36" s="27">
        <f>VLOOKUP($B36,'5 A calc'!$A$2:$AT$398,46,FALSE)</f>
        <v>45.732629829898706</v>
      </c>
    </row>
    <row r="37" spans="1:13" x14ac:dyDescent="0.2">
      <c r="A37">
        <f>VLOOKUP(B37,'5 A data'!A36:G505,7,FALSE)</f>
        <v>1</v>
      </c>
      <c r="B37">
        <v>131</v>
      </c>
      <c r="D37" s="46" t="s">
        <v>543</v>
      </c>
      <c r="E37">
        <f>VLOOKUP($B37,'5 A calc'!$A$2:$AR$203,4,FALSE)</f>
        <v>120</v>
      </c>
      <c r="F37" s="4">
        <f>VLOOKUP($B37,'5 A calc'!$A$2:$AR$203,13,FALSE)</f>
        <v>-0.11940915502764127</v>
      </c>
      <c r="G37" s="4">
        <f>VLOOKUP($B37,'5 A calc'!$A$2:$AR$203,14,FALSE)</f>
        <v>0.17183453218809797</v>
      </c>
      <c r="H37" s="4"/>
      <c r="I37" s="4"/>
      <c r="J37" s="686">
        <f>VLOOKUP($B37,'5 A calc'!$A$2:$AR$203,16,FALSE)</f>
        <v>2.2681305202526645E-6</v>
      </c>
      <c r="K37" s="27">
        <f>VLOOKUP($B37,'5 A calc'!$A$2:$AT$398,45,FALSE)</f>
        <v>68.00069900375496</v>
      </c>
      <c r="L37" s="686">
        <f>VLOOKUP($B37,'5 A calc'!$A$2:$AR$203,30,FALSE)</f>
        <v>1.7092397901526349E-6</v>
      </c>
      <c r="M37" s="27">
        <f>VLOOKUP($B37,'5 A calc'!$A$2:$AT$398,46,FALSE)</f>
        <v>47.345132453902309</v>
      </c>
    </row>
    <row r="40" spans="1:13" x14ac:dyDescent="0.2">
      <c r="A40">
        <f>VLOOKUP(B40,'5 A data'!A39:G508,7,FALSE)</f>
        <v>2</v>
      </c>
      <c r="B40" s="68">
        <v>135</v>
      </c>
      <c r="D40" t="s">
        <v>480</v>
      </c>
      <c r="E40">
        <f>VLOOKUP($B40,'5 A calc'!$A$2:$AR$203,4,FALSE)</f>
        <v>5</v>
      </c>
      <c r="F40" s="4">
        <f>VLOOKUP($B40,'5 A calc'!$A$2:$AR$203,13,FALSE)</f>
        <v>-0.77547206290717274</v>
      </c>
      <c r="G40" s="4">
        <f>VLOOKUP($B40,'5 A calc'!$A$2:$AR$203,14,FALSE)</f>
        <v>1.1707577704687537</v>
      </c>
      <c r="H40" s="4"/>
      <c r="I40" s="4"/>
      <c r="J40" s="686">
        <f>VLOOKUP($B40,'5 A calc'!$A$2:$AR$203,16,FALSE)</f>
        <v>6.4429594675743464E-6</v>
      </c>
      <c r="K40" s="27">
        <f>VLOOKUP($B40,'5 A calc'!$A$2:$AT$398,45,FALSE)</f>
        <v>26.31606241070681</v>
      </c>
      <c r="L40" s="686">
        <f>VLOOKUP($B40,'5 A calc'!$A$2:$AR$203,30,FALSE)</f>
        <v>4.6788986298833412E-6</v>
      </c>
      <c r="M40" s="27">
        <f>VLOOKUP($B40,'5 A calc'!$A$2:$AT$398,46,FALSE)</f>
        <v>9.9413455012810044</v>
      </c>
    </row>
    <row r="41" spans="1:13" x14ac:dyDescent="0.2">
      <c r="A41">
        <f>VLOOKUP(B41,'5 A data'!A40:G509,7,FALSE)</f>
        <v>2</v>
      </c>
      <c r="B41">
        <v>136</v>
      </c>
      <c r="D41" t="s">
        <v>480</v>
      </c>
      <c r="E41">
        <f>VLOOKUP($B41,'5 A calc'!$A$2:$AR$203,4,FALSE)</f>
        <v>10</v>
      </c>
      <c r="F41" s="4">
        <f>VLOOKUP($B41,'5 A calc'!$A$2:$AR$203,13,FALSE)</f>
        <v>-0.68952860798326887</v>
      </c>
      <c r="G41" s="4">
        <f>VLOOKUP($B41,'5 A calc'!$A$2:$AR$203,14,FALSE)</f>
        <v>1.00475337608588</v>
      </c>
      <c r="H41" s="4"/>
      <c r="I41" s="4"/>
      <c r="J41" s="686">
        <f>VLOOKUP($B41,'5 A calc'!$A$2:$AR$203,16,FALSE)</f>
        <v>5.0170517941146892E-6</v>
      </c>
      <c r="K41" s="27">
        <f>VLOOKUP($B41,'5 A calc'!$A$2:$AT$398,45,FALSE)</f>
        <v>38.265350164989712</v>
      </c>
      <c r="L41" s="686">
        <f>VLOOKUP($B41,'5 A calc'!$A$2:$AR$203,30,FALSE)</f>
        <v>2.600738521505678E-6</v>
      </c>
      <c r="M41" s="27">
        <f>VLOOKUP($B41,'5 A calc'!$A$2:$AT$398,46,FALSE)</f>
        <v>16.586629386739094</v>
      </c>
    </row>
    <row r="42" spans="1:13" x14ac:dyDescent="0.2">
      <c r="A42">
        <f>VLOOKUP(B42,'5 A data'!A41:G510,7,FALSE)</f>
        <v>2</v>
      </c>
      <c r="B42" s="68">
        <v>137</v>
      </c>
      <c r="D42" t="s">
        <v>480</v>
      </c>
      <c r="E42">
        <f>VLOOKUP($B42,'5 A calc'!$A$2:$AR$203,4,FALSE)</f>
        <v>20</v>
      </c>
      <c r="F42" s="4">
        <f>VLOOKUP($B42,'5 A calc'!$A$2:$AR$203,13,FALSE)</f>
        <v>-0.62357378927245821</v>
      </c>
      <c r="G42" s="4">
        <f>VLOOKUP($B42,'5 A calc'!$A$2:$AR$203,14,FALSE)</f>
        <v>0.89117479963198143</v>
      </c>
      <c r="H42" s="4"/>
      <c r="I42" s="4"/>
      <c r="J42" s="686">
        <f>VLOOKUP($B42,'5 A calc'!$A$2:$AR$203,16,FALSE)</f>
        <v>4.17832023036102E-6</v>
      </c>
      <c r="K42" s="27">
        <f>VLOOKUP($B42,'5 A calc'!$A$2:$AT$398,45,FALSE)</f>
        <v>36.657700403051521</v>
      </c>
      <c r="L42" s="686">
        <f>VLOOKUP($B42,'5 A calc'!$A$2:$AR$203,30,FALSE)</f>
        <v>1.9770475075939077E-6</v>
      </c>
      <c r="M42" s="27">
        <f>VLOOKUP($B42,'5 A calc'!$A$2:$AT$398,46,FALSE)</f>
        <v>53.09445811850042</v>
      </c>
    </row>
    <row r="43" spans="1:13" x14ac:dyDescent="0.2">
      <c r="A43">
        <f>VLOOKUP(B43,'5 A data'!A42:G511,7,FALSE)</f>
        <v>2</v>
      </c>
      <c r="B43">
        <v>138</v>
      </c>
      <c r="D43" t="s">
        <v>480</v>
      </c>
      <c r="E43">
        <f>VLOOKUP($B43,'5 A calc'!$A$2:$AR$203,4,FALSE)</f>
        <v>40</v>
      </c>
      <c r="F43" s="4">
        <f>VLOOKUP($B43,'5 A calc'!$A$2:$AR$203,13,FALSE)</f>
        <v>-0.57760898306648478</v>
      </c>
      <c r="G43" s="4">
        <f>VLOOKUP($B43,'5 A calc'!$A$2:$AR$203,14,FALSE)</f>
        <v>0.78633243309036394</v>
      </c>
      <c r="H43" s="4"/>
      <c r="I43" s="4"/>
      <c r="J43" s="686">
        <f>VLOOKUP($B43,'5 A calc'!$A$2:$AR$203,16,FALSE)</f>
        <v>3.3964590328801363E-6</v>
      </c>
      <c r="K43" s="27">
        <f>VLOOKUP($B43,'5 A calc'!$A$2:$AT$398,45,FALSE)</f>
        <v>38.659909732018328</v>
      </c>
      <c r="L43" s="686">
        <f>VLOOKUP($B43,'5 A calc'!$A$2:$AR$203,30,FALSE)</f>
        <v>1.6849048737447556E-6</v>
      </c>
      <c r="M43" s="27">
        <f>VLOOKUP($B43,'5 A calc'!$A$2:$AT$398,46,FALSE)</f>
        <v>52.499330597885681</v>
      </c>
    </row>
    <row r="44" spans="1:13" x14ac:dyDescent="0.2">
      <c r="A44">
        <f>VLOOKUP(B44,'5 A data'!A43:G512,7,FALSE)</f>
        <v>2</v>
      </c>
      <c r="B44" s="68">
        <v>139</v>
      </c>
      <c r="D44" t="s">
        <v>480</v>
      </c>
      <c r="E44">
        <f>VLOOKUP($B44,'5 A calc'!$A$2:$AR$203,4,FALSE)</f>
        <v>60</v>
      </c>
      <c r="F44" s="4">
        <f>VLOOKUP($B44,'5 A calc'!$A$2:$AR$203,13,FALSE)</f>
        <v>-0.56162235337346633</v>
      </c>
      <c r="G44" s="4">
        <f>VLOOKUP($B44,'5 A calc'!$A$2:$AR$203,14,FALSE)</f>
        <v>0.70478725200765535</v>
      </c>
      <c r="H44" s="4"/>
      <c r="I44" s="4"/>
      <c r="J44" s="686">
        <f>VLOOKUP($B44,'5 A calc'!$A$2:$AR$203,16,FALSE)</f>
        <v>2.9709098248278708E-6</v>
      </c>
      <c r="K44" s="27">
        <f>VLOOKUP($B44,'5 A calc'!$A$2:$AT$398,45,FALSE)</f>
        <v>42.291164682130272</v>
      </c>
      <c r="L44" s="686">
        <f>VLOOKUP($B44,'5 A calc'!$A$2:$AR$203,30,FALSE)</f>
        <v>1.6017059195029239E-6</v>
      </c>
      <c r="M44" s="27">
        <f>VLOOKUP($B44,'5 A calc'!$A$2:$AT$398,46,FALSE)</f>
        <v>48.978667479860043</v>
      </c>
    </row>
    <row r="45" spans="1:13" x14ac:dyDescent="0.2">
      <c r="A45">
        <f>VLOOKUP(B45,'5 A data'!A44:G513,7,FALSE)</f>
        <v>2</v>
      </c>
      <c r="B45">
        <v>140</v>
      </c>
      <c r="D45" t="s">
        <v>480</v>
      </c>
      <c r="E45">
        <f>VLOOKUP($B45,'5 A calc'!$A$2:$AR$203,4,FALSE)</f>
        <v>100</v>
      </c>
      <c r="F45" s="4">
        <f>VLOOKUP($B45,'5 A calc'!$A$2:$AR$203,13,FALSE)</f>
        <v>-0.53564388367860305</v>
      </c>
      <c r="G45" s="4">
        <f>VLOOKUP($B45,'5 A calc'!$A$2:$AR$203,14,FALSE)</f>
        <v>0.56499764848342171</v>
      </c>
      <c r="H45" s="4"/>
      <c r="I45" s="4"/>
      <c r="J45" s="686">
        <f>VLOOKUP($B45,'5 A calc'!$A$2:$AR$203,16,FALSE)</f>
        <v>2.4131313466023584E-6</v>
      </c>
      <c r="K45" s="27">
        <f>VLOOKUP($B45,'5 A calc'!$A$2:$AT$398,45,FALSE)</f>
        <v>59.567261398457461</v>
      </c>
      <c r="L45" s="686">
        <f>VLOOKUP($B45,'5 A calc'!$A$2:$AR$203,30,FALSE)</f>
        <v>1.6933288916776063E-6</v>
      </c>
      <c r="M45" s="27">
        <f>VLOOKUP($B45,'5 A calc'!$A$2:$AT$398,46,FALSE)</f>
        <v>45.732629829898706</v>
      </c>
    </row>
    <row r="46" spans="1:13" x14ac:dyDescent="0.2">
      <c r="A46">
        <f>VLOOKUP(B46,'5 A data'!A45:G514,7,FALSE)</f>
        <v>2</v>
      </c>
      <c r="B46" s="68">
        <v>141</v>
      </c>
      <c r="D46" t="s">
        <v>480</v>
      </c>
      <c r="E46">
        <f>VLOOKUP($B46,'5 A calc'!$A$2:$AR$203,4,FALSE)</f>
        <v>120</v>
      </c>
      <c r="F46" s="4">
        <f>VLOOKUP($B46,'5 A calc'!$A$2:$AR$203,13,FALSE)</f>
        <v>-0.51965567818533065</v>
      </c>
      <c r="G46" s="4">
        <f>VLOOKUP($B46,'5 A calc'!$A$2:$AR$203,14,FALSE)</f>
        <v>0.51840074064124109</v>
      </c>
      <c r="H46" s="4"/>
      <c r="I46" s="4"/>
      <c r="J46" s="686">
        <f>VLOOKUP($B46,'5 A calc'!$A$2:$AR$203,16,FALSE)</f>
        <v>2.2681305202526645E-6</v>
      </c>
      <c r="K46" s="27">
        <f>VLOOKUP($B46,'5 A calc'!$A$2:$AT$398,45,FALSE)</f>
        <v>68.00069900375496</v>
      </c>
      <c r="L46" s="686">
        <f>VLOOKUP($B46,'5 A calc'!$A$2:$AR$203,30,FALSE)</f>
        <v>1.7092397901526349E-6</v>
      </c>
      <c r="M46" s="27">
        <f>VLOOKUP($B46,'5 A calc'!$A$2:$AT$398,46,FALSE)</f>
        <v>47.345132453902309</v>
      </c>
    </row>
    <row r="47" spans="1:13" x14ac:dyDescent="0.2">
      <c r="H47" s="4"/>
      <c r="I47" s="4"/>
      <c r="J47" s="686"/>
      <c r="K47" s="27"/>
      <c r="L47" s="686"/>
    </row>
    <row r="48" spans="1:13" x14ac:dyDescent="0.2">
      <c r="A48">
        <f>VLOOKUP(B48,'5 A data'!A47:G516,7,FALSE)</f>
        <v>1</v>
      </c>
      <c r="B48" s="68">
        <v>143</v>
      </c>
      <c r="D48" s="46" t="s">
        <v>543</v>
      </c>
      <c r="E48">
        <f>VLOOKUP($B48,'5 A calc'!$A$2:$AR$203,4,FALSE)</f>
        <v>5</v>
      </c>
      <c r="F48" s="4">
        <f>VLOOKUP($B48,'5 A calc'!$A$2:$AR$203,13,FALSE)</f>
        <v>-0.23181636104004924</v>
      </c>
      <c r="G48" s="4">
        <f>VLOOKUP($B48,'5 A calc'!$A$2:$AR$203,14,FALSE)</f>
        <v>0.39608036333819824</v>
      </c>
      <c r="H48" s="4"/>
      <c r="I48" s="4"/>
      <c r="J48" s="686">
        <f>VLOOKUP($B48,'5 A calc'!$A$2:$AR$203,16,FALSE)</f>
        <v>6.4429594675743464E-6</v>
      </c>
      <c r="K48" s="27">
        <f>VLOOKUP($B48,'5 A calc'!$A$2:$AT$398,45,FALSE)</f>
        <v>26.31606241070681</v>
      </c>
      <c r="L48" s="686">
        <f>VLOOKUP($B48,'5 A calc'!$A$2:$AR$203,30,FALSE)</f>
        <v>4.6788986298833412E-6</v>
      </c>
      <c r="M48" s="27">
        <f>VLOOKUP($B48,'5 A calc'!$A$2:$AT$398,46,FALSE)</f>
        <v>9.9413455012810044</v>
      </c>
    </row>
    <row r="49" spans="1:13" x14ac:dyDescent="0.2">
      <c r="A49">
        <f>VLOOKUP(B49,'5 A data'!A48:G517,7,FALSE)</f>
        <v>1</v>
      </c>
      <c r="B49">
        <v>144</v>
      </c>
      <c r="D49" s="46" t="s">
        <v>543</v>
      </c>
      <c r="E49">
        <f>VLOOKUP($B49,'5 A calc'!$A$2:$AR$203,4,FALSE)</f>
        <v>10</v>
      </c>
      <c r="F49" s="4">
        <f>VLOOKUP($B49,'5 A calc'!$A$2:$AR$203,13,FALSE)</f>
        <v>-0.18484822297794287</v>
      </c>
      <c r="G49" s="4">
        <f>VLOOKUP($B49,'5 A calc'!$A$2:$AR$203,14,FALSE)</f>
        <v>0.29705935378240289</v>
      </c>
      <c r="H49" s="4"/>
      <c r="I49" s="4"/>
      <c r="J49" s="686">
        <f>VLOOKUP($B49,'5 A calc'!$A$2:$AR$203,16,FALSE)</f>
        <v>5.0170517941146892E-6</v>
      </c>
      <c r="K49" s="27">
        <f>VLOOKUP($B49,'5 A calc'!$A$2:$AT$398,45,FALSE)</f>
        <v>38.265350164989712</v>
      </c>
      <c r="L49" s="686">
        <f>VLOOKUP($B49,'5 A calc'!$A$2:$AR$203,30,FALSE)</f>
        <v>2.600738521505678E-6</v>
      </c>
      <c r="M49" s="27">
        <f>VLOOKUP($B49,'5 A calc'!$A$2:$AT$398,46,FALSE)</f>
        <v>16.586629386739094</v>
      </c>
    </row>
    <row r="50" spans="1:13" x14ac:dyDescent="0.2">
      <c r="A50">
        <f>VLOOKUP(B50,'5 A data'!A49:G518,7,FALSE)</f>
        <v>1</v>
      </c>
      <c r="B50" s="68">
        <v>145</v>
      </c>
      <c r="D50" s="46" t="s">
        <v>543</v>
      </c>
      <c r="E50">
        <f>VLOOKUP($B50,'5 A calc'!$A$2:$AR$203,4,FALSE)</f>
        <v>20</v>
      </c>
      <c r="F50" s="4">
        <f>VLOOKUP($B50,'5 A calc'!$A$2:$AR$203,13,FALSE)</f>
        <v>-0.15686935402990917</v>
      </c>
      <c r="G50" s="4">
        <f>VLOOKUP($B50,'5 A calc'!$A$2:$AR$203,14,FALSE)</f>
        <v>0.24172719891726796</v>
      </c>
      <c r="H50" s="4"/>
      <c r="I50" s="4"/>
      <c r="J50" s="686">
        <f>VLOOKUP($B50,'5 A calc'!$A$2:$AR$203,16,FALSE)</f>
        <v>4.17832023036102E-6</v>
      </c>
      <c r="K50" s="27">
        <f>VLOOKUP($B50,'5 A calc'!$A$2:$AT$398,45,FALSE)</f>
        <v>36.657700403051521</v>
      </c>
      <c r="L50" s="686">
        <f>VLOOKUP($B50,'5 A calc'!$A$2:$AR$203,30,FALSE)</f>
        <v>1.9770475075939077E-6</v>
      </c>
      <c r="M50" s="27">
        <f>VLOOKUP($B50,'5 A calc'!$A$2:$AT$398,46,FALSE)</f>
        <v>53.09445811850042</v>
      </c>
    </row>
    <row r="51" spans="1:13" x14ac:dyDescent="0.2">
      <c r="A51">
        <f>VLOOKUP(B51,'5 A data'!A50:G519,7,FALSE)</f>
        <v>1</v>
      </c>
      <c r="B51">
        <v>146</v>
      </c>
      <c r="D51" s="46" t="s">
        <v>543</v>
      </c>
      <c r="E51">
        <f>VLOOKUP($B51,'5 A calc'!$A$2:$AR$203,4,FALSE)</f>
        <v>40</v>
      </c>
      <c r="F51" s="4">
        <f>VLOOKUP($B51,'5 A calc'!$A$2:$AR$203,13,FALSE)</f>
        <v>-0.13788745949748793</v>
      </c>
      <c r="G51" s="4">
        <f>VLOOKUP($B51,'5 A calc'!$A$2:$AR$203,14,FALSE)</f>
        <v>0.20532437774244733</v>
      </c>
      <c r="H51" s="4"/>
      <c r="I51" s="4"/>
      <c r="J51" s="686">
        <f>VLOOKUP($B51,'5 A calc'!$A$2:$AR$203,16,FALSE)</f>
        <v>3.3964590328801363E-6</v>
      </c>
      <c r="K51" s="27">
        <f>VLOOKUP($B51,'5 A calc'!$A$2:$AT$398,45,FALSE)</f>
        <v>38.659909732018328</v>
      </c>
      <c r="L51" s="686">
        <f>VLOOKUP($B51,'5 A calc'!$A$2:$AR$203,30,FALSE)</f>
        <v>1.6849048737447556E-6</v>
      </c>
      <c r="M51" s="27">
        <f>VLOOKUP($B51,'5 A calc'!$A$2:$AT$398,46,FALSE)</f>
        <v>52.499330597885681</v>
      </c>
    </row>
    <row r="52" spans="1:13" x14ac:dyDescent="0.2">
      <c r="A52">
        <f>VLOOKUP(B52,'5 A data'!A51:G520,7,FALSE)</f>
        <v>1</v>
      </c>
      <c r="B52" s="68">
        <v>147</v>
      </c>
      <c r="D52" s="46" t="s">
        <v>543</v>
      </c>
      <c r="E52">
        <f>VLOOKUP($B52,'5 A calc'!$A$2:$AR$203,4,FALSE)</f>
        <v>60</v>
      </c>
      <c r="F52" s="4">
        <f>VLOOKUP($B52,'5 A calc'!$A$2:$AR$203,13,FALSE)</f>
        <v>-0.12989576659663293</v>
      </c>
      <c r="G52" s="4">
        <f>VLOOKUP($B52,'5 A calc'!$A$2:$AR$203,14,FALSE)</f>
        <v>0.19076258148681702</v>
      </c>
      <c r="H52" s="4"/>
      <c r="I52" s="4"/>
      <c r="J52" s="686">
        <f>VLOOKUP($B52,'5 A calc'!$A$2:$AR$203,16,FALSE)</f>
        <v>2.9709098248278708E-6</v>
      </c>
      <c r="K52" s="27">
        <f>VLOOKUP($B52,'5 A calc'!$A$2:$AT$398,45,FALSE)</f>
        <v>42.291164682130272</v>
      </c>
      <c r="L52" s="686">
        <f>VLOOKUP($B52,'5 A calc'!$A$2:$AR$203,30,FALSE)</f>
        <v>1.6017059195029239E-6</v>
      </c>
      <c r="M52" s="27">
        <f>VLOOKUP($B52,'5 A calc'!$A$2:$AT$398,46,FALSE)</f>
        <v>48.978667479860043</v>
      </c>
    </row>
    <row r="53" spans="1:13" x14ac:dyDescent="0.2">
      <c r="A53">
        <f>VLOOKUP(B53,'5 A data'!A52:G521,7,FALSE)</f>
        <v>1</v>
      </c>
      <c r="B53">
        <v>148</v>
      </c>
      <c r="D53" s="46" t="s">
        <v>543</v>
      </c>
      <c r="E53">
        <f>VLOOKUP($B53,'5 A calc'!$A$2:$AR$203,4,FALSE)</f>
        <v>100</v>
      </c>
      <c r="F53" s="4">
        <f>VLOOKUP($B53,'5 A calc'!$A$2:$AR$203,13,FALSE)</f>
        <v>-0.12090653758511721</v>
      </c>
      <c r="G53" s="4">
        <f>VLOOKUP($B53,'5 A calc'!$A$2:$AR$203,14,FALSE)</f>
        <v>0.17474662383870593</v>
      </c>
      <c r="H53" s="4"/>
      <c r="I53" s="4"/>
      <c r="J53" s="686">
        <f>VLOOKUP($B53,'5 A calc'!$A$2:$AR$203,16,FALSE)</f>
        <v>2.4131313466023584E-6</v>
      </c>
      <c r="K53" s="27">
        <f>VLOOKUP($B53,'5 A calc'!$A$2:$AT$398,45,FALSE)</f>
        <v>59.567261398457461</v>
      </c>
      <c r="L53" s="686">
        <f>VLOOKUP($B53,'5 A calc'!$A$2:$AR$203,30,FALSE)</f>
        <v>1.6933288916776063E-6</v>
      </c>
      <c r="M53" s="27">
        <f>VLOOKUP($B53,'5 A calc'!$A$2:$AT$398,46,FALSE)</f>
        <v>45.732629829898706</v>
      </c>
    </row>
    <row r="54" spans="1:13" x14ac:dyDescent="0.2">
      <c r="A54">
        <f>VLOOKUP(B54,'5 A data'!A53:G522,7,FALSE)</f>
        <v>1</v>
      </c>
      <c r="B54" s="68">
        <v>149</v>
      </c>
      <c r="D54" s="46" t="s">
        <v>543</v>
      </c>
      <c r="E54">
        <f>VLOOKUP($B54,'5 A calc'!$A$2:$AR$203,4,FALSE)</f>
        <v>120</v>
      </c>
      <c r="F54" s="4">
        <f>VLOOKUP($B54,'5 A calc'!$A$2:$AR$203,13,FALSE)</f>
        <v>-0.11940915502764127</v>
      </c>
      <c r="G54" s="4">
        <f>VLOOKUP($B54,'5 A calc'!$A$2:$AR$203,14,FALSE)</f>
        <v>0.17183453218809797</v>
      </c>
      <c r="H54" s="4"/>
      <c r="I54" s="4"/>
      <c r="J54" s="686">
        <f>VLOOKUP($B54,'5 A calc'!$A$2:$AR$203,16,FALSE)</f>
        <v>2.2681305202526645E-6</v>
      </c>
      <c r="K54" s="27">
        <f>VLOOKUP($B54,'5 A calc'!$A$2:$AT$398,45,FALSE)</f>
        <v>68.00069900375496</v>
      </c>
      <c r="L54" s="686">
        <f>VLOOKUP($B54,'5 A calc'!$A$2:$AR$203,30,FALSE)</f>
        <v>1.7092397901526349E-6</v>
      </c>
      <c r="M54" s="27">
        <f>VLOOKUP($B54,'5 A calc'!$A$2:$AT$398,46,FALSE)</f>
        <v>47.345132453902309</v>
      </c>
    </row>
    <row r="57" spans="1:13" x14ac:dyDescent="0.2">
      <c r="A57">
        <f>VLOOKUP(B57,'5 A data'!A56:G525,7,FALSE)</f>
        <v>2</v>
      </c>
      <c r="B57" s="68">
        <v>153</v>
      </c>
      <c r="D57" s="46" t="s">
        <v>540</v>
      </c>
      <c r="E57">
        <f>VLOOKUP($B57,'5 A calc'!$A$2:$AR$203,4,FALSE)</f>
        <v>5</v>
      </c>
      <c r="F57" s="4">
        <f>VLOOKUP($B57,'5 A calc'!$A$2:$AR$203,13,FALSE)</f>
        <v>-0.59958345347957398</v>
      </c>
      <c r="G57" s="4">
        <f>VLOOKUP($B57,'5 A calc'!$A$2:$AR$203,14,FALSE)</f>
        <v>0.92612279979594658</v>
      </c>
      <c r="H57" s="4"/>
      <c r="I57" s="4"/>
      <c r="J57" s="686">
        <f>VLOOKUP($B57,'5 A calc'!$A$2:$AR$203,16,FALSE)</f>
        <v>6.4429594675743464E-6</v>
      </c>
      <c r="K57" s="27">
        <f>VLOOKUP($B57,'5 A calc'!$A$2:$AT$398,45,FALSE)</f>
        <v>26.31606241070681</v>
      </c>
      <c r="L57" s="686">
        <f>VLOOKUP($B57,'5 A calc'!$A$2:$AR$203,30,FALSE)</f>
        <v>4.6788986298833412E-6</v>
      </c>
      <c r="M57" s="27">
        <f>VLOOKUP($B57,'5 A calc'!$A$2:$AT$398,46,FALSE)</f>
        <v>9.9413455012810044</v>
      </c>
    </row>
    <row r="58" spans="1:13" x14ac:dyDescent="0.2">
      <c r="A58">
        <f>VLOOKUP(B58,'5 A data'!A57:G526,7,FALSE)</f>
        <v>2</v>
      </c>
      <c r="B58" s="68">
        <v>154</v>
      </c>
      <c r="D58" s="46" t="s">
        <v>540</v>
      </c>
      <c r="E58">
        <f>VLOOKUP($B58,'5 A calc'!$A$2:$AR$203,4,FALSE)</f>
        <v>10</v>
      </c>
      <c r="F58" s="4">
        <f>VLOOKUP($B58,'5 A calc'!$A$2:$AR$203,13,FALSE)</f>
        <v>-0.52163493534783378</v>
      </c>
      <c r="G58" s="4">
        <f>VLOOKUP($B58,'5 A calc'!$A$2:$AR$203,14,FALSE)</f>
        <v>0.78632929512801697</v>
      </c>
      <c r="H58" s="4"/>
      <c r="I58" s="4"/>
      <c r="J58" s="686">
        <f>VLOOKUP($B58,'5 A calc'!$A$2:$AR$203,16,FALSE)</f>
        <v>5.0170517941146892E-6</v>
      </c>
      <c r="K58" s="27">
        <f>VLOOKUP($B58,'5 A calc'!$A$2:$AT$398,45,FALSE)</f>
        <v>38.265350164989712</v>
      </c>
      <c r="L58" s="686">
        <f>VLOOKUP($B58,'5 A calc'!$A$2:$AR$203,30,FALSE)</f>
        <v>2.600738521505678E-6</v>
      </c>
      <c r="M58" s="27">
        <f>VLOOKUP($B58,'5 A calc'!$A$2:$AT$398,46,FALSE)</f>
        <v>16.586629386739094</v>
      </c>
    </row>
    <row r="59" spans="1:13" x14ac:dyDescent="0.2">
      <c r="A59">
        <f>VLOOKUP(B59,'5 A data'!A58:G527,7,FALSE)</f>
        <v>2</v>
      </c>
      <c r="B59" s="68">
        <v>155</v>
      </c>
      <c r="D59" s="46" t="s">
        <v>540</v>
      </c>
      <c r="E59">
        <f>VLOOKUP($B59,'5 A calc'!$A$2:$AR$203,4,FALSE)</f>
        <v>20</v>
      </c>
      <c r="F59" s="4">
        <f>VLOOKUP($B59,'5 A calc'!$A$2:$AR$203,13,FALSE)</f>
        <v>-0.47366872441939106</v>
      </c>
      <c r="G59" s="4">
        <f>VLOOKUP($B59,'5 A calc'!$A$2:$AR$203,14,FALSE)</f>
        <v>0.68440000299187098</v>
      </c>
      <c r="H59" s="4"/>
      <c r="I59" s="4"/>
      <c r="J59" s="686">
        <f>VLOOKUP($B59,'5 A calc'!$A$2:$AR$203,16,FALSE)</f>
        <v>4.17832023036102E-6</v>
      </c>
      <c r="K59" s="27">
        <f>VLOOKUP($B59,'5 A calc'!$A$2:$AT$398,45,FALSE)</f>
        <v>36.657700403051521</v>
      </c>
      <c r="L59" s="686">
        <f>VLOOKUP($B59,'5 A calc'!$A$2:$AR$203,30,FALSE)</f>
        <v>1.9770475075939077E-6</v>
      </c>
      <c r="M59" s="27">
        <f>VLOOKUP($B59,'5 A calc'!$A$2:$AT$398,46,FALSE)</f>
        <v>53.09445811850042</v>
      </c>
    </row>
    <row r="60" spans="1:13" x14ac:dyDescent="0.2">
      <c r="A60">
        <f>VLOOKUP(B60,'5 A data'!A59:G528,7,FALSE)</f>
        <v>2</v>
      </c>
      <c r="B60" s="68">
        <v>156</v>
      </c>
      <c r="D60" s="46" t="s">
        <v>540</v>
      </c>
      <c r="E60">
        <f>VLOOKUP($B60,'5 A calc'!$A$2:$AR$203,4,FALSE)</f>
        <v>40</v>
      </c>
      <c r="F60" s="4">
        <f>VLOOKUP($B60,'5 A calc'!$A$2:$AR$203,13,FALSE)</f>
        <v>-0.43370012080754039</v>
      </c>
      <c r="G60" s="4">
        <f>VLOOKUP($B60,'5 A calc'!$A$2:$AR$203,14,FALSE)</f>
        <v>0.608680847244635</v>
      </c>
      <c r="H60" s="4"/>
      <c r="I60" s="4"/>
      <c r="J60" s="686">
        <f>VLOOKUP($B60,'5 A calc'!$A$2:$AR$203,16,FALSE)</f>
        <v>3.3964590328801363E-6</v>
      </c>
      <c r="K60" s="27">
        <f>VLOOKUP($B60,'5 A calc'!$A$2:$AT$398,45,FALSE)</f>
        <v>38.659909732018328</v>
      </c>
      <c r="L60" s="686">
        <f>VLOOKUP($B60,'5 A calc'!$A$2:$AR$203,30,FALSE)</f>
        <v>1.6849048737447556E-6</v>
      </c>
      <c r="M60" s="27">
        <f>VLOOKUP($B60,'5 A calc'!$A$2:$AT$398,46,FALSE)</f>
        <v>52.499330597885681</v>
      </c>
    </row>
    <row r="61" spans="1:13" x14ac:dyDescent="0.2">
      <c r="A61">
        <f>VLOOKUP(B61,'5 A data'!A60:G529,7,FALSE)</f>
        <v>2</v>
      </c>
      <c r="B61" s="68">
        <v>157</v>
      </c>
      <c r="D61" s="46" t="s">
        <v>540</v>
      </c>
      <c r="E61">
        <f>VLOOKUP($B61,'5 A calc'!$A$2:$AR$203,4,FALSE)</f>
        <v>60</v>
      </c>
      <c r="F61" s="4">
        <f>VLOOKUP($B61,'5 A calc'!$A$2:$AR$203,13,FALSE)</f>
        <v>-0.41771349111452177</v>
      </c>
      <c r="G61" s="4">
        <f>VLOOKUP($B61,'5 A calc'!$A$2:$AR$203,14,FALSE)</f>
        <v>0.55917119803574655</v>
      </c>
      <c r="H61" s="4"/>
      <c r="I61" s="4"/>
      <c r="J61" s="686">
        <f>VLOOKUP($B61,'5 A calc'!$A$2:$AR$203,16,FALSE)</f>
        <v>2.9709098248278708E-6</v>
      </c>
      <c r="K61" s="27">
        <f>VLOOKUP($B61,'5 A calc'!$A$2:$AT$398,45,FALSE)</f>
        <v>42.291164682130272</v>
      </c>
      <c r="L61" s="686">
        <f>VLOOKUP($B61,'5 A calc'!$A$2:$AR$203,30,FALSE)</f>
        <v>1.6017059195029239E-6</v>
      </c>
      <c r="M61" s="27">
        <f>VLOOKUP($B61,'5 A calc'!$A$2:$AT$398,46,FALSE)</f>
        <v>48.978667479860043</v>
      </c>
    </row>
    <row r="62" spans="1:13" x14ac:dyDescent="0.2">
      <c r="A62">
        <f>VLOOKUP(B62,'5 A data'!A61:G530,7,FALSE)</f>
        <v>2</v>
      </c>
      <c r="B62" s="68">
        <v>158</v>
      </c>
      <c r="D62" s="46" t="s">
        <v>540</v>
      </c>
      <c r="E62">
        <f>VLOOKUP($B62,'5 A calc'!$A$2:$AR$203,4,FALSE)</f>
        <v>100</v>
      </c>
      <c r="F62" s="4">
        <f>VLOOKUP($B62,'5 A calc'!$A$2:$AR$203,13,FALSE)</f>
        <v>-0.40372742660790395</v>
      </c>
      <c r="G62" s="4">
        <f>VLOOKUP($B62,'5 A calc'!$A$2:$AR$203,14,FALSE)</f>
        <v>0.47762801610027644</v>
      </c>
      <c r="H62" s="4"/>
      <c r="I62" s="4"/>
      <c r="J62" s="686">
        <f>VLOOKUP($B62,'5 A calc'!$A$2:$AR$203,16,FALSE)</f>
        <v>2.4131313466023584E-6</v>
      </c>
      <c r="K62" s="27">
        <f>VLOOKUP($B62,'5 A calc'!$A$2:$AT$398,45,FALSE)</f>
        <v>59.567261398457461</v>
      </c>
      <c r="L62" s="686">
        <f>VLOOKUP($B62,'5 A calc'!$A$2:$AR$203,30,FALSE)</f>
        <v>1.6933288916776063E-6</v>
      </c>
      <c r="M62" s="27">
        <f>VLOOKUP($B62,'5 A calc'!$A$2:$AT$398,46,FALSE)</f>
        <v>45.732629829898706</v>
      </c>
    </row>
    <row r="63" spans="1:13" x14ac:dyDescent="0.2">
      <c r="A63">
        <f>VLOOKUP(B63,'5 A data'!A62:G531,7,FALSE)</f>
        <v>2</v>
      </c>
      <c r="B63" s="68">
        <v>159</v>
      </c>
      <c r="D63" s="46" t="s">
        <v>540</v>
      </c>
      <c r="E63">
        <f>VLOOKUP($B63,'5 A calc'!$A$2:$AR$203,4,FALSE)</f>
        <v>120</v>
      </c>
      <c r="F63" s="4">
        <f>VLOOKUP($B63,'5 A calc'!$A$2:$AR$203,13,FALSE)</f>
        <v>-0.39773289210483592</v>
      </c>
      <c r="G63" s="4">
        <f>VLOOKUP($B63,'5 A calc'!$A$2:$AR$203,14,FALSE)</f>
        <v>0.4426803925758484</v>
      </c>
      <c r="H63" s="4"/>
      <c r="I63" s="4"/>
      <c r="J63" s="686">
        <f>VLOOKUP($B63,'5 A calc'!$A$2:$AR$203,16,FALSE)</f>
        <v>2.2681305202526645E-6</v>
      </c>
      <c r="K63" s="27">
        <f>VLOOKUP($B63,'5 A calc'!$A$2:$AT$398,45,FALSE)</f>
        <v>68.00069900375496</v>
      </c>
      <c r="L63" s="686">
        <f>VLOOKUP($B63,'5 A calc'!$A$2:$AR$203,30,FALSE)</f>
        <v>1.7092397901526349E-6</v>
      </c>
      <c r="M63" s="27">
        <f>VLOOKUP($B63,'5 A calc'!$A$2:$AT$398,46,FALSE)</f>
        <v>47.345132453902309</v>
      </c>
    </row>
    <row r="64" spans="1:13" x14ac:dyDescent="0.2">
      <c r="B64" s="68"/>
      <c r="H64" s="4"/>
      <c r="I64" s="4"/>
      <c r="J64" s="686"/>
      <c r="K64" s="27"/>
      <c r="L64" s="686"/>
    </row>
    <row r="65" spans="1:13" x14ac:dyDescent="0.2">
      <c r="A65">
        <f>VLOOKUP(B65,'5 A data'!A64:G533,7,FALSE)</f>
        <v>1</v>
      </c>
      <c r="B65" s="68">
        <v>161</v>
      </c>
      <c r="D65" s="46" t="s">
        <v>543</v>
      </c>
      <c r="E65">
        <f>VLOOKUP($B65,'5 A calc'!$A$2:$AR$203,4,FALSE)</f>
        <v>5</v>
      </c>
      <c r="F65" s="4">
        <f>VLOOKUP($B65,'5 A calc'!$A$2:$AR$203,13,FALSE)</f>
        <v>-0.23181636104004924</v>
      </c>
      <c r="G65" s="4">
        <f>VLOOKUP($B65,'5 A calc'!$A$2:$AR$203,14,FALSE)</f>
        <v>0.39608036333819824</v>
      </c>
      <c r="H65" s="4"/>
      <c r="I65" s="4"/>
      <c r="J65" s="686">
        <f>VLOOKUP($B65,'5 A calc'!$A$2:$AR$203,16,FALSE)</f>
        <v>6.4429594675743464E-6</v>
      </c>
      <c r="K65" s="27">
        <f>VLOOKUP($B65,'5 A calc'!$A$2:$AT$398,45,FALSE)</f>
        <v>26.31606241070681</v>
      </c>
      <c r="L65" s="686">
        <f>VLOOKUP($B65,'5 A calc'!$A$2:$AR$203,30,FALSE)</f>
        <v>4.6788986298833412E-6</v>
      </c>
      <c r="M65" s="27">
        <f>VLOOKUP($B65,'5 A calc'!$A$2:$AT$398,46,FALSE)</f>
        <v>9.9413455012810044</v>
      </c>
    </row>
    <row r="66" spans="1:13" x14ac:dyDescent="0.2">
      <c r="A66">
        <f>VLOOKUP(B66,'5 A data'!A65:G534,7,FALSE)</f>
        <v>1</v>
      </c>
      <c r="B66" s="68">
        <v>162</v>
      </c>
      <c r="D66" s="46" t="s">
        <v>543</v>
      </c>
      <c r="E66">
        <f>VLOOKUP($B66,'5 A calc'!$A$2:$AR$203,4,FALSE)</f>
        <v>10</v>
      </c>
      <c r="F66" s="4">
        <f>VLOOKUP($B66,'5 A calc'!$A$2:$AR$203,13,FALSE)</f>
        <v>-0.18484822297794287</v>
      </c>
      <c r="G66" s="4">
        <f>VLOOKUP($B66,'5 A calc'!$A$2:$AR$203,14,FALSE)</f>
        <v>0.29705935378240289</v>
      </c>
      <c r="H66" s="4"/>
      <c r="I66" s="4"/>
      <c r="J66" s="686">
        <f>VLOOKUP($B66,'5 A calc'!$A$2:$AR$203,16,FALSE)</f>
        <v>5.0170517941146892E-6</v>
      </c>
      <c r="K66" s="27">
        <f>VLOOKUP($B66,'5 A calc'!$A$2:$AT$398,45,FALSE)</f>
        <v>38.265350164989712</v>
      </c>
      <c r="L66" s="686">
        <f>VLOOKUP($B66,'5 A calc'!$A$2:$AR$203,30,FALSE)</f>
        <v>2.600738521505678E-6</v>
      </c>
      <c r="M66" s="27">
        <f>VLOOKUP($B66,'5 A calc'!$A$2:$AT$398,46,FALSE)</f>
        <v>16.586629386739094</v>
      </c>
    </row>
    <row r="67" spans="1:13" x14ac:dyDescent="0.2">
      <c r="A67">
        <f>VLOOKUP(B67,'5 A data'!A66:G535,7,FALSE)</f>
        <v>1</v>
      </c>
      <c r="B67" s="68">
        <v>163</v>
      </c>
      <c r="D67" s="46" t="s">
        <v>543</v>
      </c>
      <c r="E67">
        <f>VLOOKUP($B67,'5 A calc'!$A$2:$AR$203,4,FALSE)</f>
        <v>20</v>
      </c>
      <c r="F67" s="4">
        <f>VLOOKUP($B67,'5 A calc'!$A$2:$AR$203,13,FALSE)</f>
        <v>-0.15686935402990917</v>
      </c>
      <c r="G67" s="4">
        <f>VLOOKUP($B67,'5 A calc'!$A$2:$AR$203,14,FALSE)</f>
        <v>0.24172719891726796</v>
      </c>
      <c r="H67" s="4"/>
      <c r="I67" s="4"/>
      <c r="J67" s="686">
        <f>VLOOKUP($B67,'5 A calc'!$A$2:$AR$203,16,FALSE)</f>
        <v>4.17832023036102E-6</v>
      </c>
      <c r="K67" s="27">
        <f>VLOOKUP($B67,'5 A calc'!$A$2:$AT$398,45,FALSE)</f>
        <v>36.657700403051521</v>
      </c>
      <c r="L67" s="686">
        <f>VLOOKUP($B67,'5 A calc'!$A$2:$AR$203,30,FALSE)</f>
        <v>1.9770475075939077E-6</v>
      </c>
      <c r="M67" s="27">
        <f>VLOOKUP($B67,'5 A calc'!$A$2:$AT$398,46,FALSE)</f>
        <v>53.09445811850042</v>
      </c>
    </row>
    <row r="68" spans="1:13" x14ac:dyDescent="0.2">
      <c r="A68">
        <f>VLOOKUP(B68,'5 A data'!A67:G536,7,FALSE)</f>
        <v>1</v>
      </c>
      <c r="B68" s="68">
        <v>164</v>
      </c>
      <c r="D68" s="46" t="s">
        <v>543</v>
      </c>
      <c r="E68">
        <f>VLOOKUP($B68,'5 A calc'!$A$2:$AR$203,4,FALSE)</f>
        <v>40</v>
      </c>
      <c r="F68" s="4">
        <f>VLOOKUP($B68,'5 A calc'!$A$2:$AR$203,13,FALSE)</f>
        <v>-0.13788745949748793</v>
      </c>
      <c r="G68" s="4">
        <f>VLOOKUP($B68,'5 A calc'!$A$2:$AR$203,14,FALSE)</f>
        <v>0.20532437774244733</v>
      </c>
      <c r="H68" s="4"/>
      <c r="I68" s="4"/>
      <c r="J68" s="686">
        <f>VLOOKUP($B68,'5 A calc'!$A$2:$AR$203,16,FALSE)</f>
        <v>3.3964590328801363E-6</v>
      </c>
      <c r="K68" s="27">
        <f>VLOOKUP($B68,'5 A calc'!$A$2:$AT$398,45,FALSE)</f>
        <v>38.659909732018328</v>
      </c>
      <c r="L68" s="686">
        <f>VLOOKUP($B68,'5 A calc'!$A$2:$AR$203,30,FALSE)</f>
        <v>1.6849048737447556E-6</v>
      </c>
      <c r="M68" s="27">
        <f>VLOOKUP($B68,'5 A calc'!$A$2:$AT$398,46,FALSE)</f>
        <v>52.499330597885681</v>
      </c>
    </row>
    <row r="69" spans="1:13" x14ac:dyDescent="0.2">
      <c r="A69">
        <f>VLOOKUP(B69,'5 A data'!A68:G537,7,FALSE)</f>
        <v>1</v>
      </c>
      <c r="B69" s="68">
        <v>165</v>
      </c>
      <c r="D69" s="46" t="s">
        <v>543</v>
      </c>
      <c r="E69">
        <f>VLOOKUP($B69,'5 A calc'!$A$2:$AR$203,4,FALSE)</f>
        <v>60</v>
      </c>
      <c r="F69" s="4">
        <f>VLOOKUP($B69,'5 A calc'!$A$2:$AR$203,13,FALSE)</f>
        <v>-0.12989576659663293</v>
      </c>
      <c r="G69" s="4">
        <f>VLOOKUP($B69,'5 A calc'!$A$2:$AR$203,14,FALSE)</f>
        <v>0.19076258148681702</v>
      </c>
      <c r="H69" s="4"/>
      <c r="I69" s="4"/>
      <c r="J69" s="686">
        <f>VLOOKUP($B69,'5 A calc'!$A$2:$AR$203,16,FALSE)</f>
        <v>2.9709098248278708E-6</v>
      </c>
      <c r="K69" s="27">
        <f>VLOOKUP($B69,'5 A calc'!$A$2:$AT$398,45,FALSE)</f>
        <v>42.291164682130272</v>
      </c>
      <c r="L69" s="686">
        <f>VLOOKUP($B69,'5 A calc'!$A$2:$AR$203,30,FALSE)</f>
        <v>1.6017059195029239E-6</v>
      </c>
      <c r="M69" s="27">
        <f>VLOOKUP($B69,'5 A calc'!$A$2:$AT$398,46,FALSE)</f>
        <v>48.978667479860043</v>
      </c>
    </row>
    <row r="70" spans="1:13" x14ac:dyDescent="0.2">
      <c r="A70">
        <f>VLOOKUP(B70,'5 A data'!A69:G538,7,FALSE)</f>
        <v>1</v>
      </c>
      <c r="B70" s="68">
        <v>166</v>
      </c>
      <c r="D70" s="46" t="s">
        <v>543</v>
      </c>
      <c r="E70">
        <f>VLOOKUP($B70,'5 A calc'!$A$2:$AR$203,4,FALSE)</f>
        <v>100</v>
      </c>
      <c r="F70" s="4">
        <f>VLOOKUP($B70,'5 A calc'!$A$2:$AR$203,13,FALSE)</f>
        <v>-0.12090653758511721</v>
      </c>
      <c r="G70" s="4">
        <f>VLOOKUP($B70,'5 A calc'!$A$2:$AR$203,14,FALSE)</f>
        <v>0.17474662383870593</v>
      </c>
      <c r="H70" s="4"/>
      <c r="I70" s="4"/>
      <c r="J70" s="686">
        <f>VLOOKUP($B70,'5 A calc'!$A$2:$AR$203,16,FALSE)</f>
        <v>2.4131313466023584E-6</v>
      </c>
      <c r="K70" s="27">
        <f>VLOOKUP($B70,'5 A calc'!$A$2:$AT$398,45,FALSE)</f>
        <v>59.567261398457461</v>
      </c>
      <c r="L70" s="686">
        <f>VLOOKUP($B70,'5 A calc'!$A$2:$AR$203,30,FALSE)</f>
        <v>1.6933288916776063E-6</v>
      </c>
      <c r="M70" s="27">
        <f>VLOOKUP($B70,'5 A calc'!$A$2:$AT$398,46,FALSE)</f>
        <v>45.732629829898706</v>
      </c>
    </row>
    <row r="71" spans="1:13" x14ac:dyDescent="0.2">
      <c r="A71">
        <f>VLOOKUP(B71,'5 A data'!A70:G539,7,FALSE)</f>
        <v>1</v>
      </c>
      <c r="B71" s="68">
        <v>167</v>
      </c>
      <c r="D71" s="46" t="s">
        <v>543</v>
      </c>
      <c r="E71">
        <f>VLOOKUP($B71,'5 A calc'!$A$2:$AR$203,4,FALSE)</f>
        <v>120</v>
      </c>
      <c r="F71" s="4">
        <f>VLOOKUP($B71,'5 A calc'!$A$2:$AR$203,13,FALSE)</f>
        <v>-0.11940915502764127</v>
      </c>
      <c r="G71" s="4">
        <f>VLOOKUP($B71,'5 A calc'!$A$2:$AR$203,14,FALSE)</f>
        <v>0.17183453218809797</v>
      </c>
      <c r="H71" s="4"/>
      <c r="I71" s="4"/>
      <c r="J71" s="686">
        <f>VLOOKUP($B71,'5 A calc'!$A$2:$AR$203,16,FALSE)</f>
        <v>2.2681305202526645E-6</v>
      </c>
      <c r="K71" s="27">
        <f>VLOOKUP($B71,'5 A calc'!$A$2:$AT$398,45,FALSE)</f>
        <v>68.00069900375496</v>
      </c>
      <c r="L71" s="686">
        <f>VLOOKUP($B71,'5 A calc'!$A$2:$AR$203,30,FALSE)</f>
        <v>1.7092397901526349E-6</v>
      </c>
      <c r="M71" s="27">
        <f>VLOOKUP($B71,'5 A calc'!$A$2:$AT$398,46,FALSE)</f>
        <v>47.345132453902309</v>
      </c>
    </row>
    <row r="74" spans="1:13" x14ac:dyDescent="0.2">
      <c r="A74">
        <f>VLOOKUP(B74,'5 A data'!A73:G542,7,FALSE)</f>
        <v>1</v>
      </c>
      <c r="B74">
        <v>171</v>
      </c>
      <c r="D74" s="46" t="s">
        <v>541</v>
      </c>
      <c r="E74">
        <f>VLOOKUP($B74,'5 A calc'!$A$2:$AR$203,4,FALSE)</f>
        <v>5</v>
      </c>
      <c r="F74" s="4">
        <f>VLOOKUP($B74,'5 A calc'!$A$2:$AR$203,13,FALSE)</f>
        <v>-0.41969737565589338</v>
      </c>
      <c r="G74" s="4">
        <f>VLOOKUP($B74,'5 A calc'!$A$2:$AR$203,14,FALSE)</f>
        <v>0.68440015020257783</v>
      </c>
      <c r="H74" s="4"/>
      <c r="I74" s="4"/>
      <c r="J74" s="686">
        <f>VLOOKUP($B74,'5 A calc'!$A$2:$AR$203,16,FALSE)</f>
        <v>6.4429594675743464E-6</v>
      </c>
      <c r="K74" s="27">
        <f>VLOOKUP($B74,'5 A calc'!$A$2:$AT$398,45,FALSE)</f>
        <v>26.31606241070681</v>
      </c>
      <c r="L74" s="686">
        <f>VLOOKUP($B74,'5 A calc'!$A$2:$AR$203,30,FALSE)</f>
        <v>4.6788986298833412E-6</v>
      </c>
      <c r="M74" s="27">
        <f>VLOOKUP($B74,'5 A calc'!$A$2:$AT$398,46,FALSE)</f>
        <v>9.9413455012810044</v>
      </c>
    </row>
    <row r="75" spans="1:13" x14ac:dyDescent="0.2">
      <c r="A75">
        <f>VLOOKUP(B75,'5 A data'!A74:G543,7,FALSE)</f>
        <v>1</v>
      </c>
      <c r="B75">
        <v>172</v>
      </c>
      <c r="D75" s="46" t="s">
        <v>541</v>
      </c>
      <c r="E75">
        <f>VLOOKUP($B75,'5 A calc'!$A$2:$AR$203,4,FALSE)</f>
        <v>10</v>
      </c>
      <c r="F75" s="4">
        <f>VLOOKUP($B75,'5 A calc'!$A$2:$AR$203,13,FALSE)</f>
        <v>-0.35973746530652123</v>
      </c>
      <c r="G75" s="4">
        <f>VLOOKUP($B75,'5 A calc'!$A$2:$AR$203,14,FALSE)</f>
        <v>0.54751896661408628</v>
      </c>
      <c r="H75" s="4"/>
      <c r="I75" s="4"/>
      <c r="J75" s="686">
        <f>VLOOKUP($B75,'5 A calc'!$A$2:$AR$203,16,FALSE)</f>
        <v>5.0170517941146892E-6</v>
      </c>
      <c r="K75" s="27">
        <f>VLOOKUP($B75,'5 A calc'!$A$2:$AT$398,45,FALSE)</f>
        <v>38.265350164989712</v>
      </c>
      <c r="L75" s="686">
        <f>VLOOKUP($B75,'5 A calc'!$A$2:$AR$203,30,FALSE)</f>
        <v>2.600738521505678E-6</v>
      </c>
      <c r="M75" s="27">
        <f>VLOOKUP($B75,'5 A calc'!$A$2:$AT$398,46,FALSE)</f>
        <v>16.586629386739094</v>
      </c>
    </row>
    <row r="76" spans="1:13" x14ac:dyDescent="0.2">
      <c r="A76">
        <f>VLOOKUP(B76,'5 A data'!A75:G544,7,FALSE)</f>
        <v>1</v>
      </c>
      <c r="B76">
        <v>173</v>
      </c>
      <c r="D76" s="46" t="s">
        <v>541</v>
      </c>
      <c r="E76">
        <f>VLOOKUP($B76,'5 A calc'!$A$2:$AR$203,4,FALSE)</f>
        <v>20</v>
      </c>
      <c r="F76" s="4">
        <f>VLOOKUP($B76,'5 A calc'!$A$2:$AR$203,13,FALSE)</f>
        <v>-0.31976619117024219</v>
      </c>
      <c r="G76" s="4">
        <f>VLOOKUP($B76,'5 A calc'!$A$2:$AR$203,14,FALSE)</f>
        <v>0.47180056419288391</v>
      </c>
      <c r="H76" s="4"/>
      <c r="I76" s="4"/>
      <c r="J76" s="686">
        <f>VLOOKUP($B76,'5 A calc'!$A$2:$AR$203,16,FALSE)</f>
        <v>4.17832023036102E-6</v>
      </c>
      <c r="K76" s="27">
        <f>VLOOKUP($B76,'5 A calc'!$A$2:$AT$398,45,FALSE)</f>
        <v>36.657700403051521</v>
      </c>
      <c r="L76" s="686">
        <f>VLOOKUP($B76,'5 A calc'!$A$2:$AR$203,30,FALSE)</f>
        <v>1.9770475075939077E-6</v>
      </c>
      <c r="M76" s="27">
        <f>VLOOKUP($B76,'5 A calc'!$A$2:$AT$398,46,FALSE)</f>
        <v>53.09445811850042</v>
      </c>
    </row>
    <row r="77" spans="1:13" x14ac:dyDescent="0.2">
      <c r="A77">
        <f>VLOOKUP(B77,'5 A data'!A76:G545,7,FALSE)</f>
        <v>1</v>
      </c>
      <c r="B77">
        <v>174</v>
      </c>
      <c r="D77" s="46" t="s">
        <v>541</v>
      </c>
      <c r="E77">
        <f>VLOOKUP($B77,'5 A calc'!$A$2:$AR$203,4,FALSE)</f>
        <v>40</v>
      </c>
      <c r="F77" s="4">
        <f>VLOOKUP($B77,'5 A calc'!$A$2:$AR$203,13,FALSE)</f>
        <v>-0.29079062564761637</v>
      </c>
      <c r="G77" s="4">
        <f>VLOOKUP($B77,'5 A calc'!$A$2:$AR$203,14,FALSE)</f>
        <v>0.41646765600171526</v>
      </c>
      <c r="H77" s="4"/>
      <c r="I77" s="4"/>
      <c r="J77" s="686">
        <f>VLOOKUP($B77,'5 A calc'!$A$2:$AR$203,16,FALSE)</f>
        <v>3.3964590328801363E-6</v>
      </c>
      <c r="K77" s="27">
        <f>VLOOKUP($B77,'5 A calc'!$A$2:$AT$398,45,FALSE)</f>
        <v>38.659909732018328</v>
      </c>
      <c r="L77" s="686">
        <f>VLOOKUP($B77,'5 A calc'!$A$2:$AR$203,30,FALSE)</f>
        <v>1.6849048737447556E-6</v>
      </c>
      <c r="M77" s="27">
        <f>VLOOKUP($B77,'5 A calc'!$A$2:$AT$398,46,FALSE)</f>
        <v>52.499330597885681</v>
      </c>
    </row>
    <row r="78" spans="1:13" x14ac:dyDescent="0.2">
      <c r="A78">
        <f>VLOOKUP(B78,'5 A data'!A77:G546,7,FALSE)</f>
        <v>1</v>
      </c>
      <c r="B78">
        <v>175</v>
      </c>
      <c r="D78" s="46" t="s">
        <v>541</v>
      </c>
      <c r="E78">
        <f>VLOOKUP($B78,'5 A calc'!$A$2:$AR$203,4,FALSE)</f>
        <v>60</v>
      </c>
      <c r="F78" s="4">
        <f>VLOOKUP($B78,'5 A calc'!$A$2:$AR$203,13,FALSE)</f>
        <v>-0.27580336305361824</v>
      </c>
      <c r="G78" s="4">
        <f>VLOOKUP($B78,'5 A calc'!$A$2:$AR$203,14,FALSE)</f>
        <v>0.39025657542833214</v>
      </c>
      <c r="H78" s="4"/>
      <c r="I78" s="4"/>
      <c r="J78" s="686">
        <f>VLOOKUP($B78,'5 A calc'!$A$2:$AR$203,16,FALSE)</f>
        <v>2.9709098248278708E-6</v>
      </c>
      <c r="K78" s="27">
        <f>VLOOKUP($B78,'5 A calc'!$A$2:$AT$398,45,FALSE)</f>
        <v>42.291164682130272</v>
      </c>
      <c r="L78" s="686">
        <f>VLOOKUP($B78,'5 A calc'!$A$2:$AR$203,30,FALSE)</f>
        <v>1.6017059195029239E-6</v>
      </c>
      <c r="M78" s="27">
        <f>VLOOKUP($B78,'5 A calc'!$A$2:$AT$398,46,FALSE)</f>
        <v>48.978667479860043</v>
      </c>
    </row>
    <row r="79" spans="1:13" x14ac:dyDescent="0.2">
      <c r="A79">
        <f>VLOOKUP(B79,'5 A data'!A78:G547,7,FALSE)</f>
        <v>1</v>
      </c>
      <c r="B79">
        <v>176</v>
      </c>
      <c r="D79" s="46" t="s">
        <v>541</v>
      </c>
      <c r="E79">
        <f>VLOOKUP($B79,'5 A calc'!$A$2:$AR$203,4,FALSE)</f>
        <v>100</v>
      </c>
      <c r="F79" s="4">
        <f>VLOOKUP($B79,'5 A calc'!$A$2:$AR$203,13,FALSE)</f>
        <v>-0.26381603274504128</v>
      </c>
      <c r="G79" s="4">
        <f>VLOOKUP($B79,'5 A calc'!$A$2:$AR$203,14,FALSE)</f>
        <v>0.35239820968443469</v>
      </c>
      <c r="H79" s="4"/>
      <c r="I79" s="4"/>
      <c r="J79" s="686">
        <f>VLOOKUP($B79,'5 A calc'!$A$2:$AR$203,16,FALSE)</f>
        <v>2.4131313466023584E-6</v>
      </c>
      <c r="K79" s="27">
        <f>VLOOKUP($B79,'5 A calc'!$A$2:$AT$398,45,FALSE)</f>
        <v>59.567261398457461</v>
      </c>
      <c r="L79" s="686">
        <f>VLOOKUP($B79,'5 A calc'!$A$2:$AR$203,30,FALSE)</f>
        <v>1.6933288916776063E-6</v>
      </c>
      <c r="M79" s="27">
        <f>VLOOKUP($B79,'5 A calc'!$A$2:$AT$398,46,FALSE)</f>
        <v>45.732629829898706</v>
      </c>
    </row>
    <row r="80" spans="1:13" x14ac:dyDescent="0.2">
      <c r="A80">
        <f>VLOOKUP(B80,'5 A data'!A79:G548,7,FALSE)</f>
        <v>1</v>
      </c>
      <c r="B80">
        <v>177</v>
      </c>
      <c r="D80" s="46" t="s">
        <v>541</v>
      </c>
      <c r="E80">
        <f>VLOOKUP($B80,'5 A calc'!$A$2:$AR$203,4,FALSE)</f>
        <v>120</v>
      </c>
      <c r="F80" s="4">
        <f>VLOOKUP($B80,'5 A calc'!$A$2:$AR$203,13,FALSE)</f>
        <v>-0.26081959953903461</v>
      </c>
      <c r="G80" s="4">
        <f>VLOOKUP($B80,'5 A calc'!$A$2:$AR$203,14,FALSE)</f>
        <v>0.33492451263663592</v>
      </c>
      <c r="H80" s="4"/>
      <c r="I80" s="4"/>
      <c r="J80" s="686">
        <f>VLOOKUP($B80,'5 A calc'!$A$2:$AR$203,16,FALSE)</f>
        <v>2.2681305202526645E-6</v>
      </c>
      <c r="K80" s="27">
        <f>VLOOKUP($B80,'5 A calc'!$A$2:$AT$398,45,FALSE)</f>
        <v>68.00069900375496</v>
      </c>
      <c r="L80" s="686">
        <f>VLOOKUP($B80,'5 A calc'!$A$2:$AR$203,30,FALSE)</f>
        <v>1.7092397901526349E-6</v>
      </c>
      <c r="M80" s="27">
        <f>VLOOKUP($B80,'5 A calc'!$A$2:$AT$398,46,FALSE)</f>
        <v>47.345132453902309</v>
      </c>
    </row>
    <row r="81" spans="1:13" x14ac:dyDescent="0.2">
      <c r="H81" s="4"/>
      <c r="I81" s="4"/>
      <c r="J81" s="686"/>
      <c r="K81" s="27"/>
      <c r="L81" s="686"/>
    </row>
    <row r="82" spans="1:13" x14ac:dyDescent="0.2">
      <c r="A82">
        <f>VLOOKUP(B82,'5 A data'!A81:G550,7,FALSE)</f>
        <v>1</v>
      </c>
      <c r="B82">
        <v>179</v>
      </c>
      <c r="D82" s="46" t="s">
        <v>543</v>
      </c>
      <c r="E82">
        <f>VLOOKUP($B82,'5 A calc'!$A$2:$AR$203,4,FALSE)</f>
        <v>5</v>
      </c>
      <c r="F82" s="4">
        <f>VLOOKUP($B82,'5 A calc'!$A$2:$AR$203,13,FALSE)</f>
        <v>-0.23181636104004924</v>
      </c>
      <c r="G82" s="4">
        <f>VLOOKUP($B82,'5 A calc'!$A$2:$AR$203,14,FALSE)</f>
        <v>0.39608036333819824</v>
      </c>
      <c r="H82" s="4"/>
      <c r="I82" s="4"/>
      <c r="J82" s="686">
        <f>VLOOKUP($B82,'5 A calc'!$A$2:$AR$203,16,FALSE)</f>
        <v>6.4429594675743464E-6</v>
      </c>
      <c r="K82" s="27">
        <f>VLOOKUP($B82,'5 A calc'!$A$2:$AT$398,45,FALSE)</f>
        <v>26.31606241070681</v>
      </c>
      <c r="L82" s="686">
        <f>VLOOKUP($B82,'5 A calc'!$A$2:$AR$203,30,FALSE)</f>
        <v>4.6788986298833412E-6</v>
      </c>
      <c r="M82" s="27">
        <f>VLOOKUP($B82,'5 A calc'!$A$2:$AT$398,46,FALSE)</f>
        <v>9.9413455012810044</v>
      </c>
    </row>
    <row r="83" spans="1:13" x14ac:dyDescent="0.2">
      <c r="A83">
        <f>VLOOKUP(B83,'5 A data'!A82:G551,7,FALSE)</f>
        <v>1</v>
      </c>
      <c r="B83">
        <v>180</v>
      </c>
      <c r="D83" s="46" t="s">
        <v>543</v>
      </c>
      <c r="E83">
        <f>VLOOKUP($B83,'5 A calc'!$A$2:$AR$203,4,FALSE)</f>
        <v>10</v>
      </c>
      <c r="F83" s="4">
        <f>VLOOKUP($B83,'5 A calc'!$A$2:$AR$203,13,FALSE)</f>
        <v>-0.18484822297794287</v>
      </c>
      <c r="G83" s="4">
        <f>VLOOKUP($B83,'5 A calc'!$A$2:$AR$203,14,FALSE)</f>
        <v>0.29705935378240289</v>
      </c>
      <c r="H83" s="4"/>
      <c r="I83" s="4"/>
      <c r="J83" s="686">
        <f>VLOOKUP($B83,'5 A calc'!$A$2:$AR$203,16,FALSE)</f>
        <v>5.0170517941146892E-6</v>
      </c>
      <c r="K83" s="27">
        <f>VLOOKUP($B83,'5 A calc'!$A$2:$AT$398,45,FALSE)</f>
        <v>38.265350164989712</v>
      </c>
      <c r="L83" s="686">
        <f>VLOOKUP($B83,'5 A calc'!$A$2:$AR$203,30,FALSE)</f>
        <v>2.600738521505678E-6</v>
      </c>
      <c r="M83" s="27">
        <f>VLOOKUP($B83,'5 A calc'!$A$2:$AT$398,46,FALSE)</f>
        <v>16.586629386739094</v>
      </c>
    </row>
    <row r="84" spans="1:13" x14ac:dyDescent="0.2">
      <c r="A84">
        <f>VLOOKUP(B84,'5 A data'!A83:G552,7,FALSE)</f>
        <v>1</v>
      </c>
      <c r="B84">
        <v>181</v>
      </c>
      <c r="D84" s="46" t="s">
        <v>543</v>
      </c>
      <c r="E84">
        <f>VLOOKUP($B84,'5 A calc'!$A$2:$AR$203,4,FALSE)</f>
        <v>20</v>
      </c>
      <c r="F84" s="4">
        <f>VLOOKUP($B84,'5 A calc'!$A$2:$AR$203,13,FALSE)</f>
        <v>-0.15686935402990917</v>
      </c>
      <c r="G84" s="4">
        <f>VLOOKUP($B84,'5 A calc'!$A$2:$AR$203,14,FALSE)</f>
        <v>0.24172719891726796</v>
      </c>
      <c r="H84" s="4"/>
      <c r="I84" s="4"/>
      <c r="J84" s="686">
        <f>VLOOKUP($B84,'5 A calc'!$A$2:$AR$203,16,FALSE)</f>
        <v>4.17832023036102E-6</v>
      </c>
      <c r="K84" s="27">
        <f>VLOOKUP($B84,'5 A calc'!$A$2:$AT$398,45,FALSE)</f>
        <v>36.657700403051521</v>
      </c>
      <c r="L84" s="686">
        <f>VLOOKUP($B84,'5 A calc'!$A$2:$AR$203,30,FALSE)</f>
        <v>1.9770475075939077E-6</v>
      </c>
      <c r="M84" s="27">
        <f>VLOOKUP($B84,'5 A calc'!$A$2:$AT$398,46,FALSE)</f>
        <v>53.09445811850042</v>
      </c>
    </row>
    <row r="85" spans="1:13" x14ac:dyDescent="0.2">
      <c r="A85">
        <f>VLOOKUP(B85,'5 A data'!A84:G553,7,FALSE)</f>
        <v>1</v>
      </c>
      <c r="B85">
        <v>182</v>
      </c>
      <c r="D85" s="46" t="s">
        <v>543</v>
      </c>
      <c r="E85">
        <f>VLOOKUP($B85,'5 A calc'!$A$2:$AR$203,4,FALSE)</f>
        <v>40</v>
      </c>
      <c r="F85" s="4">
        <f>VLOOKUP($B85,'5 A calc'!$A$2:$AR$203,13,FALSE)</f>
        <v>-0.13788745949748793</v>
      </c>
      <c r="G85" s="4">
        <f>VLOOKUP($B85,'5 A calc'!$A$2:$AR$203,14,FALSE)</f>
        <v>0.20532437774244733</v>
      </c>
      <c r="H85" s="4"/>
      <c r="I85" s="4"/>
      <c r="J85" s="686">
        <f>VLOOKUP($B85,'5 A calc'!$A$2:$AR$203,16,FALSE)</f>
        <v>3.3964590328801363E-6</v>
      </c>
      <c r="K85" s="27">
        <f>VLOOKUP($B85,'5 A calc'!$A$2:$AT$398,45,FALSE)</f>
        <v>38.659909732018328</v>
      </c>
      <c r="L85" s="686">
        <f>VLOOKUP($B85,'5 A calc'!$A$2:$AR$203,30,FALSE)</f>
        <v>1.6849048737447556E-6</v>
      </c>
      <c r="M85" s="27">
        <f>VLOOKUP($B85,'5 A calc'!$A$2:$AT$398,46,FALSE)</f>
        <v>52.499330597885681</v>
      </c>
    </row>
    <row r="86" spans="1:13" x14ac:dyDescent="0.2">
      <c r="A86">
        <f>VLOOKUP(B86,'5 A data'!A85:G554,7,FALSE)</f>
        <v>1</v>
      </c>
      <c r="B86">
        <v>183</v>
      </c>
      <c r="D86" s="46" t="s">
        <v>543</v>
      </c>
      <c r="E86">
        <f>VLOOKUP($B86,'5 A calc'!$A$2:$AR$203,4,FALSE)</f>
        <v>60</v>
      </c>
      <c r="F86" s="4">
        <f>VLOOKUP($B86,'5 A calc'!$A$2:$AR$203,13,FALSE)</f>
        <v>-0.12989576659663293</v>
      </c>
      <c r="G86" s="4">
        <f>VLOOKUP($B86,'5 A calc'!$A$2:$AR$203,14,FALSE)</f>
        <v>0.19076258148681702</v>
      </c>
      <c r="H86" s="4"/>
      <c r="I86" s="4"/>
      <c r="J86" s="686">
        <f>VLOOKUP($B86,'5 A calc'!$A$2:$AR$203,16,FALSE)</f>
        <v>2.9709098248278708E-6</v>
      </c>
      <c r="K86" s="27">
        <f>VLOOKUP($B86,'5 A calc'!$A$2:$AT$398,45,FALSE)</f>
        <v>42.291164682130272</v>
      </c>
      <c r="L86" s="686">
        <f>VLOOKUP($B86,'5 A calc'!$A$2:$AR$203,30,FALSE)</f>
        <v>1.6017059195029239E-6</v>
      </c>
      <c r="M86" s="27">
        <f>VLOOKUP($B86,'5 A calc'!$A$2:$AT$398,46,FALSE)</f>
        <v>48.978667479860043</v>
      </c>
    </row>
    <row r="87" spans="1:13" x14ac:dyDescent="0.2">
      <c r="A87">
        <f>VLOOKUP(B87,'5 A data'!A86:G555,7,FALSE)</f>
        <v>1</v>
      </c>
      <c r="B87">
        <v>184</v>
      </c>
      <c r="D87" s="46" t="s">
        <v>543</v>
      </c>
      <c r="E87">
        <f>VLOOKUP($B87,'5 A calc'!$A$2:$AR$203,4,FALSE)</f>
        <v>100</v>
      </c>
      <c r="F87" s="4">
        <f>VLOOKUP($B87,'5 A calc'!$A$2:$AR$203,13,FALSE)</f>
        <v>-0.12090653758511721</v>
      </c>
      <c r="G87" s="4">
        <f>VLOOKUP($B87,'5 A calc'!$A$2:$AR$203,14,FALSE)</f>
        <v>0.17474662383870593</v>
      </c>
      <c r="H87" s="4"/>
      <c r="I87" s="4"/>
      <c r="J87" s="686">
        <f>VLOOKUP($B87,'5 A calc'!$A$2:$AR$203,16,FALSE)</f>
        <v>2.4131313466023584E-6</v>
      </c>
      <c r="K87" s="27">
        <f>VLOOKUP($B87,'5 A calc'!$A$2:$AT$398,45,FALSE)</f>
        <v>59.567261398457461</v>
      </c>
      <c r="L87" s="686">
        <f>VLOOKUP($B87,'5 A calc'!$A$2:$AR$203,30,FALSE)</f>
        <v>1.6933288916776063E-6</v>
      </c>
      <c r="M87" s="27">
        <f>VLOOKUP($B87,'5 A calc'!$A$2:$AT$398,46,FALSE)</f>
        <v>45.732629829898706</v>
      </c>
    </row>
    <row r="88" spans="1:13" x14ac:dyDescent="0.2">
      <c r="A88">
        <f>VLOOKUP(B88,'5 A data'!A87:G556,7,FALSE)</f>
        <v>1</v>
      </c>
      <c r="B88">
        <v>185</v>
      </c>
      <c r="D88" s="46" t="s">
        <v>543</v>
      </c>
      <c r="E88">
        <f>VLOOKUP($B88,'5 A calc'!$A$2:$AR$203,4,FALSE)</f>
        <v>120</v>
      </c>
      <c r="F88" s="4">
        <f>VLOOKUP($B88,'5 A calc'!$A$2:$AR$203,13,FALSE)</f>
        <v>-0.11940915502764127</v>
      </c>
      <c r="G88" s="4">
        <f>VLOOKUP($B88,'5 A calc'!$A$2:$AR$203,14,FALSE)</f>
        <v>0.17183453218809797</v>
      </c>
      <c r="H88" s="4"/>
      <c r="I88" s="4"/>
      <c r="J88" s="686">
        <f>VLOOKUP($B88,'5 A calc'!$A$2:$AR$203,16,FALSE)</f>
        <v>2.2681305202526645E-6</v>
      </c>
      <c r="K88" s="27">
        <f>VLOOKUP($B88,'5 A calc'!$A$2:$AT$398,45,FALSE)</f>
        <v>68.00069900375496</v>
      </c>
      <c r="L88" s="686">
        <f>VLOOKUP($B88,'5 A calc'!$A$2:$AR$203,30,FALSE)</f>
        <v>1.7092397901526349E-6</v>
      </c>
      <c r="M88" s="27">
        <f>VLOOKUP($B88,'5 A calc'!$A$2:$AT$398,46,FALSE)</f>
        <v>47.345132453902309</v>
      </c>
    </row>
    <row r="91" spans="1:13" x14ac:dyDescent="0.2">
      <c r="A91">
        <f>VLOOKUP(B91,'5 A data'!A90:G559,7,FALSE)</f>
        <v>1</v>
      </c>
      <c r="B91">
        <v>189</v>
      </c>
      <c r="D91" s="46" t="s">
        <v>542</v>
      </c>
      <c r="E91">
        <f>VLOOKUP($B91,'5 A calc'!$A$2:$AR$203,4,FALSE)</f>
        <v>5</v>
      </c>
      <c r="F91" s="4">
        <f>VLOOKUP($B91,'5 A calc'!$A$2:$AR$203,13,FALSE)</f>
        <v>-0.3257568683479713</v>
      </c>
      <c r="G91" s="4">
        <f>VLOOKUP($B91,'5 A calc'!$A$2:$AR$203,14,FALSE)</f>
        <v>0.53587177515123063</v>
      </c>
      <c r="H91" s="4"/>
      <c r="I91" s="4"/>
      <c r="J91" s="686">
        <f>VLOOKUP($B91,'5 A calc'!$A$2:$AR$203,16,FALSE)</f>
        <v>6.4429594675743464E-6</v>
      </c>
      <c r="K91" s="27">
        <f>VLOOKUP($B91,'5 A calc'!$A$2:$AT$398,45,FALSE)</f>
        <v>26.31606241070681</v>
      </c>
      <c r="L91" s="686">
        <f>VLOOKUP($B91,'5 A calc'!$A$2:$AR$203,30,FALSE)</f>
        <v>4.6788986298833412E-6</v>
      </c>
      <c r="M91" s="27">
        <f>VLOOKUP($B91,'5 A calc'!$A$2:$AT$398,46,FALSE)</f>
        <v>9.9413455012810044</v>
      </c>
    </row>
    <row r="92" spans="1:13" x14ac:dyDescent="0.2">
      <c r="A92">
        <f>VLOOKUP(B92,'5 A data'!A91:G560,7,FALSE)</f>
        <v>1</v>
      </c>
      <c r="B92">
        <v>190</v>
      </c>
      <c r="D92" s="46" t="s">
        <v>542</v>
      </c>
      <c r="E92">
        <f>VLOOKUP($B92,'5 A calc'!$A$2:$AR$203,4,FALSE)</f>
        <v>10</v>
      </c>
      <c r="F92" s="4">
        <f>VLOOKUP($B92,'5 A calc'!$A$2:$AR$203,13,FALSE)</f>
        <v>-0.27279252769174228</v>
      </c>
      <c r="G92" s="4">
        <f>VLOOKUP($B92,'5 A calc'!$A$2:$AR$203,14,FALSE)</f>
        <v>0.4252014812776827</v>
      </c>
      <c r="H92" s="4"/>
      <c r="I92" s="4"/>
      <c r="J92" s="686">
        <f>VLOOKUP($B92,'5 A calc'!$A$2:$AR$203,16,FALSE)</f>
        <v>5.0170517941146892E-6</v>
      </c>
      <c r="K92" s="27">
        <f>VLOOKUP($B92,'5 A calc'!$A$2:$AT$398,45,FALSE)</f>
        <v>38.265350164989712</v>
      </c>
      <c r="L92" s="686">
        <f>VLOOKUP($B92,'5 A calc'!$A$2:$AR$203,30,FALSE)</f>
        <v>2.600738521505678E-6</v>
      </c>
      <c r="M92" s="27">
        <f>VLOOKUP($B92,'5 A calc'!$A$2:$AT$398,46,FALSE)</f>
        <v>16.586629386739094</v>
      </c>
    </row>
    <row r="93" spans="1:13" x14ac:dyDescent="0.2">
      <c r="A93">
        <f>VLOOKUP(B93,'5 A data'!A92:G561,7,FALSE)</f>
        <v>1</v>
      </c>
      <c r="B93">
        <v>191</v>
      </c>
      <c r="D93" s="46" t="s">
        <v>542</v>
      </c>
      <c r="E93">
        <f>VLOOKUP($B93,'5 A calc'!$A$2:$AR$203,4,FALSE)</f>
        <v>20</v>
      </c>
      <c r="F93" s="4">
        <f>VLOOKUP($B93,'5 A calc'!$A$2:$AR$203,13,FALSE)</f>
        <v>-0.23981682324860631</v>
      </c>
      <c r="G93" s="4">
        <f>VLOOKUP($B93,'5 A calc'!$A$2:$AR$203,14,FALSE)</f>
        <v>0.36113236317423325</v>
      </c>
      <c r="H93" s="4"/>
      <c r="I93" s="4"/>
      <c r="J93" s="686">
        <f>VLOOKUP($B93,'5 A calc'!$A$2:$AR$203,16,FALSE)</f>
        <v>4.17832023036102E-6</v>
      </c>
      <c r="K93" s="27">
        <f>VLOOKUP($B93,'5 A calc'!$A$2:$AT$398,45,FALSE)</f>
        <v>36.657700403051521</v>
      </c>
      <c r="L93" s="686">
        <f>VLOOKUP($B93,'5 A calc'!$A$2:$AR$203,30,FALSE)</f>
        <v>1.9770475075939077E-6</v>
      </c>
      <c r="M93" s="27">
        <f>VLOOKUP($B93,'5 A calc'!$A$2:$AT$398,46,FALSE)</f>
        <v>53.09445811850042</v>
      </c>
    </row>
    <row r="94" spans="1:13" x14ac:dyDescent="0.2">
      <c r="A94">
        <f>VLOOKUP(B94,'5 A data'!A93:G562,7,FALSE)</f>
        <v>1</v>
      </c>
      <c r="B94">
        <v>192</v>
      </c>
      <c r="D94" s="46" t="s">
        <v>542</v>
      </c>
      <c r="E94">
        <f>VLOOKUP($B94,'5 A calc'!$A$2:$AR$203,4,FALSE)</f>
        <v>40</v>
      </c>
      <c r="F94" s="4">
        <f>VLOOKUP($B94,'5 A calc'!$A$2:$AR$203,13,FALSE)</f>
        <v>-0.21683746032010329</v>
      </c>
      <c r="G94" s="4">
        <f>VLOOKUP($B94,'5 A calc'!$A$2:$AR$203,14,FALSE)</f>
        <v>0.31162409714194078</v>
      </c>
      <c r="H94" s="4"/>
      <c r="I94" s="4"/>
      <c r="J94" s="686">
        <f>VLOOKUP($B94,'5 A calc'!$A$2:$AR$203,16,FALSE)</f>
        <v>3.3964590328801363E-6</v>
      </c>
      <c r="K94" s="27">
        <f>VLOOKUP($B94,'5 A calc'!$A$2:$AT$398,45,FALSE)</f>
        <v>38.659909732018328</v>
      </c>
      <c r="L94" s="686">
        <f>VLOOKUP($B94,'5 A calc'!$A$2:$AR$203,30,FALSE)</f>
        <v>1.6849048737447556E-6</v>
      </c>
      <c r="M94" s="27">
        <f>VLOOKUP($B94,'5 A calc'!$A$2:$AT$398,46,FALSE)</f>
        <v>52.499330597885681</v>
      </c>
    </row>
    <row r="95" spans="1:13" x14ac:dyDescent="0.2">
      <c r="A95">
        <f>VLOOKUP(B95,'5 A data'!A94:G563,7,FALSE)</f>
        <v>1</v>
      </c>
      <c r="B95">
        <v>193</v>
      </c>
      <c r="D95" s="46" t="s">
        <v>542</v>
      </c>
      <c r="E95">
        <f>VLOOKUP($B95,'5 A calc'!$A$2:$AR$203,4,FALSE)</f>
        <v>60</v>
      </c>
      <c r="F95" s="4">
        <f>VLOOKUP($B95,'5 A calc'!$A$2:$AR$203,13,FALSE)</f>
        <v>-0.20384893192414602</v>
      </c>
      <c r="G95" s="4">
        <f>VLOOKUP($B95,'5 A calc'!$A$2:$AR$203,14,FALSE)</f>
        <v>0.29123765872743412</v>
      </c>
      <c r="H95" s="4"/>
      <c r="I95" s="4"/>
      <c r="J95" s="686">
        <f>VLOOKUP($B95,'5 A calc'!$A$2:$AR$203,16,FALSE)</f>
        <v>2.9709098248278708E-6</v>
      </c>
      <c r="K95" s="27">
        <f>VLOOKUP($B95,'5 A calc'!$A$2:$AT$398,45,FALSE)</f>
        <v>42.291164682130272</v>
      </c>
      <c r="L95" s="686">
        <f>VLOOKUP($B95,'5 A calc'!$A$2:$AR$203,30,FALSE)</f>
        <v>1.6017059195029239E-6</v>
      </c>
      <c r="M95" s="27">
        <f>VLOOKUP($B95,'5 A calc'!$A$2:$AT$398,46,FALSE)</f>
        <v>48.978667479860043</v>
      </c>
    </row>
    <row r="96" spans="1:13" x14ac:dyDescent="0.2">
      <c r="A96">
        <f>VLOOKUP(B96,'5 A data'!A95:G564,7,FALSE)</f>
        <v>1</v>
      </c>
      <c r="B96">
        <v>194</v>
      </c>
      <c r="D96" s="46" t="s">
        <v>542</v>
      </c>
      <c r="E96">
        <f>VLOOKUP($B96,'5 A calc'!$A$2:$AR$203,4,FALSE)</f>
        <v>100</v>
      </c>
      <c r="F96" s="4">
        <f>VLOOKUP($B96,'5 A calc'!$A$2:$AR$203,13,FALSE)</f>
        <v>-0.19086223451654855</v>
      </c>
      <c r="G96" s="4">
        <f>VLOOKUP($B96,'5 A calc'!$A$2:$AR$203,14,FALSE)</f>
        <v>0.26502857730128943</v>
      </c>
      <c r="H96" s="4"/>
      <c r="I96" s="4"/>
      <c r="J96" s="686">
        <f>VLOOKUP($B96,'5 A calc'!$A$2:$AR$203,16,FALSE)</f>
        <v>2.4131313466023584E-6</v>
      </c>
      <c r="K96" s="27">
        <f>VLOOKUP($B96,'5 A calc'!$A$2:$AT$398,45,FALSE)</f>
        <v>59.567261398457461</v>
      </c>
      <c r="L96" s="686">
        <f>VLOOKUP($B96,'5 A calc'!$A$2:$AR$203,30,FALSE)</f>
        <v>1.6933288916776063E-6</v>
      </c>
      <c r="M96" s="27">
        <f>VLOOKUP($B96,'5 A calc'!$A$2:$AT$398,46,FALSE)</f>
        <v>45.732629829898706</v>
      </c>
    </row>
    <row r="97" spans="1:13" x14ac:dyDescent="0.2">
      <c r="A97">
        <f>VLOOKUP(B97,'5 A data'!A96:G565,7,FALSE)</f>
        <v>1</v>
      </c>
      <c r="B97">
        <v>195</v>
      </c>
      <c r="D97" s="46" t="s">
        <v>542</v>
      </c>
      <c r="E97">
        <f>VLOOKUP($B97,'5 A calc'!$A$2:$AR$203,4,FALSE)</f>
        <v>120</v>
      </c>
      <c r="F97" s="4">
        <f>VLOOKUP($B97,'5 A calc'!$A$2:$AR$203,13,FALSE)</f>
        <v>-0.1893648519590726</v>
      </c>
      <c r="G97" s="4">
        <f>VLOOKUP($B97,'5 A calc'!$A$2:$AR$203,14,FALSE)</f>
        <v>0.25920416457124329</v>
      </c>
      <c r="H97" s="4"/>
      <c r="I97" s="4"/>
      <c r="J97" s="686">
        <f>VLOOKUP($B97,'5 A calc'!$A$2:$AR$203,16,FALSE)</f>
        <v>2.2681305202526645E-6</v>
      </c>
      <c r="K97" s="27">
        <f>VLOOKUP($B97,'5 A calc'!$A$2:$AT$398,45,FALSE)</f>
        <v>68.00069900375496</v>
      </c>
      <c r="L97" s="686">
        <f>VLOOKUP($B97,'5 A calc'!$A$2:$AR$203,30,FALSE)</f>
        <v>1.7092397901526349E-6</v>
      </c>
      <c r="M97" s="27">
        <f>VLOOKUP($B97,'5 A calc'!$A$2:$AT$398,46,FALSE)</f>
        <v>47.345132453902309</v>
      </c>
    </row>
    <row r="98" spans="1:13" x14ac:dyDescent="0.2">
      <c r="H98" s="4"/>
      <c r="I98" s="4"/>
      <c r="J98" s="686"/>
      <c r="K98" s="27"/>
      <c r="L98" s="686"/>
    </row>
    <row r="99" spans="1:13" x14ac:dyDescent="0.2">
      <c r="A99">
        <f>VLOOKUP(B99,'5 A data'!A98:G567,7,FALSE)</f>
        <v>1</v>
      </c>
      <c r="B99">
        <v>197</v>
      </c>
      <c r="D99" s="46" t="s">
        <v>543</v>
      </c>
      <c r="E99">
        <f>VLOOKUP($B99,'5 A calc'!$A$2:$AR$203,4,FALSE)</f>
        <v>5</v>
      </c>
      <c r="F99" s="4">
        <f>VLOOKUP($B99,'5 A calc'!$A$2:$AR$203,13,FALSE)</f>
        <v>-0.23181636104004924</v>
      </c>
      <c r="G99" s="4">
        <f>VLOOKUP($B99,'5 A calc'!$A$2:$AR$203,14,FALSE)</f>
        <v>0.39608036333819824</v>
      </c>
      <c r="H99" s="4"/>
      <c r="I99" s="4"/>
      <c r="J99" s="686">
        <f>VLOOKUP($B99,'5 A calc'!$A$2:$AR$203,16,FALSE)</f>
        <v>6.4429594675743464E-6</v>
      </c>
      <c r="K99" s="27">
        <f>VLOOKUP($B99,'5 A calc'!$A$2:$AT$398,45,FALSE)</f>
        <v>26.31606241070681</v>
      </c>
      <c r="L99" s="686">
        <f>VLOOKUP($B99,'5 A calc'!$A$2:$AR$203,30,FALSE)</f>
        <v>4.6788986298833412E-6</v>
      </c>
      <c r="M99" s="27">
        <f>VLOOKUP($B99,'5 A calc'!$A$2:$AT$398,46,FALSE)</f>
        <v>9.9413455012810044</v>
      </c>
    </row>
    <row r="100" spans="1:13" x14ac:dyDescent="0.2">
      <c r="A100">
        <f>VLOOKUP(B100,'5 A data'!A99:G568,7,FALSE)</f>
        <v>1</v>
      </c>
      <c r="B100">
        <v>198</v>
      </c>
      <c r="D100" s="46" t="s">
        <v>543</v>
      </c>
      <c r="E100">
        <f>VLOOKUP($B100,'5 A calc'!$A$2:$AR$203,4,FALSE)</f>
        <v>10</v>
      </c>
      <c r="F100" s="4">
        <f>VLOOKUP($B100,'5 A calc'!$A$2:$AR$203,13,FALSE)</f>
        <v>-0.18484822297794287</v>
      </c>
      <c r="G100" s="4">
        <f>VLOOKUP($B100,'5 A calc'!$A$2:$AR$203,14,FALSE)</f>
        <v>0.29705935378240289</v>
      </c>
      <c r="H100" s="4"/>
      <c r="I100" s="4"/>
      <c r="J100" s="686">
        <f>VLOOKUP($B100,'5 A calc'!$A$2:$AR$203,16,FALSE)</f>
        <v>5.0170517941146892E-6</v>
      </c>
      <c r="K100" s="27">
        <f>VLOOKUP($B100,'5 A calc'!$A$2:$AT$398,45,FALSE)</f>
        <v>38.265350164989712</v>
      </c>
      <c r="L100" s="686">
        <f>VLOOKUP($B100,'5 A calc'!$A$2:$AR$203,30,FALSE)</f>
        <v>2.600738521505678E-6</v>
      </c>
      <c r="M100" s="27">
        <f>VLOOKUP($B100,'5 A calc'!$A$2:$AT$398,46,FALSE)</f>
        <v>16.586629386739094</v>
      </c>
    </row>
    <row r="101" spans="1:13" x14ac:dyDescent="0.2">
      <c r="A101">
        <f>VLOOKUP(B101,'5 A data'!A100:G569,7,FALSE)</f>
        <v>1</v>
      </c>
      <c r="B101">
        <v>199</v>
      </c>
      <c r="D101" s="46" t="s">
        <v>543</v>
      </c>
      <c r="E101">
        <f>VLOOKUP($B101,'5 A calc'!$A$2:$AR$203,4,FALSE)</f>
        <v>20</v>
      </c>
      <c r="F101" s="4">
        <f>VLOOKUP($B101,'5 A calc'!$A$2:$AR$203,13,FALSE)</f>
        <v>-0.15686935402990917</v>
      </c>
      <c r="G101" s="4">
        <f>VLOOKUP($B101,'5 A calc'!$A$2:$AR$203,14,FALSE)</f>
        <v>0.24172719891726796</v>
      </c>
      <c r="H101" s="4"/>
      <c r="I101" s="4"/>
      <c r="J101" s="686">
        <f>VLOOKUP($B101,'5 A calc'!$A$2:$AR$203,16,FALSE)</f>
        <v>4.17832023036102E-6</v>
      </c>
      <c r="K101" s="27">
        <f>VLOOKUP($B101,'5 A calc'!$A$2:$AT$398,45,FALSE)</f>
        <v>36.657700403051521</v>
      </c>
      <c r="L101" s="686">
        <f>VLOOKUP($B101,'5 A calc'!$A$2:$AR$203,30,FALSE)</f>
        <v>1.9770475075939077E-6</v>
      </c>
      <c r="M101" s="27">
        <f>VLOOKUP($B101,'5 A calc'!$A$2:$AT$398,46,FALSE)</f>
        <v>53.09445811850042</v>
      </c>
    </row>
    <row r="102" spans="1:13" x14ac:dyDescent="0.2">
      <c r="A102">
        <f>VLOOKUP(B102,'5 A data'!A101:G570,7,FALSE)</f>
        <v>1</v>
      </c>
      <c r="B102">
        <v>200</v>
      </c>
      <c r="D102" s="46" t="s">
        <v>543</v>
      </c>
      <c r="E102">
        <f>VLOOKUP($B102,'5 A calc'!$A$2:$AR$203,4,FALSE)</f>
        <v>40</v>
      </c>
      <c r="F102" s="4">
        <f>VLOOKUP($B102,'5 A calc'!$A$2:$AR$203,13,FALSE)</f>
        <v>-0.13788745949748793</v>
      </c>
      <c r="G102" s="4">
        <f>VLOOKUP($B102,'5 A calc'!$A$2:$AR$203,14,FALSE)</f>
        <v>0.20532437774244733</v>
      </c>
      <c r="H102" s="4"/>
      <c r="I102" s="4"/>
      <c r="J102" s="686">
        <f>VLOOKUP($B102,'5 A calc'!$A$2:$AR$203,16,FALSE)</f>
        <v>3.3964590328801363E-6</v>
      </c>
      <c r="K102" s="27">
        <f>VLOOKUP($B102,'5 A calc'!$A$2:$AT$398,45,FALSE)</f>
        <v>38.659909732018328</v>
      </c>
      <c r="L102" s="686">
        <f>VLOOKUP($B102,'5 A calc'!$A$2:$AR$203,30,FALSE)</f>
        <v>1.6849048737447556E-6</v>
      </c>
      <c r="M102" s="27">
        <f>VLOOKUP($B102,'5 A calc'!$A$2:$AT$398,46,FALSE)</f>
        <v>52.499330597885681</v>
      </c>
    </row>
    <row r="103" spans="1:13" x14ac:dyDescent="0.2">
      <c r="A103">
        <f>VLOOKUP(B103,'5 A data'!A102:G571,7,FALSE)</f>
        <v>1</v>
      </c>
      <c r="B103">
        <v>201</v>
      </c>
      <c r="D103" s="46" t="s">
        <v>543</v>
      </c>
      <c r="E103">
        <f>VLOOKUP($B103,'5 A calc'!$A$2:$AR$203,4,FALSE)</f>
        <v>60</v>
      </c>
      <c r="F103" s="4">
        <f>VLOOKUP($B103,'5 A calc'!$A$2:$AR$203,13,FALSE)</f>
        <v>-0.12989576659663293</v>
      </c>
      <c r="G103" s="4">
        <f>VLOOKUP($B103,'5 A calc'!$A$2:$AR$203,14,FALSE)</f>
        <v>0.19076258148681702</v>
      </c>
      <c r="H103" s="4"/>
      <c r="I103" s="4"/>
      <c r="J103" s="686">
        <f>VLOOKUP($B103,'5 A calc'!$A$2:$AR$203,16,FALSE)</f>
        <v>2.9709098248278708E-6</v>
      </c>
      <c r="K103" s="27">
        <f>VLOOKUP($B103,'5 A calc'!$A$2:$AT$398,45,FALSE)</f>
        <v>42.291164682130272</v>
      </c>
      <c r="L103" s="686">
        <f>VLOOKUP($B103,'5 A calc'!$A$2:$AR$203,30,FALSE)</f>
        <v>1.6017059195029239E-6</v>
      </c>
      <c r="M103" s="27">
        <f>VLOOKUP($B103,'5 A calc'!$A$2:$AT$398,46,FALSE)</f>
        <v>48.978667479860043</v>
      </c>
    </row>
    <row r="104" spans="1:13" x14ac:dyDescent="0.2">
      <c r="A104">
        <f>VLOOKUP(B104,'5 A data'!A103:G572,7,FALSE)</f>
        <v>1</v>
      </c>
      <c r="B104">
        <v>202</v>
      </c>
      <c r="D104" s="46" t="s">
        <v>543</v>
      </c>
      <c r="E104">
        <f>VLOOKUP($B104,'5 A calc'!$A$2:$AR$203,4,FALSE)</f>
        <v>100</v>
      </c>
      <c r="F104" s="4">
        <f>VLOOKUP($B104,'5 A calc'!$A$2:$AR$203,13,FALSE)</f>
        <v>-0.12090653758511721</v>
      </c>
      <c r="G104" s="4">
        <f>VLOOKUP($B104,'5 A calc'!$A$2:$AR$203,14,FALSE)</f>
        <v>0.17474662383870593</v>
      </c>
      <c r="H104" s="4"/>
      <c r="I104" s="4"/>
      <c r="J104" s="686">
        <f>VLOOKUP($B104,'5 A calc'!$A$2:$AR$203,16,FALSE)</f>
        <v>2.4131313466023584E-6</v>
      </c>
      <c r="K104" s="27">
        <f>VLOOKUP($B104,'5 A calc'!$A$2:$AT$398,45,FALSE)</f>
        <v>59.567261398457461</v>
      </c>
      <c r="L104" s="686">
        <f>VLOOKUP($B104,'5 A calc'!$A$2:$AR$203,30,FALSE)</f>
        <v>1.6933288916776063E-6</v>
      </c>
      <c r="M104" s="27">
        <f>VLOOKUP($B104,'5 A calc'!$A$2:$AT$398,46,FALSE)</f>
        <v>45.732629829898706</v>
      </c>
    </row>
    <row r="105" spans="1:13" x14ac:dyDescent="0.2">
      <c r="A105">
        <f>VLOOKUP(B105,'5 A data'!A104:G573,7,FALSE)</f>
        <v>1</v>
      </c>
      <c r="B105">
        <v>203</v>
      </c>
      <c r="D105" s="46" t="s">
        <v>543</v>
      </c>
      <c r="E105">
        <f>VLOOKUP($B105,'5 A calc'!$A$2:$AR$203,4,FALSE)</f>
        <v>120</v>
      </c>
      <c r="F105" s="4">
        <f>VLOOKUP($B105,'5 A calc'!$A$2:$AR$203,13,FALSE)</f>
        <v>-0.11940915502764127</v>
      </c>
      <c r="G105" s="4">
        <f>VLOOKUP($B105,'5 A calc'!$A$2:$AR$203,14,FALSE)</f>
        <v>0.17183453218809797</v>
      </c>
      <c r="H105" s="4"/>
      <c r="I105" s="4"/>
      <c r="J105" s="686">
        <f>VLOOKUP($B105,'5 A calc'!$A$2:$AR$203,16,FALSE)</f>
        <v>2.2681305202526645E-6</v>
      </c>
      <c r="K105" s="27">
        <f>VLOOKUP($B105,'5 A calc'!$A$2:$AT$398,45,FALSE)</f>
        <v>68.00069900375496</v>
      </c>
      <c r="L105" s="686">
        <f>VLOOKUP($B105,'5 A calc'!$A$2:$AR$203,30,FALSE)</f>
        <v>1.7092397901526349E-6</v>
      </c>
      <c r="M105" s="27">
        <f>VLOOKUP($B105,'5 A calc'!$A$2:$AT$398,46,FALSE)</f>
        <v>47.345132453902309</v>
      </c>
    </row>
    <row r="108" spans="1:13" x14ac:dyDescent="0.2">
      <c r="A108">
        <f>VLOOKUP(B108,'5 A data'!A107:G576,7,FALSE)</f>
        <v>2</v>
      </c>
      <c r="B108">
        <v>207</v>
      </c>
      <c r="D108" s="46" t="s">
        <v>544</v>
      </c>
      <c r="E108">
        <f>VLOOKUP($B108,'5 A calc'!$A$2:$AR$203,4,FALSE)</f>
        <v>5</v>
      </c>
      <c r="F108" s="4">
        <f>VLOOKUP($B108,'5 A calc'!$A$2:$AR$203,13,FALSE)</f>
        <v>-0.99733155888971214</v>
      </c>
      <c r="G108" s="4">
        <f>VLOOKUP($B108,'5 A calc'!$A$2:$AR$203,14,FALSE)</f>
        <v>0.40190500549707459</v>
      </c>
      <c r="H108" s="4"/>
      <c r="I108" s="4"/>
      <c r="J108" s="686">
        <f>VLOOKUP($B108,'5 A calc'!$A$2:$AR$203,16,FALSE)</f>
        <v>6.4429594675743464E-6</v>
      </c>
      <c r="K108" s="27">
        <f>VLOOKUP($B108,'5 A calc'!$A$2:$AT$398,45,FALSE)</f>
        <v>26.31606241070681</v>
      </c>
      <c r="L108" s="686">
        <f>VLOOKUP($B108,'5 A calc'!$A$2:$AR$203,30,FALSE)</f>
        <v>4.6788986298833412E-6</v>
      </c>
      <c r="M108" s="27">
        <f>VLOOKUP($B108,'5 A calc'!$A$2:$AT$398,46,FALSE)</f>
        <v>9.9413455012810044</v>
      </c>
    </row>
    <row r="109" spans="1:13" x14ac:dyDescent="0.2">
      <c r="A109">
        <f>VLOOKUP(B109,'5 A data'!A108:G577,7,FALSE)</f>
        <v>2</v>
      </c>
      <c r="B109">
        <v>208</v>
      </c>
      <c r="D109" s="46" t="s">
        <v>544</v>
      </c>
      <c r="E109">
        <f>VLOOKUP($B109,'5 A calc'!$A$2:$AR$203,4,FALSE)</f>
        <v>10</v>
      </c>
      <c r="F109" s="4">
        <f>VLOOKUP($B109,'5 A calc'!$A$2:$AR$203,13,FALSE)</f>
        <v>-0.88340582519323574</v>
      </c>
      <c r="G109" s="4">
        <f>VLOOKUP($B109,'5 A calc'!$A$2:$AR$203,14,FALSE)</f>
        <v>0.34365649105341384</v>
      </c>
      <c r="H109" s="4"/>
      <c r="I109" s="4"/>
      <c r="J109" s="686">
        <f>VLOOKUP($B109,'5 A calc'!$A$2:$AR$203,16,FALSE)</f>
        <v>5.0170517941146892E-6</v>
      </c>
      <c r="K109" s="27">
        <f>VLOOKUP($B109,'5 A calc'!$A$2:$AT$398,45,FALSE)</f>
        <v>38.265350164989712</v>
      </c>
      <c r="L109" s="686">
        <f>VLOOKUP($B109,'5 A calc'!$A$2:$AR$203,30,FALSE)</f>
        <v>2.600738521505678E-6</v>
      </c>
      <c r="M109" s="27">
        <f>VLOOKUP($B109,'5 A calc'!$A$2:$AT$398,46,FALSE)</f>
        <v>16.586629386739094</v>
      </c>
    </row>
    <row r="110" spans="1:13" x14ac:dyDescent="0.2">
      <c r="A110">
        <f>VLOOKUP(B110,'5 A data'!A109:G578,7,FALSE)</f>
        <v>2</v>
      </c>
      <c r="B110">
        <v>209</v>
      </c>
      <c r="D110" s="46" t="s">
        <v>544</v>
      </c>
      <c r="E110">
        <f>VLOOKUP($B110,'5 A calc'!$A$2:$AR$203,4,FALSE)</f>
        <v>20</v>
      </c>
      <c r="F110" s="4">
        <f>VLOOKUP($B110,'5 A calc'!$A$2:$AR$203,13,FALSE)</f>
        <v>-0.78547125931377082</v>
      </c>
      <c r="G110" s="4">
        <f>VLOOKUP($B110,'5 A calc'!$A$2:$AR$203,14,FALSE)</f>
        <v>0.27958737294996422</v>
      </c>
      <c r="H110" s="4"/>
      <c r="I110" s="4"/>
      <c r="J110" s="686">
        <f>VLOOKUP($B110,'5 A calc'!$A$2:$AR$203,16,FALSE)</f>
        <v>4.17832023036102E-6</v>
      </c>
      <c r="K110" s="27">
        <f>VLOOKUP($B110,'5 A calc'!$A$2:$AT$398,45,FALSE)</f>
        <v>36.657700403051521</v>
      </c>
      <c r="L110" s="686">
        <f>VLOOKUP($B110,'5 A calc'!$A$2:$AR$203,30,FALSE)</f>
        <v>1.9770475075939077E-6</v>
      </c>
      <c r="M110" s="27">
        <f>VLOOKUP($B110,'5 A calc'!$A$2:$AT$398,46,FALSE)</f>
        <v>53.09445811850042</v>
      </c>
    </row>
    <row r="111" spans="1:13" x14ac:dyDescent="0.2">
      <c r="A111">
        <f>VLOOKUP(B111,'5 A data'!A110:G579,7,FALSE)</f>
        <v>2</v>
      </c>
      <c r="B111">
        <v>210</v>
      </c>
      <c r="D111" s="46" t="s">
        <v>544</v>
      </c>
      <c r="E111">
        <f>VLOOKUP($B111,'5 A calc'!$A$2:$AR$203,4,FALSE)</f>
        <v>40</v>
      </c>
      <c r="F111" s="4">
        <f>VLOOKUP($B111,'5 A calc'!$A$2:$AR$203,13,FALSE)</f>
        <v>-0.70952544013718388</v>
      </c>
      <c r="G111" s="4">
        <f>VLOOKUP($B111,'5 A calc'!$A$2:$AR$203,14,FALSE)</f>
        <v>0.23590374907654818</v>
      </c>
      <c r="H111" s="4"/>
      <c r="I111" s="4"/>
      <c r="J111" s="686">
        <f>VLOOKUP($B111,'5 A calc'!$A$2:$AR$203,16,FALSE)</f>
        <v>3.3964590328801363E-6</v>
      </c>
      <c r="K111" s="27">
        <f>VLOOKUP($B111,'5 A calc'!$A$2:$AT$398,45,FALSE)</f>
        <v>38.659909732018328</v>
      </c>
      <c r="L111" s="686">
        <f>VLOOKUP($B111,'5 A calc'!$A$2:$AR$203,30,FALSE)</f>
        <v>1.6849048737447556E-6</v>
      </c>
      <c r="M111" s="27">
        <f>VLOOKUP($B111,'5 A calc'!$A$2:$AT$398,46,FALSE)</f>
        <v>52.499330597885681</v>
      </c>
    </row>
    <row r="112" spans="1:13" x14ac:dyDescent="0.2">
      <c r="A112">
        <f>VLOOKUP(B112,'5 A data'!A111:G580,7,FALSE)</f>
        <v>2</v>
      </c>
      <c r="B112">
        <v>211</v>
      </c>
      <c r="D112" s="46" t="s">
        <v>544</v>
      </c>
      <c r="E112">
        <f>VLOOKUP($B112,'5 A calc'!$A$2:$AR$203,4,FALSE)</f>
        <v>60</v>
      </c>
      <c r="F112" s="4">
        <f>VLOOKUP($B112,'5 A calc'!$A$2:$AR$203,13,FALSE)</f>
        <v>-0.67355146846375646</v>
      </c>
      <c r="G112" s="4">
        <f>VLOOKUP($B112,'5 A calc'!$A$2:$AR$203,14,FALSE)</f>
        <v>0.20969266850316517</v>
      </c>
      <c r="H112" s="4"/>
      <c r="I112" s="4"/>
      <c r="J112" s="686">
        <f>VLOOKUP($B112,'5 A calc'!$A$2:$AR$203,16,FALSE)</f>
        <v>2.9709098248278708E-6</v>
      </c>
      <c r="K112" s="27">
        <f>VLOOKUP($B112,'5 A calc'!$A$2:$AT$398,45,FALSE)</f>
        <v>42.291164682130272</v>
      </c>
      <c r="L112" s="686">
        <f>VLOOKUP($B112,'5 A calc'!$A$2:$AR$203,30,FALSE)</f>
        <v>1.6017059195029239E-6</v>
      </c>
      <c r="M112" s="27">
        <f>VLOOKUP($B112,'5 A calc'!$A$2:$AT$398,46,FALSE)</f>
        <v>48.978667479860043</v>
      </c>
    </row>
    <row r="113" spans="1:13" x14ac:dyDescent="0.2">
      <c r="A113">
        <f>VLOOKUP(B113,'5 A data'!A112:G581,7,FALSE)</f>
        <v>2</v>
      </c>
      <c r="B113">
        <v>212</v>
      </c>
      <c r="D113" s="46" t="s">
        <v>544</v>
      </c>
      <c r="E113">
        <f>VLOOKUP($B113,'5 A calc'!$A$2:$AR$203,4,FALSE)</f>
        <v>100</v>
      </c>
      <c r="F113" s="4">
        <f>VLOOKUP($B113,'5 A calc'!$A$2:$AR$203,13,FALSE)</f>
        <v>-0.61359451740219795</v>
      </c>
      <c r="G113" s="4">
        <f>VLOOKUP($B113,'5 A calc'!$A$2:$AR$203,14,FALSE)</f>
        <v>0.14562341304432413</v>
      </c>
      <c r="H113" s="4"/>
      <c r="I113" s="4"/>
      <c r="J113" s="686">
        <f>VLOOKUP($B113,'5 A calc'!$A$2:$AR$203,16,FALSE)</f>
        <v>2.4131313466023584E-6</v>
      </c>
      <c r="K113" s="27">
        <f>VLOOKUP($B113,'5 A calc'!$A$2:$AT$398,45,FALSE)</f>
        <v>59.567261398457461</v>
      </c>
      <c r="L113" s="686">
        <f>VLOOKUP($B113,'5 A calc'!$A$2:$AR$203,30,FALSE)</f>
        <v>1.6933288916776063E-6</v>
      </c>
      <c r="M113" s="27">
        <f>VLOOKUP($B113,'5 A calc'!$A$2:$AT$398,46,FALSE)</f>
        <v>45.732629829898706</v>
      </c>
    </row>
    <row r="114" spans="1:13" x14ac:dyDescent="0.2">
      <c r="A114">
        <f>VLOOKUP(B114,'5 A data'!A113:G582,7,FALSE)</f>
        <v>2</v>
      </c>
      <c r="B114">
        <v>213</v>
      </c>
      <c r="D114" s="46" t="s">
        <v>544</v>
      </c>
      <c r="E114">
        <f>VLOOKUP($B114,'5 A calc'!$A$2:$AR$203,4,FALSE)</f>
        <v>120</v>
      </c>
      <c r="F114" s="4">
        <f>VLOOKUP($B114,'5 A calc'!$A$2:$AR$203,13,FALSE)</f>
        <v>-0.58561390672068003</v>
      </c>
      <c r="G114" s="4">
        <f>VLOOKUP($B114,'5 A calc'!$A$2:$AR$203,14,FALSE)</f>
        <v>0.12814971599652525</v>
      </c>
      <c r="H114" s="4"/>
      <c r="I114" s="4"/>
      <c r="J114" s="686">
        <f>VLOOKUP($B114,'5 A calc'!$A$2:$AR$203,16,FALSE)</f>
        <v>2.2681305202526645E-6</v>
      </c>
      <c r="K114" s="27">
        <f>VLOOKUP($B114,'5 A calc'!$A$2:$AT$398,45,FALSE)</f>
        <v>68.00069900375496</v>
      </c>
      <c r="L114" s="686">
        <f>VLOOKUP($B114,'5 A calc'!$A$2:$AR$203,30,FALSE)</f>
        <v>1.7092397901526349E-6</v>
      </c>
      <c r="M114" s="27">
        <f>VLOOKUP($B114,'5 A calc'!$A$2:$AT$398,46,FALSE)</f>
        <v>47.345132453902309</v>
      </c>
    </row>
    <row r="115" spans="1:13" x14ac:dyDescent="0.2">
      <c r="H115" s="4"/>
      <c r="I115" s="4"/>
      <c r="J115" s="686"/>
      <c r="K115" s="27"/>
      <c r="L115" s="686"/>
    </row>
    <row r="116" spans="1:13" x14ac:dyDescent="0.2">
      <c r="A116">
        <f>VLOOKUP(B116,'5 A data'!A115:G584,7,FALSE)</f>
        <v>1</v>
      </c>
      <c r="B116">
        <v>215</v>
      </c>
      <c r="D116" s="46" t="s">
        <v>543</v>
      </c>
      <c r="E116">
        <f>VLOOKUP($B116,'5 A calc'!$A$2:$AR$203,4,FALSE)</f>
        <v>5</v>
      </c>
      <c r="F116" s="4">
        <f>VLOOKUP($B116,'5 A calc'!$A$2:$AR$203,13,FALSE)</f>
        <v>-0.21982395585180386</v>
      </c>
      <c r="G116" s="4">
        <f>VLOOKUP($B116,'5 A calc'!$A$2:$AR$203,14,FALSE)</f>
        <v>0.38151875794100737</v>
      </c>
      <c r="H116" s="4"/>
      <c r="I116" s="4"/>
      <c r="J116" s="686">
        <f>VLOOKUP($B116,'5 A calc'!$A$2:$AR$203,16,FALSE)</f>
        <v>6.4429594675743464E-6</v>
      </c>
      <c r="K116" s="27">
        <f>VLOOKUP($B116,'5 A calc'!$A$2:$AT$398,45,FALSE)</f>
        <v>26.31606241070681</v>
      </c>
      <c r="L116" s="686">
        <f>VLOOKUP($B130,'5 A calc'!$A$2:$AR$203,30,FALSE)</f>
        <v>1.6933288916776063E-6</v>
      </c>
      <c r="M116" s="27">
        <f>VLOOKUP($B116,'5 A calc'!$A$2:$AT$398,46,FALSE)</f>
        <v>9.9413455012810044</v>
      </c>
    </row>
    <row r="117" spans="1:13" x14ac:dyDescent="0.2">
      <c r="A117">
        <f>VLOOKUP(B117,'5 A data'!A116:G585,7,FALSE)</f>
        <v>1</v>
      </c>
      <c r="B117">
        <v>216</v>
      </c>
      <c r="D117" s="46" t="s">
        <v>543</v>
      </c>
      <c r="E117">
        <f>VLOOKUP($B117,'5 A calc'!$A$2:$AR$203,4,FALSE)</f>
        <v>10</v>
      </c>
      <c r="F117" s="4">
        <f>VLOOKUP($B117,'5 A calc'!$A$2:$AR$203,13,FALSE)</f>
        <v>-0.18284948877990198</v>
      </c>
      <c r="G117" s="4">
        <f>VLOOKUP($B117,'5 A calc'!$A$2:$AR$203,14,FALSE)</f>
        <v>0.29705935378240289</v>
      </c>
      <c r="H117" s="4"/>
      <c r="I117" s="4"/>
      <c r="J117" s="686">
        <f>VLOOKUP($B117,'5 A calc'!$A$2:$AR$203,16,FALSE)</f>
        <v>5.0170517941146892E-6</v>
      </c>
      <c r="K117" s="27">
        <f>VLOOKUP($B117,'5 A calc'!$A$2:$AT$398,45,FALSE)</f>
        <v>38.265350164989712</v>
      </c>
      <c r="L117" s="686">
        <f>VLOOKUP($B117,'5 A calc'!$A$2:$AR$203,30,FALSE)</f>
        <v>2.600738521505678E-6</v>
      </c>
      <c r="M117" s="27">
        <f>VLOOKUP($B117,'5 A calc'!$A$2:$AT$398,46,FALSE)</f>
        <v>16.586629386739094</v>
      </c>
    </row>
    <row r="118" spans="1:13" x14ac:dyDescent="0.2">
      <c r="A118">
        <f>VLOOKUP(B118,'5 A data'!A117:G586,7,FALSE)</f>
        <v>1</v>
      </c>
      <c r="B118">
        <v>217</v>
      </c>
      <c r="D118" s="46" t="s">
        <v>543</v>
      </c>
      <c r="E118">
        <f>VLOOKUP($B118,'5 A calc'!$A$2:$AR$203,4,FALSE)</f>
        <v>20</v>
      </c>
      <c r="F118" s="4">
        <f>VLOOKUP($B118,'5 A calc'!$A$2:$AR$203,13,FALSE)</f>
        <v>-0.15586998693088872</v>
      </c>
      <c r="G118" s="4">
        <f>VLOOKUP($B118,'5 A calc'!$A$2:$AR$203,14,FALSE)</f>
        <v>0.23590255675839156</v>
      </c>
      <c r="H118" s="4"/>
      <c r="I118" s="4"/>
      <c r="J118" s="686">
        <f>VLOOKUP($B118,'5 A calc'!$A$2:$AR$203,16,FALSE)</f>
        <v>4.17832023036102E-6</v>
      </c>
      <c r="K118" s="27">
        <f>VLOOKUP($B118,'5 A calc'!$A$2:$AT$398,45,FALSE)</f>
        <v>36.657700403051521</v>
      </c>
      <c r="L118" s="686">
        <f>VLOOKUP($B118,'5 A calc'!$A$2:$AR$203,30,FALSE)</f>
        <v>1.9770475075939077E-6</v>
      </c>
      <c r="M118" s="27">
        <f>VLOOKUP($B118,'5 A calc'!$A$2:$AT$398,46,FALSE)</f>
        <v>53.09445811850042</v>
      </c>
    </row>
    <row r="119" spans="1:13" x14ac:dyDescent="0.2">
      <c r="A119">
        <f>VLOOKUP(B119,'5 A data'!A118:G587,7,FALSE)</f>
        <v>1</v>
      </c>
      <c r="B119">
        <v>218</v>
      </c>
      <c r="D119" s="46" t="s">
        <v>543</v>
      </c>
      <c r="E119">
        <f>VLOOKUP($B119,'5 A calc'!$A$2:$AR$203,4,FALSE)</f>
        <v>40</v>
      </c>
      <c r="F119" s="4">
        <f>VLOOKUP($B119,'5 A calc'!$A$2:$AR$203,13,FALSE)</f>
        <v>-0.13788745949748793</v>
      </c>
      <c r="G119" s="4">
        <f>VLOOKUP($B119,'5 A calc'!$A$2:$AR$203,14,FALSE)</f>
        <v>0.20532437774244733</v>
      </c>
      <c r="H119" s="4"/>
      <c r="I119" s="4"/>
      <c r="J119" s="686">
        <f>VLOOKUP($B119,'5 A calc'!$A$2:$AR$203,16,FALSE)</f>
        <v>3.3964590328801363E-6</v>
      </c>
      <c r="K119" s="27">
        <f>VLOOKUP($B119,'5 A calc'!$A$2:$AT$398,45,FALSE)</f>
        <v>38.659909732018328</v>
      </c>
      <c r="L119" s="686">
        <f>VLOOKUP($B119,'5 A calc'!$A$2:$AR$203,30,FALSE)</f>
        <v>1.6849048737447556E-6</v>
      </c>
      <c r="M119" s="27">
        <f>VLOOKUP($B119,'5 A calc'!$A$2:$AT$398,46,FALSE)</f>
        <v>52.499330597885681</v>
      </c>
    </row>
    <row r="120" spans="1:13" x14ac:dyDescent="0.2">
      <c r="A120">
        <f>VLOOKUP(B120,'5 A data'!A119:G588,7,FALSE)</f>
        <v>1</v>
      </c>
      <c r="B120">
        <v>219</v>
      </c>
      <c r="D120" s="46" t="s">
        <v>543</v>
      </c>
      <c r="E120">
        <f>VLOOKUP($B120,'5 A calc'!$A$2:$AR$203,4,FALSE)</f>
        <v>60</v>
      </c>
      <c r="F120" s="4">
        <f>VLOOKUP($B120,'5 A calc'!$A$2:$AR$203,13,FALSE)</f>
        <v>-0.12989576659663293</v>
      </c>
      <c r="G120" s="4">
        <f>VLOOKUP($B120,'5 A calc'!$A$2:$AR$203,14,FALSE)</f>
        <v>0.19076258148681702</v>
      </c>
      <c r="H120" s="4"/>
      <c r="I120" s="4"/>
      <c r="J120" s="686">
        <f>VLOOKUP($B120,'5 A calc'!$A$2:$AR$203,16,FALSE)</f>
        <v>2.9709098248278708E-6</v>
      </c>
      <c r="K120" s="27">
        <f>VLOOKUP($B120,'5 A calc'!$A$2:$AT$398,45,FALSE)</f>
        <v>42.291164682130272</v>
      </c>
      <c r="L120" s="686">
        <f>VLOOKUP($B120,'5 A calc'!$A$2:$AR$203,30,FALSE)</f>
        <v>1.6017059195029239E-6</v>
      </c>
      <c r="M120" s="27">
        <f>VLOOKUP($B120,'5 A calc'!$A$2:$AT$398,46,FALSE)</f>
        <v>48.978667479860043</v>
      </c>
    </row>
    <row r="121" spans="1:13" x14ac:dyDescent="0.2">
      <c r="A121">
        <f>VLOOKUP(B121,'5 A data'!A120:G589,7,FALSE)</f>
        <v>1</v>
      </c>
      <c r="B121">
        <v>220</v>
      </c>
      <c r="D121" s="46" t="s">
        <v>543</v>
      </c>
      <c r="E121">
        <f>VLOOKUP($B121,'5 A calc'!$A$2:$AR$203,4,FALSE)</f>
        <v>100</v>
      </c>
      <c r="F121" s="4">
        <f>VLOOKUP($B121,'5 A calc'!$A$2:$AR$203,13,FALSE)</f>
        <v>-0.12090653758511721</v>
      </c>
      <c r="G121" s="4">
        <f>VLOOKUP($B121,'5 A calc'!$A$2:$AR$203,14,FALSE)</f>
        <v>0.17620278437842499</v>
      </c>
      <c r="H121" s="4"/>
      <c r="I121" s="4"/>
      <c r="J121" s="686">
        <f>VLOOKUP($B121,'5 A calc'!$A$2:$AR$203,16,FALSE)</f>
        <v>2.4131313466023584E-6</v>
      </c>
      <c r="K121" s="27">
        <f>VLOOKUP($B121,'5 A calc'!$A$2:$AT$398,45,FALSE)</f>
        <v>59.567261398457461</v>
      </c>
      <c r="L121" s="686">
        <f>VLOOKUP($B121,'5 A calc'!$A$2:$AR$203,30,FALSE)</f>
        <v>1.6933288916776063E-6</v>
      </c>
      <c r="M121" s="27">
        <f>VLOOKUP($B121,'5 A calc'!$A$2:$AT$398,46,FALSE)</f>
        <v>45.732629829898706</v>
      </c>
    </row>
    <row r="122" spans="1:13" x14ac:dyDescent="0.2">
      <c r="A122">
        <f>VLOOKUP(B122,'5 A data'!A121:G590,7,FALSE)</f>
        <v>1</v>
      </c>
      <c r="B122">
        <v>221</v>
      </c>
      <c r="D122" s="46" t="s">
        <v>543</v>
      </c>
      <c r="E122">
        <f>VLOOKUP($B122,'5 A calc'!$A$2:$AR$203,4,FALSE)</f>
        <v>120</v>
      </c>
      <c r="F122" s="4">
        <f>VLOOKUP($B122,'5 A calc'!$A$2:$AR$203,13,FALSE)</f>
        <v>-0.11890947147813105</v>
      </c>
      <c r="G122" s="4">
        <f>VLOOKUP($B122,'5 A calc'!$A$2:$AR$203,14,FALSE)</f>
        <v>0.17183453218809797</v>
      </c>
      <c r="H122" s="4"/>
      <c r="I122" s="4"/>
      <c r="J122" s="686">
        <f>VLOOKUP($B122,'5 A calc'!$A$2:$AR$203,16,FALSE)</f>
        <v>2.2681305202526645E-6</v>
      </c>
      <c r="K122" s="27">
        <f>VLOOKUP($B122,'5 A calc'!$A$2:$AT$398,45,FALSE)</f>
        <v>68.00069900375496</v>
      </c>
      <c r="L122" s="686">
        <f>VLOOKUP($B122,'5 A calc'!$A$2:$AR$203,30,FALSE)</f>
        <v>1.7092397901526349E-6</v>
      </c>
      <c r="M122" s="27">
        <f>VLOOKUP($B122,'5 A calc'!$A$2:$AT$398,46,FALSE)</f>
        <v>47.345132453902309</v>
      </c>
    </row>
    <row r="125" spans="1:13" x14ac:dyDescent="0.2">
      <c r="A125">
        <f>VLOOKUP(B125,'5 A data'!A124:G593,7,FALSE)</f>
        <v>2</v>
      </c>
      <c r="B125">
        <v>225</v>
      </c>
      <c r="D125" s="46" t="s">
        <v>539</v>
      </c>
      <c r="E125">
        <f>VLOOKUP($B125,'5 A calc'!$A$2:$AR$203,4,FALSE)</f>
        <v>5</v>
      </c>
      <c r="F125" s="4">
        <f>VLOOKUP($B125,'5 A calc'!$A$2:$AR$203,13,FALSE)</f>
        <v>-0.68153155559925072</v>
      </c>
      <c r="G125" s="4">
        <f>VLOOKUP($B125,'5 A calc'!$A$2:$AR$203,14,FALSE)</f>
        <v>1.04844028513235</v>
      </c>
      <c r="H125" s="4"/>
      <c r="I125" s="4"/>
      <c r="J125" s="686">
        <f>VLOOKUP($B125,'5 A calc'!$A$2:$AR$203,16,FALSE)</f>
        <v>6.4429594675743464E-6</v>
      </c>
      <c r="K125" s="27">
        <f>VLOOKUP($B125,'5 A calc'!$A$2:$AT$398,45,FALSE)</f>
        <v>26.31606241070681</v>
      </c>
      <c r="L125" s="686">
        <f>VLOOKUP($B125,'5 A calc'!$A$2:$AR$203,30,FALSE)</f>
        <v>4.6788986298833412E-6</v>
      </c>
      <c r="M125" s="27">
        <f>VLOOKUP($B125,'5 A calc'!$A$2:$AT$398,46,FALSE)</f>
        <v>9.9413455012810044</v>
      </c>
    </row>
    <row r="126" spans="1:13" x14ac:dyDescent="0.2">
      <c r="A126">
        <f>VLOOKUP(B126,'5 A data'!A125:G594,7,FALSE)</f>
        <v>2</v>
      </c>
      <c r="B126">
        <v>226</v>
      </c>
      <c r="D126" s="46" t="s">
        <v>539</v>
      </c>
      <c r="E126">
        <f>VLOOKUP($B126,'5 A calc'!$A$2:$AR$203,4,FALSE)</f>
        <v>10</v>
      </c>
      <c r="F126" s="4">
        <f>VLOOKUP($B126,'5 A calc'!$A$2:$AR$203,13,FALSE)</f>
        <v>-0.60358303746751041</v>
      </c>
      <c r="G126" s="4">
        <f>VLOOKUP($B126,'5 A calc'!$A$2:$AR$203,14,FALSE)</f>
        <v>0.89117285398779111</v>
      </c>
      <c r="H126" s="4"/>
      <c r="I126" s="4"/>
      <c r="J126" s="686">
        <f>VLOOKUP($B126,'5 A calc'!$A$2:$AR$203,16,FALSE)</f>
        <v>5.0170517941146892E-6</v>
      </c>
      <c r="K126" s="27">
        <f>VLOOKUP($B126,'5 A calc'!$A$2:$AT$398,45,FALSE)</f>
        <v>38.265350164989712</v>
      </c>
      <c r="L126" s="686">
        <f>VLOOKUP($B126,'5 A calc'!$A$2:$AR$203,30,FALSE)</f>
        <v>2.600738521505678E-6</v>
      </c>
      <c r="M126" s="27">
        <f>VLOOKUP($B126,'5 A calc'!$A$2:$AT$398,46,FALSE)</f>
        <v>16.586629386739094</v>
      </c>
    </row>
    <row r="127" spans="1:13" x14ac:dyDescent="0.2">
      <c r="A127">
        <f>VLOOKUP(B127,'5 A data'!A126:G595,7,FALSE)</f>
        <v>2</v>
      </c>
      <c r="B127">
        <v>227</v>
      </c>
      <c r="D127" s="46" t="s">
        <v>539</v>
      </c>
      <c r="E127">
        <f>VLOOKUP($B127,'5 A calc'!$A$2:$AR$203,4,FALSE)</f>
        <v>20</v>
      </c>
      <c r="F127" s="4">
        <f>VLOOKUP($B127,'5 A calc'!$A$2:$AR$203,13,FALSE)</f>
        <v>-0.54562315554886331</v>
      </c>
      <c r="G127" s="4">
        <f>VLOOKUP($B127,'5 A calc'!$A$2:$AR$203,14,FALSE)</f>
        <v>0.78050659861333072</v>
      </c>
      <c r="H127" s="4"/>
      <c r="I127" s="4"/>
      <c r="J127" s="686">
        <f>VLOOKUP($B127,'5 A calc'!$A$2:$AR$203,16,FALSE)</f>
        <v>4.17832023036102E-6</v>
      </c>
      <c r="K127" s="27">
        <f>VLOOKUP($B127,'5 A calc'!$A$2:$AT$398,45,FALSE)</f>
        <v>36.657700403051521</v>
      </c>
      <c r="L127" s="686">
        <f>VLOOKUP($B127,'5 A calc'!$A$2:$AR$203,30,FALSE)</f>
        <v>1.9770475075939077E-6</v>
      </c>
      <c r="M127" s="27">
        <f>VLOOKUP($B127,'5 A calc'!$A$2:$AT$398,46,FALSE)</f>
        <v>53.09445811850042</v>
      </c>
    </row>
    <row r="128" spans="1:13" x14ac:dyDescent="0.2">
      <c r="A128">
        <f>VLOOKUP(B128,'5 A data'!A127:G596,7,FALSE)</f>
        <v>2</v>
      </c>
      <c r="B128">
        <v>228</v>
      </c>
      <c r="D128" s="46" t="s">
        <v>539</v>
      </c>
      <c r="E128">
        <f>VLOOKUP($B128,'5 A calc'!$A$2:$AR$203,4,FALSE)</f>
        <v>40</v>
      </c>
      <c r="F128" s="4">
        <f>VLOOKUP($B128,'5 A calc'!$A$2:$AR$203,13,FALSE)</f>
        <v>-0.50165708354093086</v>
      </c>
      <c r="G128" s="4">
        <f>VLOOKUP($B128,'5 A calc'!$A$2:$AR$203,14,FALSE)</f>
        <v>0.70187512178665656</v>
      </c>
      <c r="H128" s="4"/>
      <c r="I128" s="4"/>
      <c r="J128" s="686">
        <f>VLOOKUP($B128,'5 A calc'!$A$2:$AR$203,16,FALSE)</f>
        <v>3.3964590328801363E-6</v>
      </c>
      <c r="K128" s="27">
        <f>VLOOKUP($B128,'5 A calc'!$A$2:$AT$398,45,FALSE)</f>
        <v>38.659909732018328</v>
      </c>
      <c r="L128" s="686">
        <f>VLOOKUP($B128,'5 A calc'!$A$2:$AR$203,30,FALSE)</f>
        <v>1.6849048737447556E-6</v>
      </c>
      <c r="M128" s="27">
        <f>VLOOKUP($B128,'5 A calc'!$A$2:$AT$398,46,FALSE)</f>
        <v>52.499330597885681</v>
      </c>
    </row>
    <row r="129" spans="1:13" x14ac:dyDescent="0.2">
      <c r="A129">
        <f>VLOOKUP(B129,'5 A data'!A128:G597,7,FALSE)</f>
        <v>2</v>
      </c>
      <c r="B129">
        <v>229</v>
      </c>
      <c r="D129" s="46" t="s">
        <v>539</v>
      </c>
      <c r="E129">
        <f>VLOOKUP($B129,'5 A calc'!$A$2:$AR$203,4,FALSE)</f>
        <v>60</v>
      </c>
      <c r="F129" s="4">
        <f>VLOOKUP($B129,'5 A calc'!$A$2:$AR$203,13,FALSE)</f>
        <v>-0.49166665644203494</v>
      </c>
      <c r="G129" s="4">
        <f>VLOOKUP($B129,'5 A calc'!$A$2:$AR$203,14,FALSE)</f>
        <v>0.63780386718057736</v>
      </c>
      <c r="H129" s="4"/>
      <c r="I129" s="4"/>
      <c r="J129" s="686">
        <f>VLOOKUP($B129,'5 A calc'!$A$2:$AR$203,16,FALSE)</f>
        <v>2.9709098248278708E-6</v>
      </c>
      <c r="K129" s="27">
        <f>VLOOKUP($B129,'5 A calc'!$A$2:$AT$398,45,FALSE)</f>
        <v>42.291164682130272</v>
      </c>
      <c r="L129" s="686">
        <f>VLOOKUP($B129,'5 A calc'!$A$2:$AR$203,30,FALSE)</f>
        <v>1.6017059195029239E-6</v>
      </c>
      <c r="M129" s="27">
        <f>VLOOKUP($B129,'5 A calc'!$A$2:$AT$398,46,FALSE)</f>
        <v>48.978667479860043</v>
      </c>
    </row>
    <row r="130" spans="1:13" x14ac:dyDescent="0.2">
      <c r="A130">
        <f>VLOOKUP(B130,'5 A data'!A129:G598,7,FALSE)</f>
        <v>2</v>
      </c>
      <c r="B130">
        <v>230</v>
      </c>
      <c r="D130" s="46" t="s">
        <v>539</v>
      </c>
      <c r="E130">
        <f>VLOOKUP($B130,'5 A calc'!$A$2:$AR$203,4,FALSE)</f>
        <v>100</v>
      </c>
      <c r="F130" s="4">
        <f>VLOOKUP($B130,'5 A calc'!$A$2:$AR$203,13,FALSE)</f>
        <v>-0.46968565514325344</v>
      </c>
      <c r="G130" s="4">
        <f>VLOOKUP($B130,'5 A calc'!$A$2:$AR$203,14,FALSE)</f>
        <v>0.53004979553016363</v>
      </c>
      <c r="H130" s="4"/>
      <c r="I130" s="4"/>
      <c r="J130" s="686">
        <f>VLOOKUP($B130,'5 A calc'!$A$2:$AR$203,16,FALSE)</f>
        <v>2.4131313466023584E-6</v>
      </c>
      <c r="K130" s="27">
        <f>VLOOKUP($B130,'5 A calc'!$A$2:$AT$398,45,FALSE)</f>
        <v>59.567261398457461</v>
      </c>
      <c r="L130" s="686">
        <f>VLOOKUP($B130,'5 A calc'!$A$2:$AR$203,30,FALSE)</f>
        <v>1.6933288916776063E-6</v>
      </c>
      <c r="M130" s="27">
        <f>VLOOKUP($B130,'5 A calc'!$A$2:$AT$398,46,FALSE)</f>
        <v>45.732629829898706</v>
      </c>
    </row>
    <row r="131" spans="1:13" x14ac:dyDescent="0.2">
      <c r="A131">
        <f>VLOOKUP(B131,'5 A data'!A130:G599,7,FALSE)</f>
        <v>2</v>
      </c>
      <c r="B131">
        <v>231</v>
      </c>
      <c r="D131" s="46" t="s">
        <v>539</v>
      </c>
      <c r="E131">
        <f>VLOOKUP($B131,'5 A calc'!$A$2:$AR$203,4,FALSE)</f>
        <v>120</v>
      </c>
      <c r="F131" s="4">
        <f>VLOOKUP($B131,'5 A calc'!$A$2:$AR$203,13,FALSE)</f>
        <v>-0.45869428514508326</v>
      </c>
      <c r="G131" s="4">
        <f>VLOOKUP($B131,'5 A calc'!$A$2:$AR$203,14,FALSE)</f>
        <v>0.483452887687983</v>
      </c>
      <c r="H131" s="4"/>
      <c r="I131" s="4"/>
      <c r="J131" s="686">
        <f>VLOOKUP($B131,'5 A calc'!$A$2:$AR$203,16,FALSE)</f>
        <v>2.2681305202526645E-6</v>
      </c>
      <c r="K131" s="27">
        <f>VLOOKUP($B131,'5 A calc'!$A$2:$AT$398,45,FALSE)</f>
        <v>68.00069900375496</v>
      </c>
      <c r="L131" s="686">
        <f>VLOOKUP($B131,'5 A calc'!$A$2:$AR$203,30,FALSE)</f>
        <v>1.7092397901526349E-6</v>
      </c>
      <c r="M131" s="27">
        <f>VLOOKUP($B131,'5 A calc'!$A$2:$AT$398,46,FALSE)</f>
        <v>47.345132453902309</v>
      </c>
    </row>
    <row r="132" spans="1:13" x14ac:dyDescent="0.2">
      <c r="H132" s="4"/>
      <c r="I132" s="4"/>
      <c r="J132" s="686"/>
      <c r="K132" s="27"/>
      <c r="L132" s="686"/>
    </row>
    <row r="133" spans="1:13" x14ac:dyDescent="0.2">
      <c r="A133">
        <f>VLOOKUP(B133,'5 A data'!A132:G601,7,FALSE)</f>
        <v>1</v>
      </c>
      <c r="B133">
        <v>233</v>
      </c>
      <c r="D133" s="46" t="s">
        <v>543</v>
      </c>
      <c r="E133">
        <f>VLOOKUP($B133,'5 A calc'!$A$2:$AR$203,4,FALSE)</f>
        <v>5</v>
      </c>
      <c r="F133" s="4">
        <f>VLOOKUP($B133,'5 A calc'!$A$2:$AR$203,13,FALSE)</f>
        <v>-0.22282205714886522</v>
      </c>
      <c r="G133" s="4">
        <f>VLOOKUP($B133,'5 A calc'!$A$2:$AR$203,14,FALSE)</f>
        <v>0.38734340009988372</v>
      </c>
      <c r="H133" s="4"/>
      <c r="I133" s="4"/>
      <c r="J133" s="686">
        <f>VLOOKUP($B133,'5 A calc'!$A$2:$AR$203,16,FALSE)</f>
        <v>6.4429594675743464E-6</v>
      </c>
      <c r="K133" s="27">
        <f>VLOOKUP($B133,'5 A calc'!$A$2:$AT$398,45,FALSE)</f>
        <v>26.31606241070681</v>
      </c>
      <c r="L133" s="686">
        <f>VLOOKUP($B133,'5 A calc'!$A$2:$AR$203,30,FALSE)</f>
        <v>4.6788986298833412E-6</v>
      </c>
      <c r="M133" s="27">
        <f>VLOOKUP($B133,'5 A calc'!$A$2:$AT$398,46,FALSE)</f>
        <v>9.9413455012810044</v>
      </c>
    </row>
    <row r="134" spans="1:13" x14ac:dyDescent="0.2">
      <c r="A134">
        <f>VLOOKUP(B134,'5 A data'!A133:G602,7,FALSE)</f>
        <v>1</v>
      </c>
      <c r="B134">
        <v>234</v>
      </c>
      <c r="D134" s="46" t="s">
        <v>543</v>
      </c>
      <c r="E134">
        <f>VLOOKUP($B134,'5 A calc'!$A$2:$AR$203,4,FALSE)</f>
        <v>10</v>
      </c>
      <c r="F134" s="4">
        <f>VLOOKUP($B134,'5 A calc'!$A$2:$AR$203,13,FALSE)</f>
        <v>-0.18085075458186106</v>
      </c>
      <c r="G134" s="4">
        <f>VLOOKUP($B134,'5 A calc'!$A$2:$AR$203,14,FALSE)</f>
        <v>0.29414703270296477</v>
      </c>
      <c r="H134" s="4"/>
      <c r="I134" s="4"/>
      <c r="J134" s="686">
        <f>VLOOKUP($B134,'5 A calc'!$A$2:$AR$203,16,FALSE)</f>
        <v>5.0170517941146892E-6</v>
      </c>
      <c r="K134" s="27">
        <f>VLOOKUP($B134,'5 A calc'!$A$2:$AT$398,45,FALSE)</f>
        <v>38.265350164989712</v>
      </c>
      <c r="L134" s="686">
        <f>VLOOKUP($B134,'5 A calc'!$A$2:$AR$203,30,FALSE)</f>
        <v>2.600738521505678E-6</v>
      </c>
      <c r="M134" s="27">
        <f>VLOOKUP($B134,'5 A calc'!$A$2:$AT$398,46,FALSE)</f>
        <v>16.586629386739094</v>
      </c>
    </row>
    <row r="135" spans="1:13" x14ac:dyDescent="0.2">
      <c r="A135">
        <f>VLOOKUP(B135,'5 A data'!A134:G603,7,FALSE)</f>
        <v>1</v>
      </c>
      <c r="B135">
        <v>235</v>
      </c>
      <c r="D135" s="46" t="s">
        <v>543</v>
      </c>
      <c r="E135">
        <f>VLOOKUP($B135,'5 A calc'!$A$2:$AR$203,4,FALSE)</f>
        <v>20</v>
      </c>
      <c r="F135" s="4">
        <f>VLOOKUP($B135,'5 A calc'!$A$2:$AR$203,13,FALSE)</f>
        <v>-0.15387125273284782</v>
      </c>
      <c r="G135" s="4">
        <f>VLOOKUP($B135,'5 A calc'!$A$2:$AR$203,14,FALSE)</f>
        <v>0.23590255675839156</v>
      </c>
      <c r="H135" s="4"/>
      <c r="I135" s="4"/>
      <c r="J135" s="686">
        <f>VLOOKUP($B135,'5 A calc'!$A$2:$AR$203,16,FALSE)</f>
        <v>4.17832023036102E-6</v>
      </c>
      <c r="K135" s="27">
        <f>VLOOKUP($B135,'5 A calc'!$A$2:$AT$398,45,FALSE)</f>
        <v>36.657700403051521</v>
      </c>
      <c r="L135" s="686">
        <f>VLOOKUP($B135,'5 A calc'!$A$2:$AR$203,30,FALSE)</f>
        <v>1.9770475075939077E-6</v>
      </c>
      <c r="M135" s="27">
        <f>VLOOKUP($B135,'5 A calc'!$A$2:$AT$398,46,FALSE)</f>
        <v>53.09445811850042</v>
      </c>
    </row>
    <row r="136" spans="1:13" x14ac:dyDescent="0.2">
      <c r="A136">
        <f>VLOOKUP(B136,'5 A data'!A135:G604,7,FALSE)</f>
        <v>1</v>
      </c>
      <c r="B136">
        <v>236</v>
      </c>
      <c r="D136" s="46" t="s">
        <v>543</v>
      </c>
      <c r="E136">
        <f>VLOOKUP($B136,'5 A calc'!$A$2:$AR$203,4,FALSE)</f>
        <v>40</v>
      </c>
      <c r="F136" s="4">
        <f>VLOOKUP($B136,'5 A calc'!$A$2:$AR$203,13,FALSE)</f>
        <v>-0.13588872529944704</v>
      </c>
      <c r="G136" s="4">
        <f>VLOOKUP($B136,'5 A calc'!$A$2:$AR$203,14,FALSE)</f>
        <v>0.20386821720272824</v>
      </c>
      <c r="H136" s="4"/>
      <c r="I136" s="4"/>
      <c r="J136" s="686">
        <f>VLOOKUP($B136,'5 A calc'!$A$2:$AR$203,16,FALSE)</f>
        <v>3.3964590328801363E-6</v>
      </c>
      <c r="K136" s="27">
        <f>VLOOKUP($B136,'5 A calc'!$A$2:$AT$398,45,FALSE)</f>
        <v>38.659909732018328</v>
      </c>
      <c r="L136" s="686">
        <f>VLOOKUP($B136,'5 A calc'!$A$2:$AR$203,30,FALSE)</f>
        <v>1.6849048737447556E-6</v>
      </c>
      <c r="M136" s="27">
        <f>VLOOKUP($B136,'5 A calc'!$A$2:$AT$398,46,FALSE)</f>
        <v>52.499330597885681</v>
      </c>
    </row>
    <row r="137" spans="1:13" x14ac:dyDescent="0.2">
      <c r="A137">
        <f>VLOOKUP(B137,'5 A data'!A136:G605,7,FALSE)</f>
        <v>1</v>
      </c>
      <c r="B137">
        <v>237</v>
      </c>
      <c r="D137" s="46" t="s">
        <v>543</v>
      </c>
      <c r="E137">
        <f>VLOOKUP($B137,'5 A calc'!$A$2:$AR$203,4,FALSE)</f>
        <v>60</v>
      </c>
      <c r="F137" s="4">
        <f>VLOOKUP($B137,'5 A calc'!$A$2:$AR$203,13,FALSE)</f>
        <v>-0.12789703239859201</v>
      </c>
      <c r="G137" s="4">
        <f>VLOOKUP($B137,'5 A calc'!$A$2:$AR$203,14,FALSE)</f>
        <v>0.1893064209470979</v>
      </c>
      <c r="H137" s="4"/>
      <c r="I137" s="4"/>
      <c r="J137" s="686">
        <f>VLOOKUP($B137,'5 A calc'!$A$2:$AR$203,16,FALSE)</f>
        <v>2.9709098248278708E-6</v>
      </c>
      <c r="K137" s="27">
        <f>VLOOKUP($B137,'5 A calc'!$A$2:$AT$398,45,FALSE)</f>
        <v>42.291164682130272</v>
      </c>
      <c r="L137" s="686">
        <f>VLOOKUP($B137,'5 A calc'!$A$2:$AR$203,30,FALSE)</f>
        <v>1.6017059195029239E-6</v>
      </c>
      <c r="M137" s="27">
        <f>VLOOKUP($B137,'5 A calc'!$A$2:$AT$398,46,FALSE)</f>
        <v>48.978667479860043</v>
      </c>
    </row>
    <row r="138" spans="1:13" x14ac:dyDescent="0.2">
      <c r="A138">
        <f>VLOOKUP(B138,'5 A data'!A137:G606,7,FALSE)</f>
        <v>1</v>
      </c>
      <c r="B138">
        <v>238</v>
      </c>
      <c r="D138" s="46" t="s">
        <v>543</v>
      </c>
      <c r="E138">
        <f>VLOOKUP($B138,'5 A calc'!$A$2:$AR$203,4,FALSE)</f>
        <v>100</v>
      </c>
      <c r="F138" s="4">
        <f>VLOOKUP($B138,'5 A calc'!$A$2:$AR$203,13,FALSE)</f>
        <v>-0.11990717048609677</v>
      </c>
      <c r="G138" s="4">
        <f>VLOOKUP($B138,'5 A calc'!$A$2:$AR$203,14,FALSE)</f>
        <v>0.17474662383870593</v>
      </c>
      <c r="H138" s="4"/>
      <c r="I138" s="4"/>
      <c r="J138" s="686">
        <f>VLOOKUP($B138,'5 A calc'!$A$2:$AR$203,16,FALSE)</f>
        <v>2.4131313466023584E-6</v>
      </c>
      <c r="K138" s="27">
        <f>VLOOKUP($B138,'5 A calc'!$A$2:$AT$398,45,FALSE)</f>
        <v>59.567261398457461</v>
      </c>
      <c r="L138" s="686">
        <f>VLOOKUP($B138,'5 A calc'!$A$2:$AR$203,30,FALSE)</f>
        <v>1.6933288916776063E-6</v>
      </c>
      <c r="M138" s="27">
        <f>VLOOKUP($B138,'5 A calc'!$A$2:$AT$398,46,FALSE)</f>
        <v>45.732629829898706</v>
      </c>
    </row>
    <row r="139" spans="1:13" x14ac:dyDescent="0.2">
      <c r="A139">
        <f>VLOOKUP(B139,'5 A data'!A138:G607,7,FALSE)</f>
        <v>1</v>
      </c>
      <c r="B139">
        <v>239</v>
      </c>
      <c r="D139" s="46" t="s">
        <v>543</v>
      </c>
      <c r="E139">
        <f>VLOOKUP($B139,'5 A calc'!$A$2:$AR$203,4,FALSE)</f>
        <v>120</v>
      </c>
      <c r="F139" s="4">
        <f>VLOOKUP($B139,'5 A calc'!$A$2:$AR$203,13,FALSE)</f>
        <v>-0.11691073728009016</v>
      </c>
      <c r="G139" s="4">
        <f>VLOOKUP($B139,'5 A calc'!$A$2:$AR$203,14,FALSE)</f>
        <v>0.16892221110865976</v>
      </c>
      <c r="H139" s="4"/>
      <c r="I139" s="4"/>
      <c r="J139" s="686">
        <f>VLOOKUP($B139,'5 A calc'!$A$2:$AR$203,16,FALSE)</f>
        <v>2.2681305202526645E-6</v>
      </c>
      <c r="K139" s="27">
        <f>VLOOKUP($B139,'5 A calc'!$A$2:$AT$398,45,FALSE)</f>
        <v>68.00069900375496</v>
      </c>
      <c r="L139" s="686">
        <f>VLOOKUP($B139,'5 A calc'!$A$2:$AR$203,30,FALSE)</f>
        <v>1.7092397901526349E-6</v>
      </c>
      <c r="M139" s="27">
        <f>VLOOKUP($B139,'5 A calc'!$A$2:$AT$398,46,FALSE)</f>
        <v>47.345132453902309</v>
      </c>
    </row>
    <row r="142" spans="1:13" x14ac:dyDescent="0.2">
      <c r="A142">
        <f>VLOOKUP(B142,'5 A data'!A141:G610,7,FALSE)</f>
        <v>2</v>
      </c>
      <c r="B142">
        <v>261</v>
      </c>
      <c r="D142" s="46" t="s">
        <v>539</v>
      </c>
      <c r="E142">
        <f>VLOOKUP($B142,'5 A calc'!$A$2:$AR$203,4,FALSE)</f>
        <v>5</v>
      </c>
      <c r="F142" s="4">
        <f>VLOOKUP($B142,'5 A calc'!$A$2:$AR$203,13,FALSE)</f>
        <v>-0.67353661880708715</v>
      </c>
      <c r="G142" s="4">
        <f>VLOOKUP($B142,'5 A calc'!$A$2:$AR$203,14,FALSE)</f>
        <v>1.0193170743379685</v>
      </c>
      <c r="H142" s="4"/>
      <c r="I142" s="4"/>
      <c r="J142" s="686">
        <f>VLOOKUP($B142,'5 A calc'!$A$2:$AR$203,16,FALSE)</f>
        <v>6.4429594675743464E-6</v>
      </c>
      <c r="K142" s="27">
        <f>VLOOKUP($B142,'5 A calc'!$A$2:$AT$398,45,FALSE)</f>
        <v>26.31606241070681</v>
      </c>
      <c r="L142" s="686">
        <f>VLOOKUP($B142,'5 A calc'!$A$2:$AR$203,30,FALSE)</f>
        <v>4.6788986298833412E-6</v>
      </c>
      <c r="M142" s="27">
        <f>VLOOKUP($B142,'5 A calc'!$A$2:$AT$398,46,FALSE)</f>
        <v>9.9413455012810044</v>
      </c>
    </row>
    <row r="143" spans="1:13" x14ac:dyDescent="0.2">
      <c r="A143">
        <f>VLOOKUP(B143,'5 A data'!A142:G611,7,FALSE)</f>
        <v>2</v>
      </c>
      <c r="B143">
        <v>262</v>
      </c>
      <c r="D143" s="46" t="s">
        <v>539</v>
      </c>
      <c r="E143">
        <f>VLOOKUP($B143,'5 A calc'!$A$2:$AR$203,4,FALSE)</f>
        <v>10</v>
      </c>
      <c r="F143" s="4">
        <f>VLOOKUP($B143,'5 A calc'!$A$2:$AR$203,13,FALSE)</f>
        <v>-0.60758050586359225</v>
      </c>
      <c r="G143" s="4">
        <f>VLOOKUP($B143,'5 A calc'!$A$2:$AR$203,14,FALSE)</f>
        <v>0.89699749614666746</v>
      </c>
      <c r="H143" s="4"/>
      <c r="I143" s="4"/>
      <c r="J143" s="686">
        <f>VLOOKUP($B143,'5 A calc'!$A$2:$AR$203,16,FALSE)</f>
        <v>5.0170517941146892E-6</v>
      </c>
      <c r="K143" s="27">
        <f>VLOOKUP($B143,'5 A calc'!$A$2:$AT$398,45,FALSE)</f>
        <v>38.265350164989712</v>
      </c>
      <c r="L143" s="686">
        <f>VLOOKUP($B143,'5 A calc'!$A$2:$AR$203,30,FALSE)</f>
        <v>2.600738521505678E-6</v>
      </c>
      <c r="M143" s="27">
        <f>VLOOKUP($B143,'5 A calc'!$A$2:$AT$398,46,FALSE)</f>
        <v>16.586629386739094</v>
      </c>
    </row>
    <row r="144" spans="1:13" x14ac:dyDescent="0.2">
      <c r="A144">
        <f>VLOOKUP(B144,'5 A data'!A143:G612,7,FALSE)</f>
        <v>2</v>
      </c>
      <c r="B144">
        <v>263</v>
      </c>
      <c r="D144" s="46" t="s">
        <v>539</v>
      </c>
      <c r="E144">
        <f>VLOOKUP($B144,'5 A calc'!$A$2:$AR$203,4,FALSE)</f>
        <v>20</v>
      </c>
      <c r="F144" s="4">
        <f>VLOOKUP($B144,'5 A calc'!$A$2:$AR$203,13,FALSE)</f>
        <v>-0.55361809234102699</v>
      </c>
      <c r="G144" s="4">
        <f>VLOOKUP($B144,'5 A calc'!$A$2:$AR$203,14,FALSE)</f>
        <v>0.78633124077220728</v>
      </c>
      <c r="H144" s="4"/>
      <c r="I144" s="4"/>
      <c r="J144" s="686">
        <f>VLOOKUP($B144,'5 A calc'!$A$2:$AR$203,16,FALSE)</f>
        <v>4.17832023036102E-6</v>
      </c>
      <c r="K144" s="27">
        <f>VLOOKUP($B144,'5 A calc'!$A$2:$AT$398,45,FALSE)</f>
        <v>36.657700403051521</v>
      </c>
      <c r="L144" s="686">
        <f>VLOOKUP($B144,'5 A calc'!$A$2:$AR$203,30,FALSE)</f>
        <v>1.9770475075939077E-6</v>
      </c>
      <c r="M144" s="27">
        <f>VLOOKUP($B144,'5 A calc'!$A$2:$AT$398,46,FALSE)</f>
        <v>53.09445811850042</v>
      </c>
    </row>
    <row r="145" spans="1:16" x14ac:dyDescent="0.2">
      <c r="A145">
        <f>VLOOKUP(B145,'5 A data'!A144:G613,7,FALSE)</f>
        <v>2</v>
      </c>
      <c r="B145">
        <v>264</v>
      </c>
      <c r="D145" s="46" t="s">
        <v>539</v>
      </c>
      <c r="E145">
        <f>VLOOKUP($B145,'5 A calc'!$A$2:$AR$203,4,FALSE)</f>
        <v>40</v>
      </c>
      <c r="F145" s="4">
        <f>VLOOKUP($B145,'5 A calc'!$A$2:$AR$203,13,FALSE)</f>
        <v>-0.50565455193701259</v>
      </c>
      <c r="G145" s="4">
        <f>VLOOKUP($B145,'5 A calc'!$A$2:$AR$203,14,FALSE)</f>
        <v>0.70478744286609474</v>
      </c>
      <c r="H145" s="4"/>
      <c r="I145" s="4"/>
      <c r="J145" s="686">
        <f>VLOOKUP($B145,'5 A calc'!$A$2:$AR$203,16,FALSE)</f>
        <v>3.3964590328801363E-6</v>
      </c>
      <c r="K145" s="27">
        <f>VLOOKUP($B145,'5 A calc'!$A$2:$AT$398,45,FALSE)</f>
        <v>38.659909732018328</v>
      </c>
      <c r="L145" s="686">
        <f>VLOOKUP($B145,'5 A calc'!$A$2:$AR$203,30,FALSE)</f>
        <v>1.6849048737447556E-6</v>
      </c>
      <c r="M145" s="27">
        <f>VLOOKUP($B145,'5 A calc'!$A$2:$AT$398,46,FALSE)</f>
        <v>52.499330597885681</v>
      </c>
    </row>
    <row r="146" spans="1:16" x14ac:dyDescent="0.2">
      <c r="A146">
        <f>VLOOKUP(B146,'5 A data'!A145:G614,7,FALSE)</f>
        <v>2</v>
      </c>
      <c r="B146">
        <v>265</v>
      </c>
      <c r="D146" s="46" t="s">
        <v>539</v>
      </c>
      <c r="E146">
        <f>VLOOKUP($B146,'5 A calc'!$A$2:$AR$203,4,FALSE)</f>
        <v>60</v>
      </c>
      <c r="F146" s="4">
        <f>VLOOKUP($B146,'5 A calc'!$A$2:$AR$203,13,FALSE)</f>
        <v>-0.49566412483811673</v>
      </c>
      <c r="G146" s="4">
        <f>VLOOKUP($B146,'5 A calc'!$A$2:$AR$203,14,FALSE)</f>
        <v>0.64071618826001553</v>
      </c>
      <c r="H146" s="4"/>
      <c r="I146" s="4"/>
      <c r="J146" s="686">
        <f>VLOOKUP($B146,'5 A calc'!$A$2:$AR$203,16,FALSE)</f>
        <v>2.9709098248278708E-6</v>
      </c>
      <c r="K146" s="27">
        <f>VLOOKUP($B146,'5 A calc'!$A$2:$AT$398,45,FALSE)</f>
        <v>42.291164682130272</v>
      </c>
      <c r="L146" s="686">
        <f>VLOOKUP($B146,'5 A calc'!$A$2:$AR$203,30,FALSE)</f>
        <v>1.6017059195029239E-6</v>
      </c>
      <c r="M146" s="27">
        <f>VLOOKUP($B146,'5 A calc'!$A$2:$AT$398,46,FALSE)</f>
        <v>48.978667479860043</v>
      </c>
    </row>
    <row r="147" spans="1:16" x14ac:dyDescent="0.2">
      <c r="A147">
        <f>VLOOKUP(B147,'5 A data'!A146:G615,7,FALSE)</f>
        <v>2</v>
      </c>
      <c r="B147">
        <v>266</v>
      </c>
      <c r="D147" s="46" t="s">
        <v>539</v>
      </c>
      <c r="E147">
        <f>VLOOKUP($B147,'5 A calc'!$A$2:$AR$203,4,FALSE)</f>
        <v>100</v>
      </c>
      <c r="F147" s="4">
        <f>VLOOKUP($B147,'5 A calc'!$A$2:$AR$203,13,FALSE)</f>
        <v>-0.47368312353933523</v>
      </c>
      <c r="G147" s="4">
        <f>VLOOKUP($B147,'5 A calc'!$A$2:$AR$203,14,FALSE)</f>
        <v>0.52422515337128717</v>
      </c>
      <c r="H147" s="4"/>
      <c r="I147" s="4"/>
      <c r="J147" s="686">
        <f>VLOOKUP($B147,'5 A calc'!$A$2:$AR$203,16,FALSE)</f>
        <v>2.4131313466023584E-6</v>
      </c>
      <c r="K147" s="27">
        <f>VLOOKUP($B147,'5 A calc'!$A$2:$AT$398,45,FALSE)</f>
        <v>59.567261398457461</v>
      </c>
      <c r="L147" s="686">
        <f>VLOOKUP($B147,'5 A calc'!$A$2:$AR$203,30,FALSE)</f>
        <v>1.6933288916776063E-6</v>
      </c>
      <c r="M147" s="27">
        <f>VLOOKUP($B147,'5 A calc'!$A$2:$AT$398,46,FALSE)</f>
        <v>45.732629829898706</v>
      </c>
    </row>
    <row r="148" spans="1:16" x14ac:dyDescent="0.2">
      <c r="A148">
        <f>VLOOKUP(B148,'5 A data'!A147:G616,7,FALSE)</f>
        <v>2</v>
      </c>
      <c r="B148">
        <v>267</v>
      </c>
      <c r="D148" s="46" t="s">
        <v>539</v>
      </c>
      <c r="E148">
        <f>VLOOKUP($B148,'5 A calc'!$A$2:$AR$203,4,FALSE)</f>
        <v>120</v>
      </c>
      <c r="F148" s="4">
        <f>VLOOKUP($B148,'5 A calc'!$A$2:$AR$203,13,FALSE)</f>
        <v>-0.46169238644214461</v>
      </c>
      <c r="G148" s="4">
        <f>VLOOKUP($B148,'5 A calc'!$A$2:$AR$203,14,FALSE)</f>
        <v>0.483452887687983</v>
      </c>
      <c r="H148" s="4"/>
      <c r="I148" s="4"/>
      <c r="J148" s="686">
        <f>VLOOKUP($B148,'5 A calc'!$A$2:$AR$203,16,FALSE)</f>
        <v>2.2681305202526645E-6</v>
      </c>
      <c r="K148" s="27">
        <f>VLOOKUP($B148,'5 A calc'!$A$2:$AT$398,45,FALSE)</f>
        <v>68.00069900375496</v>
      </c>
      <c r="L148" s="686">
        <f>VLOOKUP($B148,'5 A calc'!$A$2:$AR$203,30,FALSE)</f>
        <v>1.7092397901526349E-6</v>
      </c>
      <c r="M148" s="27">
        <f>VLOOKUP($B148,'5 A calc'!$A$2:$AT$398,46,FALSE)</f>
        <v>47.345132453902309</v>
      </c>
    </row>
    <row r="149" spans="1:16" x14ac:dyDescent="0.2">
      <c r="H149" s="4"/>
      <c r="I149" s="4"/>
      <c r="J149" s="686"/>
      <c r="K149" s="27"/>
      <c r="L149" s="686"/>
    </row>
    <row r="150" spans="1:16" x14ac:dyDescent="0.2">
      <c r="A150">
        <f>VLOOKUP(B150,'5 A data'!A149:G618,7,FALSE)</f>
        <v>1</v>
      </c>
      <c r="B150">
        <v>269</v>
      </c>
      <c r="D150" s="46" t="s">
        <v>543</v>
      </c>
      <c r="E150">
        <f>VLOOKUP($B150,'5 A calc'!$A$2:$AR$203,4,FALSE)</f>
        <v>5</v>
      </c>
      <c r="F150" s="4">
        <f>VLOOKUP($B150,'5 A calc'!$A$2:$AR$203,13,FALSE)</f>
        <v>-0.21182901905964027</v>
      </c>
      <c r="G150" s="4">
        <f>VLOOKUP($B150,'5 A calc'!$A$2:$AR$203,14,FALSE)</f>
        <v>0.37860643686156914</v>
      </c>
      <c r="H150" s="4"/>
      <c r="I150" s="4"/>
      <c r="J150" s="686">
        <f>VLOOKUP($B150,'5 A calc'!$A$2:$AR$203,16,FALSE)</f>
        <v>6.4429594675743464E-6</v>
      </c>
      <c r="K150" s="27">
        <f>VLOOKUP($B150,'5 A calc'!$A$2:$AT$398,45,FALSE)</f>
        <v>26.31606241070681</v>
      </c>
      <c r="L150" s="686">
        <f>VLOOKUP($B150,'5 A calc'!$A$2:$AR$203,30,FALSE)</f>
        <v>4.6788986298833412E-6</v>
      </c>
      <c r="M150" s="27">
        <f>VLOOKUP($B150,'5 A calc'!$A$2:$AT$398,46,FALSE)</f>
        <v>9.9413455012810044</v>
      </c>
    </row>
    <row r="151" spans="1:16" x14ac:dyDescent="0.2">
      <c r="A151">
        <f>VLOOKUP(B151,'5 A data'!A150:G619,7,FALSE)</f>
        <v>1</v>
      </c>
      <c r="B151">
        <v>270</v>
      </c>
      <c r="D151" s="46" t="s">
        <v>543</v>
      </c>
      <c r="E151">
        <f>VLOOKUP($B151,'5 A calc'!$A$2:$AR$203,4,FALSE)</f>
        <v>10</v>
      </c>
      <c r="F151" s="4">
        <f>VLOOKUP($B151,'5 A calc'!$A$2:$AR$203,13,FALSE)</f>
        <v>-0.18085075458186106</v>
      </c>
      <c r="G151" s="4">
        <f>VLOOKUP($B151,'5 A calc'!$A$2:$AR$203,14,FALSE)</f>
        <v>0.30288399594127929</v>
      </c>
      <c r="H151" s="4"/>
      <c r="I151" s="4"/>
      <c r="J151" s="686">
        <f>VLOOKUP($B151,'5 A calc'!$A$2:$AR$203,16,FALSE)</f>
        <v>5.0170517941146892E-6</v>
      </c>
      <c r="K151" s="27">
        <f>VLOOKUP($B151,'5 A calc'!$A$2:$AT$398,45,FALSE)</f>
        <v>38.265350164989712</v>
      </c>
      <c r="L151" s="686">
        <f>VLOOKUP($B151,'5 A calc'!$A$2:$AR$203,30,FALSE)</f>
        <v>2.600738521505678E-6</v>
      </c>
      <c r="M151" s="27">
        <f>VLOOKUP($B151,'5 A calc'!$A$2:$AT$398,46,FALSE)</f>
        <v>16.586629386739094</v>
      </c>
    </row>
    <row r="152" spans="1:16" x14ac:dyDescent="0.2">
      <c r="A152">
        <f>VLOOKUP(B152,'5 A data'!A151:G620,7,FALSE)</f>
        <v>1</v>
      </c>
      <c r="B152">
        <v>271</v>
      </c>
      <c r="D152" s="46" t="s">
        <v>543</v>
      </c>
      <c r="E152">
        <f>VLOOKUP($B152,'5 A calc'!$A$2:$AR$203,4,FALSE)</f>
        <v>20</v>
      </c>
      <c r="F152" s="4">
        <f>VLOOKUP($B152,'5 A calc'!$A$2:$AR$203,13,FALSE)</f>
        <v>-0.15287188563382736</v>
      </c>
      <c r="G152" s="4">
        <f>VLOOKUP($B152,'5 A calc'!$A$2:$AR$203,14,FALSE)</f>
        <v>0.24463951999670613</v>
      </c>
      <c r="H152" s="4"/>
      <c r="I152" s="4"/>
      <c r="J152" s="686">
        <f>VLOOKUP($B152,'5 A calc'!$A$2:$AR$203,16,FALSE)</f>
        <v>4.17832023036102E-6</v>
      </c>
      <c r="K152" s="27">
        <f>VLOOKUP($B152,'5 A calc'!$A$2:$AT$398,45,FALSE)</f>
        <v>36.657700403051521</v>
      </c>
      <c r="L152" s="686">
        <f>VLOOKUP($B152,'5 A calc'!$A$2:$AR$203,30,FALSE)</f>
        <v>1.9770475075939077E-6</v>
      </c>
      <c r="M152" s="27">
        <f>VLOOKUP($B152,'5 A calc'!$A$2:$AT$398,46,FALSE)</f>
        <v>53.09445811850042</v>
      </c>
    </row>
    <row r="153" spans="1:16" x14ac:dyDescent="0.2">
      <c r="A153">
        <f>VLOOKUP(B153,'5 A data'!A152:G621,7,FALSE)</f>
        <v>1</v>
      </c>
      <c r="B153">
        <v>272</v>
      </c>
      <c r="D153" s="46" t="s">
        <v>543</v>
      </c>
      <c r="E153">
        <f>VLOOKUP($B153,'5 A calc'!$A$2:$AR$203,4,FALSE)</f>
        <v>40</v>
      </c>
      <c r="F153" s="4">
        <f>VLOOKUP($B153,'5 A calc'!$A$2:$AR$203,13,FALSE)</f>
        <v>-0.13488935820042661</v>
      </c>
      <c r="G153" s="4">
        <f>VLOOKUP($B153,'5 A calc'!$A$2:$AR$203,14,FALSE)</f>
        <v>0.20678053828216644</v>
      </c>
      <c r="H153" s="4"/>
      <c r="I153" s="4"/>
      <c r="J153" s="686">
        <f>VLOOKUP($B153,'5 A calc'!$A$2:$AR$203,16,FALSE)</f>
        <v>3.3964590328801363E-6</v>
      </c>
      <c r="K153" s="27">
        <f>VLOOKUP($B153,'5 A calc'!$A$2:$AT$398,45,FALSE)</f>
        <v>38.659909732018328</v>
      </c>
      <c r="L153" s="686">
        <f>VLOOKUP($B153,'5 A calc'!$A$2:$AR$203,30,FALSE)</f>
        <v>1.6849048737447556E-6</v>
      </c>
      <c r="M153" s="27">
        <f>VLOOKUP($B153,'5 A calc'!$A$2:$AT$398,46,FALSE)</f>
        <v>52.499330597885681</v>
      </c>
    </row>
    <row r="154" spans="1:16" x14ac:dyDescent="0.2">
      <c r="A154">
        <f>VLOOKUP(B154,'5 A data'!A153:G622,7,FALSE)</f>
        <v>1</v>
      </c>
      <c r="B154">
        <v>273</v>
      </c>
      <c r="D154" s="46" t="s">
        <v>543</v>
      </c>
      <c r="E154">
        <f>VLOOKUP($B154,'5 A calc'!$A$2:$AR$203,4,FALSE)</f>
        <v>60</v>
      </c>
      <c r="F154" s="4">
        <f>VLOOKUP($B154,'5 A calc'!$A$2:$AR$203,13,FALSE)</f>
        <v>-0.12789703239859201</v>
      </c>
      <c r="G154" s="4">
        <f>VLOOKUP($B154,'5 A calc'!$A$2:$AR$203,14,FALSE)</f>
        <v>0.19221874202653608</v>
      </c>
      <c r="H154" s="4"/>
      <c r="I154" s="4"/>
      <c r="J154" s="686">
        <f>VLOOKUP($B154,'5 A calc'!$A$2:$AR$203,16,FALSE)</f>
        <v>2.9709098248278708E-6</v>
      </c>
      <c r="K154" s="27">
        <f>VLOOKUP($B154,'5 A calc'!$A$2:$AT$398,45,FALSE)</f>
        <v>42.291164682130272</v>
      </c>
      <c r="L154" s="686">
        <f>VLOOKUP($B154,'5 A calc'!$A$2:$AR$203,30,FALSE)</f>
        <v>1.6017059195029239E-6</v>
      </c>
      <c r="M154" s="27">
        <f>VLOOKUP($B154,'5 A calc'!$A$2:$AT$398,46,FALSE)</f>
        <v>48.978667479860043</v>
      </c>
    </row>
    <row r="155" spans="1:16" x14ac:dyDescent="0.2">
      <c r="A155">
        <f>VLOOKUP(B155,'5 A data'!A154:G623,7,FALSE)</f>
        <v>1</v>
      </c>
      <c r="B155">
        <v>274</v>
      </c>
      <c r="D155" s="46" t="s">
        <v>543</v>
      </c>
      <c r="E155">
        <f>VLOOKUP($B155,'5 A calc'!$A$2:$AR$203,4,FALSE)</f>
        <v>100</v>
      </c>
      <c r="F155" s="4">
        <f>VLOOKUP($B155,'5 A calc'!$A$2:$AR$203,13,FALSE)</f>
        <v>-0.11990717048609677</v>
      </c>
      <c r="G155" s="4">
        <f>VLOOKUP($B155,'5 A calc'!$A$2:$AR$203,14,FALSE)</f>
        <v>0.17620278437842499</v>
      </c>
      <c r="H155" s="4"/>
      <c r="I155" s="4"/>
      <c r="J155" s="686">
        <f>VLOOKUP($B155,'5 A calc'!$A$2:$AR$203,16,FALSE)</f>
        <v>2.4131313466023584E-6</v>
      </c>
      <c r="K155" s="27">
        <f>VLOOKUP($B155,'5 A calc'!$A$2:$AT$398,45,FALSE)</f>
        <v>59.567261398457461</v>
      </c>
      <c r="L155" s="686">
        <f>VLOOKUP($B155,'5 A calc'!$A$2:$AR$203,30,FALSE)</f>
        <v>1.6933288916776063E-6</v>
      </c>
      <c r="M155" s="27">
        <f>VLOOKUP($B155,'5 A calc'!$A$2:$AT$398,46,FALSE)</f>
        <v>45.732629829898706</v>
      </c>
    </row>
    <row r="156" spans="1:16" x14ac:dyDescent="0.2">
      <c r="A156">
        <f>VLOOKUP(B156,'5 A data'!A155:G624,7,FALSE)</f>
        <v>1</v>
      </c>
      <c r="B156">
        <v>275</v>
      </c>
      <c r="D156" s="46" t="s">
        <v>543</v>
      </c>
      <c r="E156">
        <f>VLOOKUP($B156,'5 A calc'!$A$2:$AR$203,4,FALSE)</f>
        <v>120</v>
      </c>
      <c r="F156" s="4">
        <f>VLOOKUP($B156,'5 A calc'!$A$2:$AR$203,13,FALSE)</f>
        <v>-0.11791010437911061</v>
      </c>
      <c r="G156" s="4">
        <f>VLOOKUP($B156,'5 A calc'!$A$2:$AR$203,14,FALSE)</f>
        <v>0.17183453218809797</v>
      </c>
      <c r="H156" s="4"/>
      <c r="I156" s="4"/>
      <c r="J156" s="686">
        <f>VLOOKUP($B156,'5 A calc'!$A$2:$AR$203,16,FALSE)</f>
        <v>2.2681305202526645E-6</v>
      </c>
      <c r="K156" s="27">
        <f>VLOOKUP($B156,'5 A calc'!$A$2:$AT$398,45,FALSE)</f>
        <v>68.00069900375496</v>
      </c>
      <c r="L156" s="686">
        <f>VLOOKUP($B156,'5 A calc'!$A$2:$AR$203,30,FALSE)</f>
        <v>1.7092397901526349E-6</v>
      </c>
      <c r="M156" s="27">
        <f>VLOOKUP($B156,'5 A calc'!$A$2:$AT$398,46,FALSE)</f>
        <v>47.345132453902309</v>
      </c>
    </row>
    <row r="159" spans="1:16" x14ac:dyDescent="0.2">
      <c r="A159">
        <f>VLOOKUP(B159,'5 A data'!A158:G627,7,FALSE)</f>
        <v>10</v>
      </c>
      <c r="B159">
        <v>279</v>
      </c>
      <c r="D159" s="46" t="s">
        <v>545</v>
      </c>
      <c r="E159">
        <f>VLOOKUP($B159,'5 A calc'!$A$2:$AR$203,4,FALSE)</f>
        <v>5</v>
      </c>
      <c r="F159" s="4">
        <f>VLOOKUP($B159,'5 A calc'!$A$2:$AR$203,13,FALSE)</f>
        <v>-1.0393049770485712</v>
      </c>
      <c r="G159" s="4">
        <f>VLOOKUP($B159,'5 A calc'!$A$2:$AR$203,14,FALSE)</f>
        <v>0.52131016975403965</v>
      </c>
      <c r="H159" s="4"/>
      <c r="I159" s="4"/>
      <c r="J159" s="686">
        <f>VLOOKUP($B159,'5 A calc'!$A$2:$AR$203,16,FALSE)</f>
        <v>6.4429594675743464E-6</v>
      </c>
      <c r="K159" s="27">
        <f>VLOOKUP($B159,'5 A calc'!$A$2:$AT$398,45,FALSE)</f>
        <v>26.31606241070681</v>
      </c>
      <c r="L159" s="686">
        <f>VLOOKUP($B159,'5 A calc'!$A$2:$AR$203,30,FALSE)</f>
        <v>4.6788986298833412E-6</v>
      </c>
      <c r="M159" s="27">
        <f>VLOOKUP($B159,'5 A calc'!$A$2:$AT$398,46,FALSE)</f>
        <v>9.9413455012810044</v>
      </c>
      <c r="N159" s="4"/>
      <c r="O159" s="27"/>
      <c r="P159" s="27"/>
    </row>
    <row r="160" spans="1:16" x14ac:dyDescent="0.2">
      <c r="A160">
        <f>VLOOKUP(B160,'5 A data'!A159:G628,7,FALSE)</f>
        <v>2</v>
      </c>
      <c r="B160">
        <v>280</v>
      </c>
      <c r="D160" s="46" t="s">
        <v>545</v>
      </c>
      <c r="E160">
        <f>VLOOKUP($B160,'5 A calc'!$A$2:$AR$203,4,FALSE)</f>
        <v>10</v>
      </c>
      <c r="F160" s="4">
        <f>VLOOKUP($B160,'5 A calc'!$A$2:$AR$203,13,FALSE)</f>
        <v>-0.94336785113446264</v>
      </c>
      <c r="G160" s="4">
        <f>VLOOKUP($B160,'5 A calc'!$A$2:$AR$203,14,FALSE)</f>
        <v>0.43976308667487363</v>
      </c>
      <c r="H160" s="4"/>
      <c r="I160" s="4"/>
      <c r="J160" s="686">
        <f>VLOOKUP($B160,'5 A calc'!$A$2:$AR$203,16,FALSE)</f>
        <v>5.0170517941146892E-6</v>
      </c>
      <c r="K160" s="27">
        <f>VLOOKUP($B160,'5 A calc'!$A$2:$AT$398,45,FALSE)</f>
        <v>38.265350164989712</v>
      </c>
      <c r="L160" s="686">
        <f>VLOOKUP($B160,'5 A calc'!$A$2:$AR$203,30,FALSE)</f>
        <v>2.600738521505678E-6</v>
      </c>
      <c r="M160" s="27">
        <f>VLOOKUP($B160,'5 A calc'!$A$2:$AT$398,46,FALSE)</f>
        <v>16.586629386739094</v>
      </c>
      <c r="N160" s="4"/>
      <c r="O160" s="27"/>
      <c r="P160" s="27"/>
    </row>
    <row r="161" spans="1:16" x14ac:dyDescent="0.2">
      <c r="A161">
        <f>VLOOKUP(B161,'5 A data'!A160:G629,7,FALSE)</f>
        <v>2</v>
      </c>
      <c r="B161">
        <v>281</v>
      </c>
      <c r="D161" s="46" t="s">
        <v>545</v>
      </c>
      <c r="E161">
        <f>VLOOKUP($B161,'5 A calc'!$A$2:$AR$203,4,FALSE)</f>
        <v>20</v>
      </c>
      <c r="F161" s="4">
        <f>VLOOKUP($B161,'5 A calc'!$A$2:$AR$203,13,FALSE)</f>
        <v>-0.83943708266087491</v>
      </c>
      <c r="G161" s="4">
        <f>VLOOKUP($B161,'5 A calc'!$A$2:$AR$203,14,FALSE)</f>
        <v>0.37860628965086224</v>
      </c>
      <c r="H161" s="4"/>
      <c r="I161" s="4"/>
      <c r="J161" s="686">
        <f>VLOOKUP($B161,'5 A calc'!$A$2:$AR$203,16,FALSE)</f>
        <v>4.17832023036102E-6</v>
      </c>
      <c r="K161" s="27">
        <f>VLOOKUP($B161,'5 A calc'!$A$2:$AT$398,45,FALSE)</f>
        <v>36.657700403051521</v>
      </c>
      <c r="L161" s="686">
        <f>VLOOKUP($B161,'5 A calc'!$A$2:$AR$203,30,FALSE)</f>
        <v>1.9770475075939077E-6</v>
      </c>
      <c r="M161" s="27">
        <f>VLOOKUP($B161,'5 A calc'!$A$2:$AT$398,46,FALSE)</f>
        <v>53.09445811850042</v>
      </c>
      <c r="N161" s="4"/>
      <c r="O161" s="27"/>
      <c r="P161" s="27"/>
    </row>
    <row r="162" spans="1:16" x14ac:dyDescent="0.2">
      <c r="A162">
        <f>VLOOKUP(B162,'5 A data'!A161:G630,7,FALSE)</f>
        <v>2</v>
      </c>
      <c r="B162">
        <v>282</v>
      </c>
      <c r="D162" s="46" t="s">
        <v>545</v>
      </c>
      <c r="E162">
        <f>VLOOKUP($B162,'5 A calc'!$A$2:$AR$203,4,FALSE)</f>
        <v>40</v>
      </c>
      <c r="F162" s="4">
        <f>VLOOKUP($B162,'5 A calc'!$A$2:$AR$203,13,FALSE)</f>
        <v>-0.76149252928624722</v>
      </c>
      <c r="G162" s="4">
        <f>VLOOKUP($B162,'5 A calc'!$A$2:$AR$203,14,FALSE)</f>
        <v>0.32618570253913171</v>
      </c>
      <c r="H162" s="4"/>
      <c r="I162" s="4"/>
      <c r="J162" s="686">
        <f>VLOOKUP($B162,'5 A calc'!$A$2:$AR$203,16,FALSE)</f>
        <v>3.3964590328801363E-6</v>
      </c>
      <c r="K162" s="27">
        <f>VLOOKUP($B162,'5 A calc'!$A$2:$AT$398,45,FALSE)</f>
        <v>38.659909732018328</v>
      </c>
      <c r="L162" s="686">
        <f>VLOOKUP($B162,'5 A calc'!$A$2:$AR$203,30,FALSE)</f>
        <v>1.6849048737447556E-6</v>
      </c>
      <c r="M162" s="27">
        <f>VLOOKUP($B162,'5 A calc'!$A$2:$AT$398,46,FALSE)</f>
        <v>52.499330597885681</v>
      </c>
      <c r="N162" s="4"/>
      <c r="O162" s="27"/>
      <c r="P162" s="27"/>
    </row>
    <row r="163" spans="1:16" x14ac:dyDescent="0.2">
      <c r="A163">
        <f>VLOOKUP(B163,'5 A data'!A162:G631,7,FALSE)</f>
        <v>2</v>
      </c>
      <c r="B163">
        <v>283</v>
      </c>
      <c r="D163" s="46" t="s">
        <v>545</v>
      </c>
      <c r="E163">
        <f>VLOOKUP($B163,'5 A calc'!$A$2:$AR$203,4,FALSE)</f>
        <v>60</v>
      </c>
      <c r="F163" s="4">
        <f>VLOOKUP($B163,'5 A calc'!$A$2:$AR$203,13,FALSE)</f>
        <v>-0.72152108921673785</v>
      </c>
      <c r="G163" s="4">
        <f>VLOOKUP($B163,'5 A calc'!$A$2:$AR$203,14,FALSE)</f>
        <v>0.28541301656855783</v>
      </c>
      <c r="H163" s="4"/>
      <c r="I163" s="4"/>
      <c r="J163" s="686">
        <f>VLOOKUP($B163,'5 A calc'!$A$2:$AR$203,16,FALSE)</f>
        <v>2.9709098248278708E-6</v>
      </c>
      <c r="K163" s="27">
        <f>VLOOKUP($B163,'5 A calc'!$A$2:$AT$398,45,FALSE)</f>
        <v>42.291164682130272</v>
      </c>
      <c r="L163" s="686">
        <f>VLOOKUP($B163,'5 A calc'!$A$2:$AR$203,30,FALSE)</f>
        <v>1.6017059195029239E-6</v>
      </c>
      <c r="M163" s="27">
        <f>VLOOKUP($B163,'5 A calc'!$A$2:$AT$398,46,FALSE)</f>
        <v>48.978667479860043</v>
      </c>
      <c r="N163" s="4"/>
      <c r="O163" s="27"/>
      <c r="P163" s="27"/>
    </row>
    <row r="164" spans="1:16" x14ac:dyDescent="0.2">
      <c r="A164">
        <f>VLOOKUP(B164,'5 A data'!A163:G632,7,FALSE)</f>
        <v>2</v>
      </c>
      <c r="B164">
        <v>284</v>
      </c>
      <c r="D164" s="46" t="s">
        <v>545</v>
      </c>
      <c r="E164">
        <f>VLOOKUP($B164,'5 A calc'!$A$2:$AR$203,4,FALSE)</f>
        <v>100</v>
      </c>
      <c r="F164" s="4">
        <f>VLOOKUP($B164,'5 A calc'!$A$2:$AR$203,13,FALSE)</f>
        <v>-0.65157046716497491</v>
      </c>
      <c r="G164" s="4">
        <f>VLOOKUP($B164,'5 A calc'!$A$2:$AR$203,14,FALSE)</f>
        <v>0.20095751355364952</v>
      </c>
      <c r="H164" s="4"/>
      <c r="I164" s="4"/>
      <c r="J164" s="686">
        <f>VLOOKUP($B164,'5 A calc'!$A$2:$AR$203,16,FALSE)</f>
        <v>2.4131313466023584E-6</v>
      </c>
      <c r="K164" s="27">
        <f>VLOOKUP($B164,'5 A calc'!$A$2:$AT$398,45,FALSE)</f>
        <v>59.567261398457461</v>
      </c>
      <c r="L164" s="686">
        <f>VLOOKUP($B164,'5 A calc'!$A$2:$AR$203,30,FALSE)</f>
        <v>1.6933288916776063E-6</v>
      </c>
      <c r="M164" s="27">
        <f>VLOOKUP($B164,'5 A calc'!$A$2:$AT$398,46,FALSE)</f>
        <v>45.732629829898706</v>
      </c>
      <c r="N164" s="4"/>
      <c r="O164" s="27"/>
      <c r="P164" s="27"/>
    </row>
    <row r="165" spans="1:16" x14ac:dyDescent="0.2">
      <c r="A165">
        <f>VLOOKUP(B165,'5 A data'!A164:G633,7,FALSE)</f>
        <v>2</v>
      </c>
      <c r="B165">
        <v>285</v>
      </c>
      <c r="D165" s="46" t="s">
        <v>545</v>
      </c>
      <c r="E165">
        <f>VLOOKUP($B165,'5 A calc'!$A$2:$AR$203,4,FALSE)</f>
        <v>120</v>
      </c>
      <c r="F165" s="4">
        <f>VLOOKUP($B165,'5 A calc'!$A$2:$AR$203,13,FALSE)</f>
        <v>-0.62159112228541624</v>
      </c>
      <c r="G165" s="4">
        <f>VLOOKUP($B165,'5 A calc'!$A$2:$AR$203,14,FALSE)</f>
        <v>0.17474685326753611</v>
      </c>
      <c r="H165" s="4"/>
      <c r="I165" s="4"/>
      <c r="J165" s="686">
        <f>VLOOKUP($B165,'5 A calc'!$A$2:$AR$203,16,FALSE)</f>
        <v>2.2681305202526645E-6</v>
      </c>
      <c r="K165" s="27">
        <f>VLOOKUP($B165,'5 A calc'!$A$2:$AT$398,45,FALSE)</f>
        <v>68.00069900375496</v>
      </c>
      <c r="L165" s="686">
        <f>VLOOKUP($B165,'5 A calc'!$A$2:$AR$203,30,FALSE)</f>
        <v>1.7092397901526349E-6</v>
      </c>
      <c r="M165" s="27">
        <f>VLOOKUP($B165,'5 A calc'!$A$2:$AT$398,46,FALSE)</f>
        <v>47.345132453902309</v>
      </c>
      <c r="N165" s="4"/>
      <c r="O165" s="27"/>
      <c r="P165" s="27"/>
    </row>
    <row r="166" spans="1:16" x14ac:dyDescent="0.2">
      <c r="H166" s="4"/>
      <c r="I166" s="4"/>
      <c r="J166" s="686"/>
      <c r="K166" s="27"/>
      <c r="L166" s="686"/>
    </row>
    <row r="167" spans="1:16" x14ac:dyDescent="0.2">
      <c r="A167">
        <f>VLOOKUP(B167,'5 A data'!A166:G635,7,FALSE)</f>
        <v>1</v>
      </c>
      <c r="B167">
        <v>287</v>
      </c>
      <c r="D167" s="46" t="s">
        <v>543</v>
      </c>
      <c r="E167">
        <f>VLOOKUP($B167,'5 A calc'!$A$2:$AR$203,4,FALSE)</f>
        <v>5</v>
      </c>
      <c r="F167" s="4">
        <f>VLOOKUP($B167,'5 A calc'!$A$2:$AR$203,13,FALSE)</f>
        <v>-0.21182901905964027</v>
      </c>
      <c r="G167" s="4">
        <f>VLOOKUP($B167,'5 A calc'!$A$2:$AR$203,14,FALSE)</f>
        <v>0.37860643686156914</v>
      </c>
      <c r="H167" s="4"/>
      <c r="I167" s="4"/>
      <c r="J167" s="686">
        <f>VLOOKUP($B167,'5 A calc'!$A$2:$AR$203,16,FALSE)</f>
        <v>6.4429594675743464E-6</v>
      </c>
      <c r="K167" s="27">
        <f>VLOOKUP($B167,'5 A calc'!$A$2:$AT$398,45,FALSE)</f>
        <v>26.31606241070681</v>
      </c>
      <c r="L167" s="686">
        <f>VLOOKUP($B167,'5 A calc'!$A$2:$AR$203,30,FALSE)</f>
        <v>4.6788986298833412E-6</v>
      </c>
      <c r="M167" s="27">
        <f>VLOOKUP($B167,'5 A calc'!$A$2:$AT$398,46,FALSE)</f>
        <v>9.9413455012810044</v>
      </c>
    </row>
    <row r="168" spans="1:16" x14ac:dyDescent="0.2">
      <c r="A168">
        <f>VLOOKUP(B168,'5 A data'!A167:G636,7,FALSE)</f>
        <v>1</v>
      </c>
      <c r="B168">
        <v>288</v>
      </c>
      <c r="D168" s="46" t="s">
        <v>543</v>
      </c>
      <c r="E168">
        <f>VLOOKUP($B168,'5 A calc'!$A$2:$AR$203,4,FALSE)</f>
        <v>10</v>
      </c>
      <c r="F168" s="4">
        <f>VLOOKUP($B168,'5 A calc'!$A$2:$AR$203,13,FALSE)</f>
        <v>-0.18085075458186106</v>
      </c>
      <c r="G168" s="4">
        <f>VLOOKUP($B168,'5 A calc'!$A$2:$AR$203,14,FALSE)</f>
        <v>0.30288399594127929</v>
      </c>
      <c r="H168" s="4"/>
      <c r="I168" s="4"/>
      <c r="J168" s="686">
        <f>VLOOKUP($B168,'5 A calc'!$A$2:$AR$203,16,FALSE)</f>
        <v>5.0170517941146892E-6</v>
      </c>
      <c r="K168" s="27">
        <f>VLOOKUP($B168,'5 A calc'!$A$2:$AT$398,45,FALSE)</f>
        <v>38.265350164989712</v>
      </c>
      <c r="L168" s="686">
        <f>VLOOKUP($B168,'5 A calc'!$A$2:$AR$203,30,FALSE)</f>
        <v>2.600738521505678E-6</v>
      </c>
      <c r="M168" s="27">
        <f>VLOOKUP($B168,'5 A calc'!$A$2:$AT$398,46,FALSE)</f>
        <v>16.586629386739094</v>
      </c>
    </row>
    <row r="169" spans="1:16" x14ac:dyDescent="0.2">
      <c r="A169">
        <f>VLOOKUP(B169,'5 A data'!A168:G637,7,FALSE)</f>
        <v>1</v>
      </c>
      <c r="B169">
        <v>289</v>
      </c>
      <c r="D169" s="46" t="s">
        <v>543</v>
      </c>
      <c r="E169">
        <f>VLOOKUP($B169,'5 A calc'!$A$2:$AR$203,4,FALSE)</f>
        <v>20</v>
      </c>
      <c r="F169" s="4">
        <f>VLOOKUP($B169,'5 A calc'!$A$2:$AR$203,13,FALSE)</f>
        <v>-0.15287188563382736</v>
      </c>
      <c r="G169" s="4">
        <f>VLOOKUP($B169,'5 A calc'!$A$2:$AR$203,14,FALSE)</f>
        <v>0.24463951999670613</v>
      </c>
      <c r="H169" s="4"/>
      <c r="I169" s="4"/>
      <c r="J169" s="686">
        <f>VLOOKUP($B169,'5 A calc'!$A$2:$AR$203,16,FALSE)</f>
        <v>4.17832023036102E-6</v>
      </c>
      <c r="K169" s="27">
        <f>VLOOKUP($B169,'5 A calc'!$A$2:$AT$398,45,FALSE)</f>
        <v>36.657700403051521</v>
      </c>
      <c r="L169" s="686">
        <f>VLOOKUP($B169,'5 A calc'!$A$2:$AR$203,30,FALSE)</f>
        <v>1.9770475075939077E-6</v>
      </c>
      <c r="M169" s="27">
        <f>VLOOKUP($B169,'5 A calc'!$A$2:$AT$398,46,FALSE)</f>
        <v>53.09445811850042</v>
      </c>
    </row>
    <row r="170" spans="1:16" x14ac:dyDescent="0.2">
      <c r="A170">
        <f>VLOOKUP(B170,'5 A data'!A169:G638,7,FALSE)</f>
        <v>1</v>
      </c>
      <c r="B170">
        <v>290</v>
      </c>
      <c r="D170" s="46" t="s">
        <v>543</v>
      </c>
      <c r="E170">
        <f>VLOOKUP($B170,'5 A calc'!$A$2:$AR$203,4,FALSE)</f>
        <v>40</v>
      </c>
      <c r="F170" s="4">
        <f>VLOOKUP($B170,'5 A calc'!$A$2:$AR$203,13,FALSE)</f>
        <v>-0.13488935820042661</v>
      </c>
      <c r="G170" s="4">
        <f>VLOOKUP($B170,'5 A calc'!$A$2:$AR$203,14,FALSE)</f>
        <v>0.20678053828216644</v>
      </c>
      <c r="H170" s="4"/>
      <c r="I170" s="4"/>
      <c r="J170" s="686">
        <f>VLOOKUP($B170,'5 A calc'!$A$2:$AR$203,16,FALSE)</f>
        <v>3.3964590328801363E-6</v>
      </c>
      <c r="K170" s="27">
        <f>VLOOKUP($B170,'5 A calc'!$A$2:$AT$398,45,FALSE)</f>
        <v>38.659909732018328</v>
      </c>
      <c r="L170" s="686">
        <f>VLOOKUP($B170,'5 A calc'!$A$2:$AR$203,30,FALSE)</f>
        <v>1.6849048737447556E-6</v>
      </c>
      <c r="M170" s="27">
        <f>VLOOKUP($B170,'5 A calc'!$A$2:$AT$398,46,FALSE)</f>
        <v>52.499330597885681</v>
      </c>
    </row>
    <row r="171" spans="1:16" x14ac:dyDescent="0.2">
      <c r="A171">
        <f>VLOOKUP(B171,'5 A data'!A170:G639,7,FALSE)</f>
        <v>1</v>
      </c>
      <c r="B171">
        <v>291</v>
      </c>
      <c r="D171" s="46" t="s">
        <v>543</v>
      </c>
      <c r="E171">
        <f>VLOOKUP($B171,'5 A calc'!$A$2:$AR$203,4,FALSE)</f>
        <v>60</v>
      </c>
      <c r="F171" s="4">
        <f>VLOOKUP($B171,'5 A calc'!$A$2:$AR$203,13,FALSE)</f>
        <v>-0.12789703239859201</v>
      </c>
      <c r="G171" s="4">
        <f>VLOOKUP($B171,'5 A calc'!$A$2:$AR$203,14,FALSE)</f>
        <v>0.19221874202653608</v>
      </c>
      <c r="H171" s="4"/>
      <c r="I171" s="4"/>
      <c r="J171" s="686">
        <f>VLOOKUP($B171,'5 A calc'!$A$2:$AR$203,16,FALSE)</f>
        <v>2.9709098248278708E-6</v>
      </c>
      <c r="K171" s="27">
        <f>VLOOKUP($B171,'5 A calc'!$A$2:$AT$398,45,FALSE)</f>
        <v>42.291164682130272</v>
      </c>
      <c r="L171" s="686">
        <f>VLOOKUP($B171,'5 A calc'!$A$2:$AR$203,30,FALSE)</f>
        <v>1.6017059195029239E-6</v>
      </c>
      <c r="M171" s="27">
        <f>VLOOKUP($B171,'5 A calc'!$A$2:$AT$398,46,FALSE)</f>
        <v>48.978667479860043</v>
      </c>
    </row>
    <row r="172" spans="1:16" x14ac:dyDescent="0.2">
      <c r="A172">
        <f>VLOOKUP(B172,'5 A data'!A171:G640,7,FALSE)</f>
        <v>1</v>
      </c>
      <c r="B172">
        <v>292</v>
      </c>
      <c r="D172" s="46" t="s">
        <v>543</v>
      </c>
      <c r="E172">
        <f>VLOOKUP($B172,'5 A calc'!$A$2:$AR$203,4,FALSE)</f>
        <v>100</v>
      </c>
      <c r="F172" s="4">
        <f>VLOOKUP($B172,'5 A calc'!$A$2:$AR$203,13,FALSE)</f>
        <v>-0.11990717048609677</v>
      </c>
      <c r="G172" s="4">
        <f>VLOOKUP($B172,'5 A calc'!$A$2:$AR$203,14,FALSE)</f>
        <v>0.17620278437842499</v>
      </c>
      <c r="H172" s="4"/>
      <c r="I172" s="4"/>
      <c r="J172" s="686">
        <f>VLOOKUP($B172,'5 A calc'!$A$2:$AR$203,16,FALSE)</f>
        <v>2.4131313466023584E-6</v>
      </c>
      <c r="K172" s="27">
        <f>VLOOKUP($B172,'5 A calc'!$A$2:$AT$398,45,FALSE)</f>
        <v>59.567261398457461</v>
      </c>
      <c r="L172" s="686">
        <f>VLOOKUP($B172,'5 A calc'!$A$2:$AR$203,30,FALSE)</f>
        <v>1.6933288916776063E-6</v>
      </c>
      <c r="M172" s="27">
        <f>VLOOKUP($B172,'5 A calc'!$A$2:$AT$398,46,FALSE)</f>
        <v>45.732629829898706</v>
      </c>
    </row>
    <row r="173" spans="1:16" x14ac:dyDescent="0.2">
      <c r="A173">
        <f>VLOOKUP(B173,'5 A data'!A172:G641,7,FALSE)</f>
        <v>1</v>
      </c>
      <c r="B173">
        <v>293</v>
      </c>
      <c r="D173" s="46" t="s">
        <v>543</v>
      </c>
      <c r="E173">
        <f>VLOOKUP($B173,'5 A calc'!$A$2:$AR$203,4,FALSE)</f>
        <v>120</v>
      </c>
      <c r="F173" s="4">
        <f>VLOOKUP($B173,'5 A calc'!$A$2:$AR$203,13,FALSE)</f>
        <v>-0.11791010437911061</v>
      </c>
      <c r="G173" s="4">
        <f>VLOOKUP($B173,'5 A calc'!$A$2:$AR$203,14,FALSE)</f>
        <v>0.17183453218809797</v>
      </c>
      <c r="H173" s="4"/>
      <c r="I173" s="4"/>
      <c r="J173" s="686">
        <f>VLOOKUP($B173,'5 A calc'!$A$2:$AR$203,16,FALSE)</f>
        <v>2.2681305202526645E-6</v>
      </c>
      <c r="K173" s="27">
        <f>VLOOKUP($B173,'5 A calc'!$A$2:$AT$398,45,FALSE)</f>
        <v>68.00069900375496</v>
      </c>
      <c r="L173" s="686">
        <f>VLOOKUP($B173,'5 A calc'!$A$2:$AR$203,30,FALSE)</f>
        <v>1.7092397901526349E-6</v>
      </c>
      <c r="M173" s="27">
        <f>VLOOKUP($B173,'5 A calc'!$A$2:$AT$398,46,FALSE)</f>
        <v>47.345132453902309</v>
      </c>
    </row>
    <row r="176" spans="1:16" x14ac:dyDescent="0.2">
      <c r="A176">
        <f>VLOOKUP(B176,'5 A data'!A175:G644,7,FALSE)</f>
        <v>1</v>
      </c>
      <c r="B176">
        <v>297</v>
      </c>
      <c r="D176" s="46" t="s">
        <v>542</v>
      </c>
      <c r="E176">
        <f>VLOOKUP($B176,'5 A calc'!$A$2:$AR$203,4,FALSE)</f>
        <v>5</v>
      </c>
      <c r="F176" s="4">
        <f>VLOOKUP($B176,'5 A calc'!$A$2:$AR$203,13,FALSE)</f>
        <v>-0.31876129865482816</v>
      </c>
      <c r="G176" s="4">
        <f>VLOOKUP($B176,'5 A calc'!$A$2:$AR$203,14,FALSE)</f>
        <v>0.52131016975403965</v>
      </c>
      <c r="H176" s="4"/>
      <c r="I176" s="4"/>
      <c r="J176" s="686">
        <f>VLOOKUP($B176,'5 A calc'!$A$2:$AR$203,16,FALSE)</f>
        <v>6.4429594675743464E-6</v>
      </c>
      <c r="K176" s="27">
        <f>VLOOKUP($B176,'5 A calc'!$A$2:$AT$398,45,FALSE)</f>
        <v>26.31606241070681</v>
      </c>
      <c r="L176" s="686">
        <f>VLOOKUP($B176,'5 A calc'!$A$2:$AR$203,30,FALSE)</f>
        <v>4.6788986298833412E-6</v>
      </c>
      <c r="M176" s="27">
        <f>VLOOKUP($B176,'5 A calc'!$A$2:$AT$398,46,FALSE)</f>
        <v>9.9413455012810044</v>
      </c>
    </row>
    <row r="177" spans="1:13" x14ac:dyDescent="0.2">
      <c r="A177">
        <f>VLOOKUP(B177,'5 A data'!A176:G645,7,FALSE)</f>
        <v>1</v>
      </c>
      <c r="B177">
        <v>298</v>
      </c>
      <c r="D177" s="46" t="s">
        <v>542</v>
      </c>
      <c r="E177">
        <f>VLOOKUP($B177,'5 A calc'!$A$2:$AR$203,4,FALSE)</f>
        <v>10</v>
      </c>
      <c r="F177" s="4">
        <f>VLOOKUP($B177,'5 A calc'!$A$2:$AR$203,13,FALSE)</f>
        <v>-0.27279252769174228</v>
      </c>
      <c r="G177" s="4">
        <f>VLOOKUP($B177,'5 A calc'!$A$2:$AR$203,14,FALSE)</f>
        <v>0.42811380235712099</v>
      </c>
      <c r="H177" s="4"/>
      <c r="I177" s="4"/>
      <c r="J177" s="686">
        <f>VLOOKUP($B177,'5 A calc'!$A$2:$AR$203,16,FALSE)</f>
        <v>5.0170517941146892E-6</v>
      </c>
      <c r="K177" s="27">
        <f>VLOOKUP($B177,'5 A calc'!$A$2:$AT$398,45,FALSE)</f>
        <v>38.265350164989712</v>
      </c>
      <c r="L177" s="686">
        <f>VLOOKUP($B177,'5 A calc'!$A$2:$AR$203,30,FALSE)</f>
        <v>2.600738521505678E-6</v>
      </c>
      <c r="M177" s="27">
        <f>VLOOKUP($B177,'5 A calc'!$A$2:$AT$398,46,FALSE)</f>
        <v>16.586629386739094</v>
      </c>
    </row>
    <row r="178" spans="1:13" x14ac:dyDescent="0.2">
      <c r="A178">
        <f>VLOOKUP(B178,'5 A data'!A177:G646,7,FALSE)</f>
        <v>1</v>
      </c>
      <c r="B178">
        <v>299</v>
      </c>
      <c r="D178" s="46" t="s">
        <v>542</v>
      </c>
      <c r="E178">
        <f>VLOOKUP($B178,'5 A calc'!$A$2:$AR$203,4,FALSE)</f>
        <v>20</v>
      </c>
      <c r="F178" s="4">
        <f>VLOOKUP($B178,'5 A calc'!$A$2:$AR$203,13,FALSE)</f>
        <v>-0.23781808905056542</v>
      </c>
      <c r="G178" s="4">
        <f>VLOOKUP($B178,'5 A calc'!$A$2:$AR$203,14,FALSE)</f>
        <v>0.35822004209479508</v>
      </c>
      <c r="H178" s="4"/>
      <c r="I178" s="4"/>
      <c r="J178" s="686">
        <f>VLOOKUP($B178,'5 A calc'!$A$2:$AR$203,16,FALSE)</f>
        <v>4.17832023036102E-6</v>
      </c>
      <c r="K178" s="27">
        <f>VLOOKUP($B178,'5 A calc'!$A$2:$AT$398,45,FALSE)</f>
        <v>36.657700403051521</v>
      </c>
      <c r="L178" s="686">
        <f>VLOOKUP($B178,'5 A calc'!$A$2:$AR$203,30,FALSE)</f>
        <v>1.9770475075939077E-6</v>
      </c>
      <c r="M178" s="27">
        <f>VLOOKUP($B178,'5 A calc'!$A$2:$AT$398,46,FALSE)</f>
        <v>53.09445811850042</v>
      </c>
    </row>
    <row r="179" spans="1:13" x14ac:dyDescent="0.2">
      <c r="A179">
        <f>VLOOKUP(B179,'5 A data'!A178:G647,7,FALSE)</f>
        <v>1</v>
      </c>
      <c r="B179">
        <v>300</v>
      </c>
      <c r="D179" s="46" t="s">
        <v>542</v>
      </c>
      <c r="E179">
        <f>VLOOKUP($B179,'5 A calc'!$A$2:$AR$203,4,FALSE)</f>
        <v>40</v>
      </c>
      <c r="F179" s="4">
        <f>VLOOKUP($B179,'5 A calc'!$A$2:$AR$203,13,FALSE)</f>
        <v>-0.21583809322108283</v>
      </c>
      <c r="G179" s="4">
        <f>VLOOKUP($B179,'5 A calc'!$A$2:$AR$203,14,FALSE)</f>
        <v>0.31453641822137907</v>
      </c>
      <c r="H179" s="4"/>
      <c r="I179" s="4"/>
      <c r="J179" s="686">
        <f>VLOOKUP($B179,'5 A calc'!$A$2:$AR$203,16,FALSE)</f>
        <v>3.3964590328801363E-6</v>
      </c>
      <c r="K179" s="27">
        <f>VLOOKUP($B179,'5 A calc'!$A$2:$AT$398,45,FALSE)</f>
        <v>38.659909732018328</v>
      </c>
      <c r="L179" s="686">
        <f>VLOOKUP($B179,'5 A calc'!$A$2:$AR$203,30,FALSE)</f>
        <v>1.6849048737447556E-6</v>
      </c>
      <c r="M179" s="27">
        <f>VLOOKUP($B179,'5 A calc'!$A$2:$AT$398,46,FALSE)</f>
        <v>52.499330597885681</v>
      </c>
    </row>
    <row r="180" spans="1:13" x14ac:dyDescent="0.2">
      <c r="A180">
        <f>VLOOKUP(B180,'5 A data'!A179:G648,7,FALSE)</f>
        <v>1</v>
      </c>
      <c r="B180">
        <v>301</v>
      </c>
      <c r="D180" s="46" t="s">
        <v>542</v>
      </c>
      <c r="E180">
        <f>VLOOKUP($B180,'5 A calc'!$A$2:$AR$203,4,FALSE)</f>
        <v>60</v>
      </c>
      <c r="F180" s="4">
        <f>VLOOKUP($B180,'5 A calc'!$A$2:$AR$203,13,FALSE)</f>
        <v>-0.20384893192414602</v>
      </c>
      <c r="G180" s="4">
        <f>VLOOKUP($B180,'5 A calc'!$A$2:$AR$203,14,FALSE)</f>
        <v>0.29269381926715327</v>
      </c>
      <c r="H180" s="4"/>
      <c r="I180" s="4"/>
      <c r="J180" s="686">
        <f>VLOOKUP($B180,'5 A calc'!$A$2:$AR$203,16,FALSE)</f>
        <v>2.9709098248278708E-6</v>
      </c>
      <c r="K180" s="27">
        <f>VLOOKUP($B180,'5 A calc'!$A$2:$AT$398,45,FALSE)</f>
        <v>42.291164682130272</v>
      </c>
      <c r="L180" s="686">
        <f>VLOOKUP($B180,'5 A calc'!$A$2:$AR$203,30,FALSE)</f>
        <v>1.6017059195029239E-6</v>
      </c>
      <c r="M180" s="27">
        <f>VLOOKUP($B180,'5 A calc'!$A$2:$AT$398,46,FALSE)</f>
        <v>48.978667479860043</v>
      </c>
    </row>
    <row r="181" spans="1:13" x14ac:dyDescent="0.2">
      <c r="A181">
        <f>VLOOKUP(B181,'5 A data'!A180:G649,7,FALSE)</f>
        <v>1</v>
      </c>
      <c r="B181">
        <v>302</v>
      </c>
      <c r="D181" s="46" t="s">
        <v>542</v>
      </c>
      <c r="E181">
        <f>VLOOKUP($B181,'5 A calc'!$A$2:$AR$203,4,FALSE)</f>
        <v>100</v>
      </c>
      <c r="F181" s="4">
        <f>VLOOKUP($B181,'5 A calc'!$A$2:$AR$203,13,FALSE)</f>
        <v>-0.19186160161556901</v>
      </c>
      <c r="G181" s="4">
        <f>VLOOKUP($B181,'5 A calc'!$A$2:$AR$203,14,FALSE)</f>
        <v>0.26939705892044669</v>
      </c>
      <c r="H181" s="4"/>
      <c r="I181" s="4"/>
      <c r="J181" s="686">
        <f>VLOOKUP($B181,'5 A calc'!$A$2:$AR$203,16,FALSE)</f>
        <v>2.4131313466023584E-6</v>
      </c>
      <c r="K181" s="27">
        <f>VLOOKUP($B181,'5 A calc'!$A$2:$AT$398,45,FALSE)</f>
        <v>59.567261398457461</v>
      </c>
      <c r="L181" s="686">
        <f>VLOOKUP($B181,'5 A calc'!$A$2:$AR$203,30,FALSE)</f>
        <v>1.6933288916776063E-6</v>
      </c>
      <c r="M181" s="27">
        <f>VLOOKUP($B181,'5 A calc'!$A$2:$AT$398,46,FALSE)</f>
        <v>45.732629829898706</v>
      </c>
    </row>
    <row r="182" spans="1:13" x14ac:dyDescent="0.2">
      <c r="A182">
        <f>VLOOKUP(B182,'5 A data'!A181:G650,7,FALSE)</f>
        <v>1</v>
      </c>
      <c r="B182">
        <v>303</v>
      </c>
      <c r="D182" s="46" t="s">
        <v>542</v>
      </c>
      <c r="E182">
        <f>VLOOKUP($B182,'5 A calc'!$A$2:$AR$203,4,FALSE)</f>
        <v>120</v>
      </c>
      <c r="F182" s="4">
        <f>VLOOKUP($B182,'5 A calc'!$A$2:$AR$203,13,FALSE)</f>
        <v>-0.18886516840956238</v>
      </c>
      <c r="G182" s="4">
        <f>VLOOKUP($B182,'5 A calc'!$A$2:$AR$203,14,FALSE)</f>
        <v>0.26211648565068141</v>
      </c>
      <c r="H182" s="4"/>
      <c r="I182" s="4"/>
      <c r="J182" s="686">
        <f>VLOOKUP($B182,'5 A calc'!$A$2:$AR$203,16,FALSE)</f>
        <v>2.2681305202526645E-6</v>
      </c>
      <c r="K182" s="27">
        <f>VLOOKUP($B182,'5 A calc'!$A$2:$AT$398,45,FALSE)</f>
        <v>68.00069900375496</v>
      </c>
      <c r="L182" s="686">
        <f>VLOOKUP($B182,'5 A calc'!$A$2:$AR$203,30,FALSE)</f>
        <v>1.7092397901526349E-6</v>
      </c>
      <c r="M182" s="27">
        <f>VLOOKUP($B182,'5 A calc'!$A$2:$AT$398,46,FALSE)</f>
        <v>47.345132453902309</v>
      </c>
    </row>
    <row r="183" spans="1:13" x14ac:dyDescent="0.2">
      <c r="H183" s="4"/>
      <c r="I183" s="4"/>
      <c r="J183" s="686"/>
      <c r="K183" s="27"/>
      <c r="L183" s="686"/>
    </row>
    <row r="184" spans="1:13" x14ac:dyDescent="0.2">
      <c r="A184">
        <f>VLOOKUP(B184,'5 A data'!A183:G652,7,FALSE)</f>
        <v>1</v>
      </c>
      <c r="B184">
        <v>305</v>
      </c>
      <c r="D184" s="46" t="s">
        <v>543</v>
      </c>
      <c r="E184">
        <f>VLOOKUP($B184,'5 A calc'!$A$2:$AR$203,4,FALSE)</f>
        <v>5</v>
      </c>
      <c r="F184" s="4">
        <f>VLOOKUP($B184,'5 A calc'!$A$2:$AR$203,13,FALSE)</f>
        <v>-0.21182901905964027</v>
      </c>
      <c r="G184" s="4">
        <f>VLOOKUP($B184,'5 A calc'!$A$2:$AR$203,14,FALSE)</f>
        <v>0.37860643686156914</v>
      </c>
      <c r="H184" s="4"/>
      <c r="I184" s="4"/>
      <c r="J184" s="686">
        <f>VLOOKUP($B184,'5 A calc'!$A$2:$AR$203,16,FALSE)</f>
        <v>6.4429594675743464E-6</v>
      </c>
      <c r="K184" s="27">
        <f>VLOOKUP($B184,'5 A calc'!$A$2:$AT$398,45,FALSE)</f>
        <v>26.31606241070681</v>
      </c>
      <c r="L184" s="686">
        <f>VLOOKUP($B184,'5 A calc'!$A$2:$AR$203,30,FALSE)</f>
        <v>4.6788986298833412E-6</v>
      </c>
      <c r="M184" s="27">
        <f>VLOOKUP($B184,'5 A calc'!$A$2:$AT$398,46,FALSE)</f>
        <v>9.9413455012810044</v>
      </c>
    </row>
    <row r="185" spans="1:13" x14ac:dyDescent="0.2">
      <c r="A185">
        <f>VLOOKUP(B185,'5 A data'!A184:G653,7,FALSE)</f>
        <v>1</v>
      </c>
      <c r="B185">
        <v>306</v>
      </c>
      <c r="D185" s="46" t="s">
        <v>543</v>
      </c>
      <c r="E185">
        <f>VLOOKUP($B185,'5 A calc'!$A$2:$AR$203,4,FALSE)</f>
        <v>10</v>
      </c>
      <c r="F185" s="4">
        <f>VLOOKUP($B185,'5 A calc'!$A$2:$AR$203,13,FALSE)</f>
        <v>-0.18085075458186106</v>
      </c>
      <c r="G185" s="4">
        <f>VLOOKUP($B185,'5 A calc'!$A$2:$AR$203,14,FALSE)</f>
        <v>0.30288399594127929</v>
      </c>
      <c r="H185" s="4"/>
      <c r="I185" s="4"/>
      <c r="J185" s="686">
        <f>VLOOKUP($B185,'5 A calc'!$A$2:$AR$203,16,FALSE)</f>
        <v>5.0170517941146892E-6</v>
      </c>
      <c r="K185" s="27">
        <f>VLOOKUP($B185,'5 A calc'!$A$2:$AT$398,45,FALSE)</f>
        <v>38.265350164989712</v>
      </c>
      <c r="L185" s="686">
        <f>VLOOKUP($B185,'5 A calc'!$A$2:$AR$203,30,FALSE)</f>
        <v>2.600738521505678E-6</v>
      </c>
      <c r="M185" s="27">
        <f>VLOOKUP($B185,'5 A calc'!$A$2:$AT$398,46,FALSE)</f>
        <v>16.586629386739094</v>
      </c>
    </row>
    <row r="186" spans="1:13" x14ac:dyDescent="0.2">
      <c r="A186">
        <f>VLOOKUP(B186,'5 A data'!A185:G654,7,FALSE)</f>
        <v>1</v>
      </c>
      <c r="B186">
        <v>307</v>
      </c>
      <c r="D186" s="46" t="s">
        <v>543</v>
      </c>
      <c r="E186">
        <f>VLOOKUP($B186,'5 A calc'!$A$2:$AR$203,4,FALSE)</f>
        <v>20</v>
      </c>
      <c r="F186" s="4">
        <f>VLOOKUP($B186,'5 A calc'!$A$2:$AR$203,13,FALSE)</f>
        <v>-0.15287188563382736</v>
      </c>
      <c r="G186" s="4">
        <f>VLOOKUP($B186,'5 A calc'!$A$2:$AR$203,14,FALSE)</f>
        <v>0.24463951999670613</v>
      </c>
      <c r="H186" s="4"/>
      <c r="I186" s="4"/>
      <c r="J186" s="686">
        <f>VLOOKUP($B186,'5 A calc'!$A$2:$AR$203,16,FALSE)</f>
        <v>4.17832023036102E-6</v>
      </c>
      <c r="K186" s="27">
        <f>VLOOKUP($B186,'5 A calc'!$A$2:$AT$398,45,FALSE)</f>
        <v>36.657700403051521</v>
      </c>
      <c r="L186" s="686">
        <f>VLOOKUP($B186,'5 A calc'!$A$2:$AR$203,30,FALSE)</f>
        <v>1.9770475075939077E-6</v>
      </c>
      <c r="M186" s="27">
        <f>VLOOKUP($B186,'5 A calc'!$A$2:$AT$398,46,FALSE)</f>
        <v>53.09445811850042</v>
      </c>
    </row>
    <row r="187" spans="1:13" x14ac:dyDescent="0.2">
      <c r="A187">
        <f>VLOOKUP(B187,'5 A data'!A186:G655,7,FALSE)</f>
        <v>1</v>
      </c>
      <c r="B187">
        <v>308</v>
      </c>
      <c r="D187" s="46" t="s">
        <v>543</v>
      </c>
      <c r="E187">
        <f>VLOOKUP($B187,'5 A calc'!$A$2:$AR$203,4,FALSE)</f>
        <v>40</v>
      </c>
      <c r="F187" s="4">
        <f>VLOOKUP($B187,'5 A calc'!$A$2:$AR$203,13,FALSE)</f>
        <v>-0.13488935820042661</v>
      </c>
      <c r="G187" s="4">
        <f>VLOOKUP($B187,'5 A calc'!$A$2:$AR$203,14,FALSE)</f>
        <v>0.20678053828216644</v>
      </c>
      <c r="H187" s="4"/>
      <c r="I187" s="4"/>
      <c r="J187" s="686">
        <f>VLOOKUP($B187,'5 A calc'!$A$2:$AR$203,16,FALSE)</f>
        <v>3.3964590328801363E-6</v>
      </c>
      <c r="K187" s="27">
        <f>VLOOKUP($B187,'5 A calc'!$A$2:$AT$398,45,FALSE)</f>
        <v>38.659909732018328</v>
      </c>
      <c r="L187" s="686">
        <f>VLOOKUP($B187,'5 A calc'!$A$2:$AR$203,30,FALSE)</f>
        <v>1.6849048737447556E-6</v>
      </c>
      <c r="M187" s="27">
        <f>VLOOKUP($B187,'5 A calc'!$A$2:$AT$398,46,FALSE)</f>
        <v>52.499330597885681</v>
      </c>
    </row>
    <row r="188" spans="1:13" x14ac:dyDescent="0.2">
      <c r="A188">
        <f>VLOOKUP(B188,'5 A data'!A187:G656,7,FALSE)</f>
        <v>1</v>
      </c>
      <c r="B188">
        <v>309</v>
      </c>
      <c r="D188" s="46" t="s">
        <v>543</v>
      </c>
      <c r="E188">
        <f>VLOOKUP($B188,'5 A calc'!$A$2:$AR$203,4,FALSE)</f>
        <v>60</v>
      </c>
      <c r="F188" s="4">
        <f>VLOOKUP($B188,'5 A calc'!$A$2:$AR$203,13,FALSE)</f>
        <v>-0.12789703239859201</v>
      </c>
      <c r="G188" s="4">
        <f>VLOOKUP($B188,'5 A calc'!$A$2:$AR$203,14,FALSE)</f>
        <v>0.19221874202653608</v>
      </c>
      <c r="H188" s="4"/>
      <c r="I188" s="4"/>
      <c r="J188" s="686">
        <f>VLOOKUP($B188,'5 A calc'!$A$2:$AR$203,16,FALSE)</f>
        <v>2.9709098248278708E-6</v>
      </c>
      <c r="K188" s="27">
        <f>VLOOKUP($B188,'5 A calc'!$A$2:$AT$398,45,FALSE)</f>
        <v>42.291164682130272</v>
      </c>
      <c r="L188" s="686">
        <f>VLOOKUP($B188,'5 A calc'!$A$2:$AR$203,30,FALSE)</f>
        <v>1.6017059195029239E-6</v>
      </c>
      <c r="M188" s="27">
        <f>VLOOKUP($B188,'5 A calc'!$A$2:$AT$398,46,FALSE)</f>
        <v>48.978667479860043</v>
      </c>
    </row>
    <row r="189" spans="1:13" x14ac:dyDescent="0.2">
      <c r="A189">
        <f>VLOOKUP(B189,'5 A data'!A188:G657,7,FALSE)</f>
        <v>1</v>
      </c>
      <c r="B189">
        <v>310</v>
      </c>
      <c r="D189" s="46" t="s">
        <v>543</v>
      </c>
      <c r="E189">
        <f>VLOOKUP($B189,'5 A calc'!$A$2:$AR$203,4,FALSE)</f>
        <v>100</v>
      </c>
      <c r="F189" s="4">
        <f>VLOOKUP($B189,'5 A calc'!$A$2:$AR$203,13,FALSE)</f>
        <v>-0.11990717048609677</v>
      </c>
      <c r="G189" s="4">
        <f>VLOOKUP($B189,'5 A calc'!$A$2:$AR$203,14,FALSE)</f>
        <v>0.17620278437842499</v>
      </c>
      <c r="H189" s="4"/>
      <c r="I189" s="4"/>
      <c r="J189" s="686">
        <f>VLOOKUP($B189,'5 A calc'!$A$2:$AR$203,16,FALSE)</f>
        <v>2.4131313466023584E-6</v>
      </c>
      <c r="K189" s="27">
        <f>VLOOKUP($B189,'5 A calc'!$A$2:$AT$398,45,FALSE)</f>
        <v>59.567261398457461</v>
      </c>
      <c r="L189" s="686">
        <f>VLOOKUP($B189,'5 A calc'!$A$2:$AR$203,30,FALSE)</f>
        <v>1.6933288916776063E-6</v>
      </c>
      <c r="M189" s="27">
        <f>VLOOKUP($B189,'5 A calc'!$A$2:$AT$398,46,FALSE)</f>
        <v>45.732629829898706</v>
      </c>
    </row>
    <row r="190" spans="1:13" x14ac:dyDescent="0.2">
      <c r="A190">
        <f>VLOOKUP(B190,'5 A data'!A189:G658,7,FALSE)</f>
        <v>1</v>
      </c>
      <c r="B190">
        <v>311</v>
      </c>
      <c r="D190" s="46" t="s">
        <v>543</v>
      </c>
      <c r="E190">
        <f>VLOOKUP($B190,'5 A calc'!$A$2:$AR$203,4,FALSE)</f>
        <v>120</v>
      </c>
      <c r="F190" s="4">
        <f>VLOOKUP($B190,'5 A calc'!$A$2:$AR$203,13,FALSE)</f>
        <v>-0.11791010437911061</v>
      </c>
      <c r="G190" s="4">
        <f>VLOOKUP($B190,'5 A calc'!$A$2:$AR$203,14,FALSE)</f>
        <v>0.17183453218809797</v>
      </c>
      <c r="H190" s="4"/>
      <c r="I190" s="4"/>
      <c r="J190" s="686">
        <f>VLOOKUP($B190,'5 A calc'!$A$2:$AR$203,16,FALSE)</f>
        <v>2.2681305202526645E-6</v>
      </c>
      <c r="K190" s="27">
        <f>VLOOKUP($B190,'5 A calc'!$A$2:$AT$398,45,FALSE)</f>
        <v>68.00069900375496</v>
      </c>
      <c r="L190" s="686">
        <f>VLOOKUP($B190,'5 A calc'!$A$2:$AR$203,30,FALSE)</f>
        <v>1.7092397901526349E-6</v>
      </c>
      <c r="M190" s="27">
        <f>VLOOKUP($B190,'5 A calc'!$A$2:$AT$398,46,FALSE)</f>
        <v>47.345132453902309</v>
      </c>
    </row>
    <row r="193" spans="1:13" x14ac:dyDescent="0.2">
      <c r="A193">
        <f>VLOOKUP(B193,'5 A data'!A192:G661,7,FALSE)</f>
        <v>2</v>
      </c>
      <c r="B193">
        <v>315</v>
      </c>
      <c r="D193" s="46" t="s">
        <v>539</v>
      </c>
      <c r="E193">
        <f>VLOOKUP($B193,'5 A calc'!$A$2:$AR$398,4,FALSE)</f>
        <v>5</v>
      </c>
      <c r="F193" s="4">
        <f>VLOOKUP($B193,'5 A calc'!$A$2:$AR$398,13,FALSE)</f>
        <v>-0.68153155559925072</v>
      </c>
      <c r="G193" s="4">
        <f>VLOOKUP($B193,'5 A calc'!$A$2:$AR$398,14,FALSE)</f>
        <v>1.1037743856416753</v>
      </c>
      <c r="H193" s="4"/>
      <c r="I193" s="4"/>
      <c r="J193" s="686">
        <f>VLOOKUP($B193,'5 A calc'!$A$2:$AR$398,16,FALSE)</f>
        <v>6.4429594675743464E-6</v>
      </c>
      <c r="K193" s="27">
        <f>VLOOKUP($B193,'5 A calc'!$A$2:$AT$398,45,FALSE)</f>
        <v>26.31606241070681</v>
      </c>
      <c r="L193" s="686">
        <f>VLOOKUP($B193,'5 A calc'!$A$2:$AR$398,30,FALSE)</f>
        <v>4.6788986298833412E-6</v>
      </c>
      <c r="M193" s="27">
        <f>VLOOKUP($B193,'5 A calc'!$A$2:$AT$398,46,FALSE)</f>
        <v>9.9413455012810044</v>
      </c>
    </row>
    <row r="194" spans="1:13" x14ac:dyDescent="0.2">
      <c r="A194">
        <f>VLOOKUP(B194,'5 A data'!A193:G662,7,FALSE)</f>
        <v>2</v>
      </c>
      <c r="B194">
        <v>316</v>
      </c>
      <c r="D194" s="46" t="s">
        <v>539</v>
      </c>
      <c r="E194">
        <f>VLOOKUP($B194,'5 A calc'!$A$2:$AR$398,4,FALSE)</f>
        <v>10</v>
      </c>
      <c r="F194" s="4">
        <f>VLOOKUP($B194,'5 A calc'!$A$2:$AR$398,13,FALSE)</f>
        <v>-0.60158430326946954</v>
      </c>
      <c r="G194" s="4">
        <f>VLOOKUP($B194,'5 A calc'!$A$2:$AR$398,14,FALSE)</f>
        <v>0.95524391773543127</v>
      </c>
      <c r="H194" s="4"/>
      <c r="I194" s="4"/>
      <c r="J194" s="686">
        <f>VLOOKUP($B194,'5 A calc'!$A$2:$AR$398,16,FALSE)</f>
        <v>5.0170517941146892E-6</v>
      </c>
      <c r="K194" s="27">
        <f>VLOOKUP($B194,'5 A calc'!$A$2:$AT$398,45,FALSE)</f>
        <v>38.265350164989712</v>
      </c>
      <c r="L194" s="686">
        <f>VLOOKUP($B194,'5 A calc'!$A$2:$AR$398,30,FALSE)</f>
        <v>2.600738521505678E-6</v>
      </c>
      <c r="M194" s="27">
        <f>VLOOKUP($B194,'5 A calc'!$A$2:$AT$398,46,FALSE)</f>
        <v>16.586629386739094</v>
      </c>
    </row>
    <row r="195" spans="1:13" x14ac:dyDescent="0.2">
      <c r="A195">
        <f>VLOOKUP(B195,'5 A data'!A194:G663,7,FALSE)</f>
        <v>2</v>
      </c>
      <c r="B195">
        <v>317</v>
      </c>
      <c r="D195" s="46" t="s">
        <v>539</v>
      </c>
      <c r="E195">
        <f>VLOOKUP($B195,'5 A calc'!$A$2:$AR$398,4,FALSE)</f>
        <v>20</v>
      </c>
      <c r="F195" s="4">
        <f>VLOOKUP($B195,'5 A calc'!$A$2:$AR$398,13,FALSE)</f>
        <v>-0.54762188974690429</v>
      </c>
      <c r="G195" s="4">
        <f>VLOOKUP($B195,'5 A calc'!$A$2:$AR$398,14,FALSE)</f>
        <v>0.82710373588434172</v>
      </c>
      <c r="H195" s="4"/>
      <c r="I195" s="4"/>
      <c r="J195" s="686">
        <f>VLOOKUP($B195,'5 A calc'!$A$2:$AR$398,16,FALSE)</f>
        <v>4.17832023036102E-6</v>
      </c>
      <c r="K195" s="27">
        <f>VLOOKUP($B195,'5 A calc'!$A$2:$AT$398,45,FALSE)</f>
        <v>36.657700403051521</v>
      </c>
      <c r="L195" s="686">
        <f>VLOOKUP($B195,'5 A calc'!$A$2:$AR$398,30,FALSE)</f>
        <v>1.9770475075939077E-6</v>
      </c>
      <c r="M195" s="27">
        <f>VLOOKUP($B195,'5 A calc'!$A$2:$AT$398,46,FALSE)</f>
        <v>53.09445811850042</v>
      </c>
    </row>
    <row r="196" spans="1:13" x14ac:dyDescent="0.2">
      <c r="A196">
        <f>VLOOKUP(B196,'5 A data'!A195:G664,7,FALSE)</f>
        <v>2</v>
      </c>
      <c r="B196">
        <v>318</v>
      </c>
      <c r="D196" s="46" t="s">
        <v>539</v>
      </c>
      <c r="E196">
        <f>VLOOKUP($B196,'5 A calc'!$A$2:$AR$398,4,FALSE)</f>
        <v>40</v>
      </c>
      <c r="F196" s="4">
        <f>VLOOKUP($B196,'5 A calc'!$A$2:$AR$398,13,FALSE)</f>
        <v>-0.50965202033309442</v>
      </c>
      <c r="G196" s="4">
        <f>VLOOKUP($B196,'5 A calc'!$A$2:$AR$398,14,FALSE)</f>
        <v>0.722261369342724</v>
      </c>
      <c r="H196" s="4"/>
      <c r="I196" s="4"/>
      <c r="J196" s="686">
        <f>VLOOKUP($B196,'5 A calc'!$A$2:$AR$398,16,FALSE)</f>
        <v>3.3964590328801363E-6</v>
      </c>
      <c r="K196" s="27">
        <f>VLOOKUP($B196,'5 A calc'!$A$2:$AT$398,45,FALSE)</f>
        <v>38.659909732018328</v>
      </c>
      <c r="L196" s="686">
        <f>VLOOKUP($B196,'5 A calc'!$A$2:$AR$398,30,FALSE)</f>
        <v>1.6849048737447556E-6</v>
      </c>
      <c r="M196" s="27">
        <f>VLOOKUP($B196,'5 A calc'!$A$2:$AT$398,46,FALSE)</f>
        <v>52.499330597885681</v>
      </c>
    </row>
    <row r="197" spans="1:13" x14ac:dyDescent="0.2">
      <c r="A197">
        <f>VLOOKUP(B197,'5 A data'!A196:G665,7,FALSE)</f>
        <v>2</v>
      </c>
      <c r="B197">
        <v>319</v>
      </c>
      <c r="D197" s="46" t="s">
        <v>539</v>
      </c>
      <c r="E197">
        <f>VLOOKUP($B197,'5 A calc'!$A$2:$AR$398,4,FALSE)</f>
        <v>60</v>
      </c>
      <c r="F197" s="4">
        <f>VLOOKUP($B197,'5 A calc'!$A$2:$AR$398,13,FALSE)</f>
        <v>-0.49766285903615759</v>
      </c>
      <c r="G197" s="4">
        <f>VLOOKUP($B197,'5 A calc'!$A$2:$AR$398,14,FALSE)</f>
        <v>0.64654083041889188</v>
      </c>
      <c r="H197" s="4"/>
      <c r="I197" s="4"/>
      <c r="J197" s="686">
        <f>VLOOKUP($B197,'5 A calc'!$A$2:$AR$398,16,FALSE)</f>
        <v>2.9709098248278708E-6</v>
      </c>
      <c r="K197" s="27">
        <f>VLOOKUP($B197,'5 A calc'!$A$2:$AT$398,45,FALSE)</f>
        <v>42.291164682130272</v>
      </c>
      <c r="L197" s="686">
        <f>VLOOKUP($B197,'5 A calc'!$A$2:$AR$398,30,FALSE)</f>
        <v>1.6017059195029239E-6</v>
      </c>
      <c r="M197" s="27">
        <f>VLOOKUP($B197,'5 A calc'!$A$2:$AT$398,46,FALSE)</f>
        <v>48.978667479860043</v>
      </c>
    </row>
    <row r="198" spans="1:13" x14ac:dyDescent="0.2">
      <c r="A198">
        <f>VLOOKUP(B198,'5 A data'!A197:G666,7,FALSE)</f>
        <v>2</v>
      </c>
      <c r="B198">
        <v>320</v>
      </c>
      <c r="D198" s="46" t="s">
        <v>539</v>
      </c>
      <c r="E198">
        <f>VLOOKUP($B198,'5 A calc'!$A$2:$AR$398,4,FALSE)</f>
        <v>100</v>
      </c>
      <c r="F198" s="4">
        <f>VLOOKUP($B198,'5 A calc'!$A$2:$AR$398,13,FALSE)</f>
        <v>-0.47768059193541701</v>
      </c>
      <c r="G198" s="4">
        <f>VLOOKUP($B198,'5 A calc'!$A$2:$AR$398,14,FALSE)</f>
        <v>0.53004979553016363</v>
      </c>
      <c r="H198" s="4"/>
      <c r="I198" s="4"/>
      <c r="J198" s="686">
        <f>VLOOKUP($B198,'5 A calc'!$A$2:$AR$398,16,FALSE)</f>
        <v>2.4131313466023584E-6</v>
      </c>
      <c r="K198" s="27">
        <f>VLOOKUP($B198,'5 A calc'!$A$2:$AT$398,45,FALSE)</f>
        <v>59.567261398457461</v>
      </c>
      <c r="L198" s="686">
        <f>VLOOKUP($B198,'5 A calc'!$A$2:$AR$398,30,FALSE)</f>
        <v>1.6933288916776063E-6</v>
      </c>
      <c r="M198" s="27">
        <f>VLOOKUP($B198,'5 A calc'!$A$2:$AT$398,46,FALSE)</f>
        <v>45.732629829898706</v>
      </c>
    </row>
    <row r="199" spans="1:13" x14ac:dyDescent="0.2">
      <c r="A199">
        <f>VLOOKUP(B199,'5 A data'!A198:G667,7,FALSE)</f>
        <v>2</v>
      </c>
      <c r="B199">
        <v>321</v>
      </c>
      <c r="D199" s="46" t="s">
        <v>539</v>
      </c>
      <c r="E199">
        <f>VLOOKUP($B199,'5 A calc'!$A$2:$AR$398,4,FALSE)</f>
        <v>120</v>
      </c>
      <c r="F199" s="4">
        <f>VLOOKUP($B199,'5 A calc'!$A$2:$AR$398,13,FALSE)</f>
        <v>-0.46369112064018547</v>
      </c>
      <c r="G199" s="4">
        <f>VLOOKUP($B199,'5 A calc'!$A$2:$AR$398,14,FALSE)</f>
        <v>0.483452887687983</v>
      </c>
      <c r="H199" s="4"/>
      <c r="I199" s="4"/>
      <c r="J199" s="686">
        <f>VLOOKUP($B199,'5 A calc'!$A$2:$AR$398,16,FALSE)</f>
        <v>2.2681305202526645E-6</v>
      </c>
      <c r="K199" s="27">
        <f>VLOOKUP($B199,'5 A calc'!$A$2:$AT$398,45,FALSE)</f>
        <v>68.00069900375496</v>
      </c>
      <c r="L199" s="686">
        <f>VLOOKUP($B199,'5 A calc'!$A$2:$AR$398,30,FALSE)</f>
        <v>1.7092397901526349E-6</v>
      </c>
      <c r="M199" s="27">
        <f>VLOOKUP($B199,'5 A calc'!$A$2:$AT$398,46,FALSE)</f>
        <v>47.345132453902309</v>
      </c>
    </row>
    <row r="200" spans="1:13" x14ac:dyDescent="0.2">
      <c r="F200" s="4"/>
      <c r="G200" s="4"/>
      <c r="H200" s="4"/>
      <c r="I200" s="4"/>
      <c r="J200" s="686"/>
      <c r="K200" s="27"/>
      <c r="L200" s="686"/>
    </row>
    <row r="201" spans="1:13" x14ac:dyDescent="0.2">
      <c r="A201">
        <f>VLOOKUP(B201,'5 A data'!A200:G669,7,FALSE)</f>
        <v>1</v>
      </c>
      <c r="B201">
        <v>323</v>
      </c>
      <c r="D201" s="46" t="s">
        <v>543</v>
      </c>
      <c r="E201">
        <f>VLOOKUP($B201,'5 A calc'!$A$2:$AR$398,4,FALSE)</f>
        <v>5</v>
      </c>
      <c r="F201" s="4">
        <f>VLOOKUP($B201,'5 A calc'!$A$2:$AR$398,13,FALSE)</f>
        <v>-0.22482079134690611</v>
      </c>
      <c r="G201" s="4">
        <f>VLOOKUP($B201,'5 A calc'!$A$2:$AR$398,14,FALSE)</f>
        <v>0.39899268441763647</v>
      </c>
      <c r="H201" s="4"/>
      <c r="I201" s="4"/>
      <c r="J201" s="686">
        <f>VLOOKUP($B201,'5 A calc'!$A$2:$AR$398,16,FALSE)</f>
        <v>6.4429594675743464E-6</v>
      </c>
      <c r="K201" s="27">
        <f>VLOOKUP($B201,'5 A calc'!$A$2:$AT$398,45,FALSE)</f>
        <v>26.31606241070681</v>
      </c>
      <c r="L201" s="686">
        <f>VLOOKUP($B201,'5 A calc'!$A$2:$AR$398,30,FALSE)</f>
        <v>4.6788986298833412E-6</v>
      </c>
      <c r="M201" s="27">
        <f>VLOOKUP($B201,'5 A calc'!$A$2:$AT$398,46,FALSE)</f>
        <v>9.9413455012810044</v>
      </c>
    </row>
    <row r="202" spans="1:13" x14ac:dyDescent="0.2">
      <c r="A202">
        <f>VLOOKUP(B202,'5 A data'!A201:G670,7,FALSE)</f>
        <v>1</v>
      </c>
      <c r="B202">
        <v>324</v>
      </c>
      <c r="D202" s="46" t="s">
        <v>543</v>
      </c>
      <c r="E202">
        <f>VLOOKUP($B202,'5 A calc'!$A$2:$AR$398,4,FALSE)</f>
        <v>10</v>
      </c>
      <c r="F202" s="4">
        <f>VLOOKUP($B202,'5 A calc'!$A$2:$AR$398,13,FALSE)</f>
        <v>-0.18384885587892241</v>
      </c>
      <c r="G202" s="4">
        <f>VLOOKUP($B202,'5 A calc'!$A$2:$AR$398,14,FALSE)</f>
        <v>0.30288399594127929</v>
      </c>
      <c r="H202" s="4"/>
      <c r="I202" s="4"/>
      <c r="J202" s="686">
        <f>VLOOKUP($B202,'5 A calc'!$A$2:$AR$398,16,FALSE)</f>
        <v>5.0170517941146892E-6</v>
      </c>
      <c r="K202" s="27">
        <f>VLOOKUP($B202,'5 A calc'!$A$2:$AT$398,45,FALSE)</f>
        <v>38.265350164989712</v>
      </c>
      <c r="L202" s="686">
        <f>VLOOKUP($B202,'5 A calc'!$A$2:$AR$398,30,FALSE)</f>
        <v>2.600738521505678E-6</v>
      </c>
      <c r="M202" s="27">
        <f>VLOOKUP($B202,'5 A calc'!$A$2:$AT$398,46,FALSE)</f>
        <v>16.586629386739094</v>
      </c>
    </row>
    <row r="203" spans="1:13" x14ac:dyDescent="0.2">
      <c r="A203">
        <f>VLOOKUP(B203,'5 A data'!A202:G671,7,FALSE)</f>
        <v>1</v>
      </c>
      <c r="B203">
        <v>325</v>
      </c>
      <c r="D203" s="46" t="s">
        <v>543</v>
      </c>
      <c r="E203">
        <f>VLOOKUP($B203,'5 A calc'!$A$2:$AR$398,4,FALSE)</f>
        <v>20</v>
      </c>
      <c r="F203" s="4">
        <f>VLOOKUP($B203,'5 A calc'!$A$2:$AR$398,13,FALSE)</f>
        <v>-0.15686935402990917</v>
      </c>
      <c r="G203" s="4">
        <f>VLOOKUP($B203,'5 A calc'!$A$2:$AR$398,14,FALSE)</f>
        <v>0.24463951999670613</v>
      </c>
      <c r="H203" s="4"/>
      <c r="I203" s="4"/>
      <c r="J203" s="686">
        <f>VLOOKUP($B203,'5 A calc'!$A$2:$AR$398,16,FALSE)</f>
        <v>4.17832023036102E-6</v>
      </c>
      <c r="K203" s="27">
        <f>VLOOKUP($B203,'5 A calc'!$A$2:$AT$398,45,FALSE)</f>
        <v>36.657700403051521</v>
      </c>
      <c r="L203" s="686">
        <f>VLOOKUP($B203,'5 A calc'!$A$2:$AR$398,30,FALSE)</f>
        <v>1.9770475075939077E-6</v>
      </c>
      <c r="M203" s="27">
        <f>VLOOKUP($B203,'5 A calc'!$A$2:$AT$398,46,FALSE)</f>
        <v>53.09445811850042</v>
      </c>
    </row>
    <row r="204" spans="1:13" x14ac:dyDescent="0.2">
      <c r="A204">
        <f>VLOOKUP(B204,'5 A data'!A203:G672,7,FALSE)</f>
        <v>1</v>
      </c>
      <c r="B204">
        <v>326</v>
      </c>
      <c r="D204" s="46" t="s">
        <v>543</v>
      </c>
      <c r="E204">
        <f>VLOOKUP($B204,'5 A calc'!$A$2:$AR$398,4,FALSE)</f>
        <v>40</v>
      </c>
      <c r="F204" s="4">
        <f>VLOOKUP($B204,'5 A calc'!$A$2:$AR$398,13,FALSE)</f>
        <v>-0.13888682659650839</v>
      </c>
      <c r="G204" s="4">
        <f>VLOOKUP($B204,'5 A calc'!$A$2:$AR$398,14,FALSE)</f>
        <v>0.20678053828216644</v>
      </c>
      <c r="H204" s="4"/>
      <c r="I204" s="4"/>
      <c r="J204" s="686">
        <f>VLOOKUP($B204,'5 A calc'!$A$2:$AR$398,16,FALSE)</f>
        <v>3.3964590328801363E-6</v>
      </c>
      <c r="K204" s="27">
        <f>VLOOKUP($B204,'5 A calc'!$A$2:$AT$398,45,FALSE)</f>
        <v>38.659909732018328</v>
      </c>
      <c r="L204" s="686">
        <f>VLOOKUP($B204,'5 A calc'!$A$2:$AR$398,30,FALSE)</f>
        <v>1.6849048737447556E-6</v>
      </c>
      <c r="M204" s="27">
        <f>VLOOKUP($B204,'5 A calc'!$A$2:$AT$398,46,FALSE)</f>
        <v>52.499330597885681</v>
      </c>
    </row>
    <row r="205" spans="1:13" x14ac:dyDescent="0.2">
      <c r="A205">
        <f>VLOOKUP(B205,'5 A data'!A204:G673,7,FALSE)</f>
        <v>1</v>
      </c>
      <c r="B205">
        <v>327</v>
      </c>
      <c r="D205" s="46" t="s">
        <v>543</v>
      </c>
      <c r="E205">
        <f>VLOOKUP($B205,'5 A calc'!$A$2:$AR$398,4,FALSE)</f>
        <v>60</v>
      </c>
      <c r="F205" s="4">
        <f>VLOOKUP($B205,'5 A calc'!$A$2:$AR$398,13,FALSE)</f>
        <v>-0.13089513369565337</v>
      </c>
      <c r="G205" s="4">
        <f>VLOOKUP($B205,'5 A calc'!$A$2:$AR$398,14,FALSE)</f>
        <v>0.19221874202653608</v>
      </c>
      <c r="H205" s="4"/>
      <c r="I205" s="4"/>
      <c r="J205" s="686">
        <f>VLOOKUP($B205,'5 A calc'!$A$2:$AR$398,16,FALSE)</f>
        <v>2.9709098248278708E-6</v>
      </c>
      <c r="K205" s="27">
        <f>VLOOKUP($B205,'5 A calc'!$A$2:$AT$398,45,FALSE)</f>
        <v>42.291164682130272</v>
      </c>
      <c r="L205" s="686">
        <f>VLOOKUP($B205,'5 A calc'!$A$2:$AR$398,30,FALSE)</f>
        <v>1.6017059195029239E-6</v>
      </c>
      <c r="M205" s="27">
        <f>VLOOKUP($B205,'5 A calc'!$A$2:$AT$398,46,FALSE)</f>
        <v>48.978667479860043</v>
      </c>
    </row>
    <row r="206" spans="1:13" x14ac:dyDescent="0.2">
      <c r="A206">
        <f>VLOOKUP(B206,'5 A data'!A205:G674,7,FALSE)</f>
        <v>1</v>
      </c>
      <c r="B206">
        <v>328</v>
      </c>
      <c r="D206" s="46" t="s">
        <v>543</v>
      </c>
      <c r="E206">
        <f>VLOOKUP($B206,'5 A calc'!$A$2:$AR$398,4,FALSE)</f>
        <v>100</v>
      </c>
      <c r="F206" s="4">
        <f>VLOOKUP($B206,'5 A calc'!$A$2:$AR$398,13,FALSE)</f>
        <v>-0.12190590468413766</v>
      </c>
      <c r="G206" s="4">
        <f>VLOOKUP($B206,'5 A calc'!$A$2:$AR$398,14,FALSE)</f>
        <v>0.1776589449181441</v>
      </c>
      <c r="H206" s="4"/>
      <c r="I206" s="4"/>
      <c r="J206" s="686">
        <f>VLOOKUP($B206,'5 A calc'!$A$2:$AR$398,16,FALSE)</f>
        <v>2.4131313466023584E-6</v>
      </c>
      <c r="K206" s="27">
        <f>VLOOKUP($B206,'5 A calc'!$A$2:$AT$398,45,FALSE)</f>
        <v>59.567261398457461</v>
      </c>
      <c r="L206" s="686">
        <f>VLOOKUP($B206,'5 A calc'!$A$2:$AR$398,30,FALSE)</f>
        <v>1.6933288916776063E-6</v>
      </c>
      <c r="M206" s="27">
        <f>VLOOKUP($B206,'5 A calc'!$A$2:$AT$398,46,FALSE)</f>
        <v>45.732629829898706</v>
      </c>
    </row>
    <row r="207" spans="1:13" x14ac:dyDescent="0.2">
      <c r="A207">
        <f>VLOOKUP(B207,'5 A data'!A206:G675,7,FALSE)</f>
        <v>1</v>
      </c>
      <c r="B207">
        <v>329</v>
      </c>
      <c r="D207" s="46" t="s">
        <v>543</v>
      </c>
      <c r="E207">
        <f>VLOOKUP($B207,'5 A calc'!$A$2:$AR$398,4,FALSE)</f>
        <v>120</v>
      </c>
      <c r="F207" s="4">
        <f>VLOOKUP($B207,'5 A calc'!$A$2:$AR$398,13,FALSE)</f>
        <v>-0.1199088385771515</v>
      </c>
      <c r="G207" s="4">
        <f>VLOOKUP($B207,'5 A calc'!$A$2:$AR$398,14,FALSE)</f>
        <v>0.17474685326753611</v>
      </c>
      <c r="H207" s="4"/>
      <c r="I207" s="4"/>
      <c r="J207" s="686">
        <f>VLOOKUP($B207,'5 A calc'!$A$2:$AR$398,16,FALSE)</f>
        <v>2.2681305202526645E-6</v>
      </c>
      <c r="K207" s="27">
        <f>VLOOKUP($B207,'5 A calc'!$A$2:$AT$398,45,FALSE)</f>
        <v>68.00069900375496</v>
      </c>
      <c r="L207" s="686">
        <f>VLOOKUP($B207,'5 A calc'!$A$2:$AR$398,30,FALSE)</f>
        <v>1.7092397901526349E-6</v>
      </c>
      <c r="M207" s="27">
        <f>VLOOKUP($B207,'5 A calc'!$A$2:$AT$398,46,FALSE)</f>
        <v>47.345132453902309</v>
      </c>
    </row>
    <row r="208" spans="1:13" x14ac:dyDescent="0.2">
      <c r="F208" s="4"/>
      <c r="G208" s="4"/>
    </row>
    <row r="209" spans="1:13" x14ac:dyDescent="0.2">
      <c r="F209" s="4"/>
      <c r="G209" s="4"/>
    </row>
    <row r="210" spans="1:13" x14ac:dyDescent="0.2">
      <c r="A210">
        <f>VLOOKUP(B210,'5 A data'!A209:G678,7,FALSE)</f>
        <v>2</v>
      </c>
      <c r="B210">
        <v>333</v>
      </c>
      <c r="D210" s="46" t="s">
        <v>539</v>
      </c>
      <c r="E210">
        <f>VLOOKUP($B210,'5 A calc'!$A$2:$AR$398,4,FALSE)</f>
        <v>5</v>
      </c>
      <c r="F210" s="4">
        <f>VLOOKUP($B210,'5 A calc'!$A$2:$AR$398,13,FALSE)</f>
        <v>-0.69352396078749601</v>
      </c>
      <c r="G210" s="4">
        <f>VLOOKUP($B210,'5 A calc'!$A$2:$AR$398,14,FALSE)</f>
        <v>1.0542649272912266</v>
      </c>
      <c r="H210" s="4"/>
      <c r="I210" s="4"/>
      <c r="J210" s="686">
        <f>VLOOKUP($B210,'5 A calc'!$A$2:$AR$398,16,FALSE)</f>
        <v>6.4429594675743464E-6</v>
      </c>
      <c r="K210" s="27">
        <f>VLOOKUP($B210,'5 A calc'!$A$2:$AT$398,45,FALSE)</f>
        <v>26.31606241070681</v>
      </c>
      <c r="L210" s="686">
        <f>VLOOKUP($B210,'5 A calc'!$A$2:$AR$398,30,FALSE)</f>
        <v>4.6788986298833412E-6</v>
      </c>
      <c r="M210" s="27">
        <f>VLOOKUP($B210,'5 A calc'!$A$2:$AT$398,46,FALSE)</f>
        <v>9.9413455012810044</v>
      </c>
    </row>
    <row r="211" spans="1:13" x14ac:dyDescent="0.2">
      <c r="A211">
        <f>VLOOKUP(B211,'5 A data'!A210:G679,7,FALSE)</f>
        <v>2</v>
      </c>
      <c r="B211">
        <v>334</v>
      </c>
      <c r="D211" s="46" t="s">
        <v>539</v>
      </c>
      <c r="E211">
        <f>VLOOKUP($B211,'5 A calc'!$A$2:$AR$398,4,FALSE)</f>
        <v>10</v>
      </c>
      <c r="F211" s="4">
        <f>VLOOKUP($B211,'5 A calc'!$A$2:$AR$398,13,FALSE)</f>
        <v>-0.61757417685379667</v>
      </c>
      <c r="G211" s="4">
        <f>VLOOKUP($B211,'5 A calc'!$A$2:$AR$398,14,FALSE)</f>
        <v>0.91447142262329661</v>
      </c>
      <c r="H211" s="4"/>
      <c r="I211" s="4"/>
      <c r="J211" s="686">
        <f>VLOOKUP($B211,'5 A calc'!$A$2:$AR$398,16,FALSE)</f>
        <v>5.0170517941146892E-6</v>
      </c>
      <c r="K211" s="27">
        <f>VLOOKUP($B211,'5 A calc'!$A$2:$AT$398,45,FALSE)</f>
        <v>38.265350164989712</v>
      </c>
      <c r="L211" s="686">
        <f>VLOOKUP($B211,'5 A calc'!$A$2:$AR$398,30,FALSE)</f>
        <v>2.600738521505678E-6</v>
      </c>
      <c r="M211" s="27">
        <f>VLOOKUP($B211,'5 A calc'!$A$2:$AT$398,46,FALSE)</f>
        <v>16.586629386739094</v>
      </c>
    </row>
    <row r="212" spans="1:13" x14ac:dyDescent="0.2">
      <c r="A212">
        <f>VLOOKUP(B212,'5 A data'!A211:G680,7,FALSE)</f>
        <v>2</v>
      </c>
      <c r="B212">
        <v>335</v>
      </c>
      <c r="D212" s="46" t="s">
        <v>539</v>
      </c>
      <c r="E212">
        <f>VLOOKUP($B212,'5 A calc'!$A$2:$AR$398,4,FALSE)</f>
        <v>20</v>
      </c>
      <c r="F212" s="4">
        <f>VLOOKUP($B212,'5 A calc'!$A$2:$AR$398,13,FALSE)</f>
        <v>-0.5586149278361292</v>
      </c>
      <c r="G212" s="4">
        <f>VLOOKUP($B212,'5 A calc'!$A$2:$AR$398,14,FALSE)</f>
        <v>0.80380516724883622</v>
      </c>
      <c r="H212" s="4"/>
      <c r="I212" s="4"/>
      <c r="J212" s="686">
        <f>VLOOKUP($B212,'5 A calc'!$A$2:$AR$398,16,FALSE)</f>
        <v>4.17832023036102E-6</v>
      </c>
      <c r="K212" s="27">
        <f>VLOOKUP($B212,'5 A calc'!$A$2:$AT$398,45,FALSE)</f>
        <v>36.657700403051521</v>
      </c>
      <c r="L212" s="686">
        <f>VLOOKUP($B212,'5 A calc'!$A$2:$AR$398,30,FALSE)</f>
        <v>1.9770475075939077E-6</v>
      </c>
      <c r="M212" s="27">
        <f>VLOOKUP($B212,'5 A calc'!$A$2:$AT$398,46,FALSE)</f>
        <v>53.09445811850042</v>
      </c>
    </row>
    <row r="213" spans="1:13" x14ac:dyDescent="0.2">
      <c r="A213">
        <f>VLOOKUP(B213,'5 A data'!A212:G681,7,FALSE)</f>
        <v>2</v>
      </c>
      <c r="B213">
        <v>336</v>
      </c>
      <c r="D213" s="46" t="s">
        <v>539</v>
      </c>
      <c r="E213">
        <f>VLOOKUP($B213,'5 A calc'!$A$2:$AR$398,4,FALSE)</f>
        <v>40</v>
      </c>
      <c r="F213" s="4">
        <f>VLOOKUP($B213,'5 A calc'!$A$2:$AR$398,13,FALSE)</f>
        <v>-0.51165075453113529</v>
      </c>
      <c r="G213" s="4">
        <f>VLOOKUP($B213,'5 A calc'!$A$2:$AR$398,14,FALSE)</f>
        <v>0.71352440610440937</v>
      </c>
      <c r="H213" s="4"/>
      <c r="I213" s="4"/>
      <c r="J213" s="686">
        <f>VLOOKUP($B213,'5 A calc'!$A$2:$AR$398,16,FALSE)</f>
        <v>3.3964590328801363E-6</v>
      </c>
      <c r="K213" s="27">
        <f>VLOOKUP($B213,'5 A calc'!$A$2:$AT$398,45,FALSE)</f>
        <v>38.659909732018328</v>
      </c>
      <c r="L213" s="686">
        <f>VLOOKUP($B213,'5 A calc'!$A$2:$AR$398,30,FALSE)</f>
        <v>1.6849048737447556E-6</v>
      </c>
      <c r="M213" s="27">
        <f>VLOOKUP($B213,'5 A calc'!$A$2:$AT$398,46,FALSE)</f>
        <v>52.499330597885681</v>
      </c>
    </row>
    <row r="214" spans="1:13" x14ac:dyDescent="0.2">
      <c r="A214">
        <f>VLOOKUP(B214,'5 A data'!A213:G682,7,FALSE)</f>
        <v>2</v>
      </c>
      <c r="B214">
        <v>337</v>
      </c>
      <c r="D214" s="46" t="s">
        <v>539</v>
      </c>
      <c r="E214">
        <f>VLOOKUP($B214,'5 A calc'!$A$2:$AR$398,4,FALSE)</f>
        <v>60</v>
      </c>
      <c r="F214" s="4">
        <f>VLOOKUP($B214,'5 A calc'!$A$2:$AR$398,13,FALSE)</f>
        <v>-0.49766285903615759</v>
      </c>
      <c r="G214" s="4">
        <f>VLOOKUP($B214,'5 A calc'!$A$2:$AR$398,14,FALSE)</f>
        <v>0.64362850933945381</v>
      </c>
      <c r="H214" s="4"/>
      <c r="I214" s="4"/>
      <c r="J214" s="686">
        <f>VLOOKUP($B214,'5 A calc'!$A$2:$AR$398,16,FALSE)</f>
        <v>2.9709098248278708E-6</v>
      </c>
      <c r="K214" s="27">
        <f>VLOOKUP($B214,'5 A calc'!$A$2:$AT$398,45,FALSE)</f>
        <v>42.291164682130272</v>
      </c>
      <c r="L214" s="686">
        <f>VLOOKUP($B214,'5 A calc'!$A$2:$AR$398,30,FALSE)</f>
        <v>1.6017059195029239E-6</v>
      </c>
      <c r="M214" s="27">
        <f>VLOOKUP($B214,'5 A calc'!$A$2:$AT$398,46,FALSE)</f>
        <v>48.978667479860043</v>
      </c>
    </row>
    <row r="215" spans="1:13" x14ac:dyDescent="0.2">
      <c r="A215">
        <f>VLOOKUP(B215,'5 A data'!A214:G683,7,FALSE)</f>
        <v>2</v>
      </c>
      <c r="B215">
        <v>338</v>
      </c>
      <c r="D215" s="46" t="s">
        <v>539</v>
      </c>
      <c r="E215">
        <f>VLOOKUP($B215,'5 A calc'!$A$2:$AR$398,4,FALSE)</f>
        <v>100</v>
      </c>
      <c r="F215" s="4">
        <f>VLOOKUP($B215,'5 A calc'!$A$2:$AR$398,13,FALSE)</f>
        <v>-0.47768059193541701</v>
      </c>
      <c r="G215" s="4">
        <f>VLOOKUP($B215,'5 A calc'!$A$2:$AR$398,14,FALSE)</f>
        <v>0.53004979553016363</v>
      </c>
      <c r="H215" s="4"/>
      <c r="I215" s="4"/>
      <c r="J215" s="686">
        <f>VLOOKUP($B215,'5 A calc'!$A$2:$AR$398,16,FALSE)</f>
        <v>2.4131313466023584E-6</v>
      </c>
      <c r="K215" s="27">
        <f>VLOOKUP($B215,'5 A calc'!$A$2:$AT$398,45,FALSE)</f>
        <v>59.567261398457461</v>
      </c>
      <c r="L215" s="686">
        <f>VLOOKUP($B215,'5 A calc'!$A$2:$AR$398,30,FALSE)</f>
        <v>1.6933288916776063E-6</v>
      </c>
      <c r="M215" s="27">
        <f>VLOOKUP($B215,'5 A calc'!$A$2:$AT$398,46,FALSE)</f>
        <v>45.732629829898706</v>
      </c>
    </row>
    <row r="216" spans="1:13" x14ac:dyDescent="0.2">
      <c r="A216">
        <f>VLOOKUP(B216,'5 A data'!A215:G684,7,FALSE)</f>
        <v>2</v>
      </c>
      <c r="B216">
        <v>339</v>
      </c>
      <c r="D216" s="46" t="s">
        <v>539</v>
      </c>
      <c r="E216">
        <f>VLOOKUP($B216,'5 A calc'!$A$2:$AR$398,4,FALSE)</f>
        <v>120</v>
      </c>
      <c r="F216" s="4">
        <f>VLOOKUP($B216,'5 A calc'!$A$2:$AR$398,13,FALSE)</f>
        <v>-0.46369112064018547</v>
      </c>
      <c r="G216" s="4">
        <f>VLOOKUP($B216,'5 A calc'!$A$2:$AR$398,14,FALSE)</f>
        <v>0.48927752984685935</v>
      </c>
      <c r="H216" s="4"/>
      <c r="I216" s="4"/>
      <c r="J216" s="686">
        <f>VLOOKUP($B216,'5 A calc'!$A$2:$AR$398,16,FALSE)</f>
        <v>2.2681305202526645E-6</v>
      </c>
      <c r="K216" s="27">
        <f>VLOOKUP($B216,'5 A calc'!$A$2:$AT$398,45,FALSE)</f>
        <v>68.00069900375496</v>
      </c>
      <c r="L216" s="686">
        <f>VLOOKUP($B230,'5 A calc'!$A$2:$AR$398,30,FALSE)</f>
        <v>1.6849048737447556E-6</v>
      </c>
      <c r="M216" s="27">
        <f>VLOOKUP($B216,'5 A calc'!$A$2:$AT$398,46,FALSE)</f>
        <v>47.345132453902309</v>
      </c>
    </row>
    <row r="217" spans="1:13" x14ac:dyDescent="0.2">
      <c r="F217" s="4"/>
      <c r="G217" s="4"/>
      <c r="H217" s="4"/>
      <c r="I217" s="4"/>
      <c r="J217" s="686"/>
      <c r="K217" s="27"/>
      <c r="L217" s="686"/>
    </row>
    <row r="218" spans="1:13" x14ac:dyDescent="0.2">
      <c r="A218">
        <f>VLOOKUP(B218,'5 A data'!A217:G686,7,FALSE)</f>
        <v>1</v>
      </c>
      <c r="B218">
        <v>341</v>
      </c>
      <c r="D218" s="46" t="s">
        <v>543</v>
      </c>
      <c r="E218">
        <f>VLOOKUP($B218,'5 A calc'!$A$2:$AR$398,4,FALSE)</f>
        <v>5</v>
      </c>
      <c r="F218" s="4">
        <f>VLOOKUP($B218,'5 A calc'!$A$2:$AR$398,13,FALSE)</f>
        <v>-0.226819525544947</v>
      </c>
      <c r="G218" s="4">
        <f>VLOOKUP($B218,'5 A calc'!$A$2:$AR$398,14,FALSE)</f>
        <v>0.39462420279847921</v>
      </c>
      <c r="H218" s="4"/>
      <c r="I218" s="4"/>
      <c r="J218" s="686">
        <f>VLOOKUP($B218,'5 A calc'!$A$2:$AR$398,16,FALSE)</f>
        <v>6.4429594675743464E-6</v>
      </c>
      <c r="K218" s="27">
        <f>VLOOKUP($B218,'5 A calc'!$A$2:$AT$398,45,FALSE)</f>
        <v>26.31606241070681</v>
      </c>
      <c r="L218" s="686">
        <f>VLOOKUP($B218,'5 A calc'!$A$2:$AR$398,30,FALSE)</f>
        <v>4.6788986298833412E-6</v>
      </c>
      <c r="M218" s="27">
        <f>VLOOKUP($B218,'5 A calc'!$A$2:$AT$398,46,FALSE)</f>
        <v>9.9413455012810044</v>
      </c>
    </row>
    <row r="219" spans="1:13" x14ac:dyDescent="0.2">
      <c r="A219">
        <f>VLOOKUP(B219,'5 A data'!A218:G687,7,FALSE)</f>
        <v>1</v>
      </c>
      <c r="B219">
        <v>342</v>
      </c>
      <c r="D219" s="46" t="s">
        <v>543</v>
      </c>
      <c r="E219">
        <f>VLOOKUP($B219,'5 A calc'!$A$2:$AR$398,4,FALSE)</f>
        <v>10</v>
      </c>
      <c r="F219" s="4">
        <f>VLOOKUP($B219,'5 A calc'!$A$2:$AR$398,13,FALSE)</f>
        <v>-0.18884569137402465</v>
      </c>
      <c r="G219" s="4">
        <f>VLOOKUP($B219,'5 A calc'!$A$2:$AR$398,14,FALSE)</f>
        <v>0.30288399594127929</v>
      </c>
      <c r="H219" s="4"/>
      <c r="I219" s="4"/>
      <c r="J219" s="686">
        <f>VLOOKUP($B219,'5 A calc'!$A$2:$AR$398,16,FALSE)</f>
        <v>5.0170517941146892E-6</v>
      </c>
      <c r="K219" s="27">
        <f>VLOOKUP($B219,'5 A calc'!$A$2:$AT$398,45,FALSE)</f>
        <v>38.265350164989712</v>
      </c>
      <c r="L219" s="686">
        <f>VLOOKUP($B219,'5 A calc'!$A$2:$AR$398,30,FALSE)</f>
        <v>2.600738521505678E-6</v>
      </c>
      <c r="M219" s="27">
        <f>VLOOKUP($B219,'5 A calc'!$A$2:$AT$398,46,FALSE)</f>
        <v>16.586629386739094</v>
      </c>
    </row>
    <row r="220" spans="1:13" x14ac:dyDescent="0.2">
      <c r="A220">
        <f>VLOOKUP(B220,'5 A data'!A219:G688,7,FALSE)</f>
        <v>1</v>
      </c>
      <c r="B220">
        <v>343</v>
      </c>
      <c r="D220" s="46" t="s">
        <v>543</v>
      </c>
      <c r="E220">
        <f>VLOOKUP($B220,'5 A calc'!$A$2:$AR$398,4,FALSE)</f>
        <v>20</v>
      </c>
      <c r="F220" s="4">
        <f>VLOOKUP($B220,'5 A calc'!$A$2:$AR$398,13,FALSE)</f>
        <v>-0.15886808822795007</v>
      </c>
      <c r="G220" s="4">
        <f>VLOOKUP($B220,'5 A calc'!$A$2:$AR$398,14,FALSE)</f>
        <v>0.24463951999670613</v>
      </c>
      <c r="H220" s="4"/>
      <c r="I220" s="4"/>
      <c r="J220" s="686">
        <f>VLOOKUP($B220,'5 A calc'!$A$2:$AR$398,16,FALSE)</f>
        <v>4.17832023036102E-6</v>
      </c>
      <c r="K220" s="27">
        <f>VLOOKUP($B220,'5 A calc'!$A$2:$AT$398,45,FALSE)</f>
        <v>36.657700403051521</v>
      </c>
      <c r="L220" s="686">
        <f>VLOOKUP($B220,'5 A calc'!$A$2:$AR$398,30,FALSE)</f>
        <v>1.9770475075939077E-6</v>
      </c>
      <c r="M220" s="27">
        <f>VLOOKUP($B220,'5 A calc'!$A$2:$AT$398,46,FALSE)</f>
        <v>53.09445811850042</v>
      </c>
    </row>
    <row r="221" spans="1:13" x14ac:dyDescent="0.2">
      <c r="A221">
        <f>VLOOKUP(B221,'5 A data'!A220:G689,7,FALSE)</f>
        <v>1</v>
      </c>
      <c r="B221">
        <v>344</v>
      </c>
      <c r="D221" s="46" t="s">
        <v>543</v>
      </c>
      <c r="E221">
        <f>VLOOKUP($B221,'5 A calc'!$A$2:$AR$398,4,FALSE)</f>
        <v>40</v>
      </c>
      <c r="F221" s="4">
        <f>VLOOKUP($B221,'5 A calc'!$A$2:$AR$398,13,FALSE)</f>
        <v>-0.13888682659650839</v>
      </c>
      <c r="G221" s="4">
        <f>VLOOKUP($B221,'5 A calc'!$A$2:$AR$398,14,FALSE)</f>
        <v>0.20969285936160462</v>
      </c>
      <c r="H221" s="4"/>
      <c r="I221" s="4"/>
      <c r="J221" s="686">
        <f>VLOOKUP($B221,'5 A calc'!$A$2:$AR$398,16,FALSE)</f>
        <v>3.3964590328801363E-6</v>
      </c>
      <c r="K221" s="27">
        <f>VLOOKUP($B221,'5 A calc'!$A$2:$AT$398,45,FALSE)</f>
        <v>38.659909732018328</v>
      </c>
      <c r="L221" s="686">
        <f>VLOOKUP($B221,'5 A calc'!$A$2:$AR$398,30,FALSE)</f>
        <v>1.6849048737447556E-6</v>
      </c>
      <c r="M221" s="27">
        <f>VLOOKUP($B221,'5 A calc'!$A$2:$AT$398,46,FALSE)</f>
        <v>52.499330597885681</v>
      </c>
    </row>
    <row r="222" spans="1:13" x14ac:dyDescent="0.2">
      <c r="A222">
        <f>VLOOKUP(B222,'5 A data'!A221:G690,7,FALSE)</f>
        <v>1</v>
      </c>
      <c r="B222">
        <v>345</v>
      </c>
      <c r="D222" s="46" t="s">
        <v>543</v>
      </c>
      <c r="E222">
        <f>VLOOKUP($B222,'5 A calc'!$A$2:$AR$398,4,FALSE)</f>
        <v>60</v>
      </c>
      <c r="F222" s="4">
        <f>VLOOKUP($B222,'5 A calc'!$A$2:$AR$398,13,FALSE)</f>
        <v>-0.13089513369565337</v>
      </c>
      <c r="G222" s="4">
        <f>VLOOKUP($B222,'5 A calc'!$A$2:$AR$398,14,FALSE)</f>
        <v>0.19513106310597425</v>
      </c>
      <c r="H222" s="4"/>
      <c r="I222" s="4"/>
      <c r="J222" s="686">
        <f>VLOOKUP($B222,'5 A calc'!$A$2:$AR$398,16,FALSE)</f>
        <v>2.9709098248278708E-6</v>
      </c>
      <c r="K222" s="27">
        <f>VLOOKUP($B222,'5 A calc'!$A$2:$AT$398,45,FALSE)</f>
        <v>42.291164682130272</v>
      </c>
      <c r="L222" s="686">
        <f>VLOOKUP($B222,'5 A calc'!$A$2:$AR$398,30,FALSE)</f>
        <v>1.6017059195029239E-6</v>
      </c>
      <c r="M222" s="27">
        <f>VLOOKUP($B222,'5 A calc'!$A$2:$AT$398,46,FALSE)</f>
        <v>48.978667479860043</v>
      </c>
    </row>
    <row r="223" spans="1:13" x14ac:dyDescent="0.2">
      <c r="A223">
        <f>VLOOKUP(B223,'5 A data'!A222:G691,7,FALSE)</f>
        <v>1</v>
      </c>
      <c r="B223">
        <v>346</v>
      </c>
      <c r="D223" s="46" t="s">
        <v>543</v>
      </c>
      <c r="E223">
        <f>VLOOKUP($B223,'5 A calc'!$A$2:$AR$398,4,FALSE)</f>
        <v>100</v>
      </c>
      <c r="F223" s="4">
        <f>VLOOKUP($B223,'5 A calc'!$A$2:$AR$398,13,FALSE)</f>
        <v>-0.12190590468413766</v>
      </c>
      <c r="G223" s="4">
        <f>VLOOKUP($B223,'5 A calc'!$A$2:$AR$398,14,FALSE)</f>
        <v>0.1776589449181441</v>
      </c>
      <c r="H223" s="4"/>
      <c r="I223" s="4"/>
      <c r="J223" s="686">
        <f>VLOOKUP($B223,'5 A calc'!$A$2:$AR$398,16,FALSE)</f>
        <v>2.4131313466023584E-6</v>
      </c>
      <c r="K223" s="27">
        <f>VLOOKUP($B223,'5 A calc'!$A$2:$AT$398,45,FALSE)</f>
        <v>59.567261398457461</v>
      </c>
      <c r="L223" s="686">
        <f>VLOOKUP($B223,'5 A calc'!$A$2:$AR$398,30,FALSE)</f>
        <v>1.6933288916776063E-6</v>
      </c>
      <c r="M223" s="27">
        <f>VLOOKUP($B223,'5 A calc'!$A$2:$AT$398,46,FALSE)</f>
        <v>45.732629829898706</v>
      </c>
    </row>
    <row r="224" spans="1:13" x14ac:dyDescent="0.2">
      <c r="A224">
        <f>VLOOKUP(B224,'5 A data'!A223:G692,7,FALSE)</f>
        <v>1</v>
      </c>
      <c r="B224">
        <v>347</v>
      </c>
      <c r="D224" s="46" t="s">
        <v>543</v>
      </c>
      <c r="E224">
        <f>VLOOKUP($B224,'5 A calc'!$A$2:$AR$398,4,FALSE)</f>
        <v>120</v>
      </c>
      <c r="F224" s="4">
        <f>VLOOKUP($B224,'5 A calc'!$A$2:$AR$398,13,FALSE)</f>
        <v>-0.1199088385771515</v>
      </c>
      <c r="G224" s="4">
        <f>VLOOKUP($B224,'5 A calc'!$A$2:$AR$398,14,FALSE)</f>
        <v>0.17474685326753611</v>
      </c>
      <c r="H224" s="4"/>
      <c r="I224" s="4"/>
      <c r="J224" s="686">
        <f>VLOOKUP($B224,'5 A calc'!$A$2:$AR$398,16,FALSE)</f>
        <v>2.2681305202526645E-6</v>
      </c>
      <c r="K224" s="27">
        <f>VLOOKUP($B224,'5 A calc'!$A$2:$AT$398,45,FALSE)</f>
        <v>68.00069900375496</v>
      </c>
      <c r="L224" s="686">
        <f>VLOOKUP($B224,'5 A calc'!$A$2:$AR$398,30,FALSE)</f>
        <v>1.7092397901526349E-6</v>
      </c>
      <c r="M224" s="27">
        <f>VLOOKUP($B224,'5 A calc'!$A$2:$AT$398,46,FALSE)</f>
        <v>47.345132453902309</v>
      </c>
    </row>
    <row r="225" spans="1:13" x14ac:dyDescent="0.2">
      <c r="F225" s="4"/>
      <c r="G225" s="4"/>
    </row>
    <row r="226" spans="1:13" x14ac:dyDescent="0.2">
      <c r="F226" s="4"/>
      <c r="G226" s="4"/>
    </row>
    <row r="227" spans="1:13" x14ac:dyDescent="0.2">
      <c r="A227">
        <f>VLOOKUP(B227,'5 A data'!A226:G695,7,FALSE)</f>
        <v>10</v>
      </c>
      <c r="B227">
        <v>351</v>
      </c>
      <c r="D227" s="46" t="s">
        <v>545</v>
      </c>
      <c r="E227">
        <f>VLOOKUP($B227,'5 A calc'!$A$2:$AR$398,4,FALSE)</f>
        <v>5</v>
      </c>
      <c r="F227" s="4">
        <f>VLOOKUP($B227,'5 A calc'!$A$2:$AR$398,13,FALSE)</f>
        <v>-1.0892733319995935</v>
      </c>
      <c r="G227" s="4">
        <f>VLOOKUP($B227,'5 A calc'!$A$2:$AR$398,14,FALSE)</f>
        <v>0.52713481191291622</v>
      </c>
      <c r="H227" s="4"/>
      <c r="I227" s="4"/>
      <c r="J227" s="686">
        <f>VLOOKUP($B227,'5 A calc'!$A$2:$AR$398,16,FALSE)</f>
        <v>6.4429594675743464E-6</v>
      </c>
      <c r="K227" s="27">
        <f>VLOOKUP($B227,'5 A calc'!$A$2:$AT$398,45,FALSE)</f>
        <v>26.31606241070681</v>
      </c>
      <c r="L227" s="686">
        <f>VLOOKUP($B227,'5 A calc'!$A$2:$AR$398,30,FALSE)</f>
        <v>4.6788986298833412E-6</v>
      </c>
      <c r="M227" s="27">
        <f>VLOOKUP($B227,'5 A calc'!$A$2:$AT$398,46,FALSE)</f>
        <v>9.9413455012810044</v>
      </c>
    </row>
    <row r="228" spans="1:13" x14ac:dyDescent="0.2">
      <c r="A228">
        <f>VLOOKUP(B228,'5 A data'!A227:G696,7,FALSE)</f>
        <v>2</v>
      </c>
      <c r="B228">
        <v>352</v>
      </c>
      <c r="D228" s="46" t="s">
        <v>545</v>
      </c>
      <c r="E228">
        <f>VLOOKUP($B228,'5 A calc'!$A$2:$AR$398,4,FALSE)</f>
        <v>10</v>
      </c>
      <c r="F228" s="4">
        <f>VLOOKUP($B228,'5 A calc'!$A$2:$AR$398,13,FALSE)</f>
        <v>-0.95136278792662621</v>
      </c>
      <c r="G228" s="4">
        <f>VLOOKUP($B228,'5 A calc'!$A$2:$AR$398,14,FALSE)</f>
        <v>0.44267540775431174</v>
      </c>
      <c r="H228" s="4"/>
      <c r="I228" s="4"/>
      <c r="J228" s="686">
        <f>VLOOKUP($B228,'5 A calc'!$A$2:$AR$398,16,FALSE)</f>
        <v>5.0170517941146892E-6</v>
      </c>
      <c r="K228" s="27">
        <f>VLOOKUP($B228,'5 A calc'!$A$2:$AT$398,45,FALSE)</f>
        <v>38.265350164989712</v>
      </c>
      <c r="L228" s="686">
        <f>VLOOKUP($B228,'5 A calc'!$A$2:$AR$398,30,FALSE)</f>
        <v>2.600738521505678E-6</v>
      </c>
      <c r="M228" s="27">
        <f>VLOOKUP($B228,'5 A calc'!$A$2:$AT$398,46,FALSE)</f>
        <v>16.586629386739094</v>
      </c>
    </row>
    <row r="229" spans="1:13" x14ac:dyDescent="0.2">
      <c r="A229">
        <f>VLOOKUP(B229,'5 A data'!A228:G697,7,FALSE)</f>
        <v>2</v>
      </c>
      <c r="B229">
        <v>353</v>
      </c>
      <c r="D229" s="46" t="s">
        <v>545</v>
      </c>
      <c r="E229">
        <f>VLOOKUP($B229,'5 A calc'!$A$2:$AR$398,4,FALSE)</f>
        <v>20</v>
      </c>
      <c r="F229" s="4">
        <f>VLOOKUP($B229,'5 A calc'!$A$2:$AR$398,13,FALSE)</f>
        <v>-0.84743201945303848</v>
      </c>
      <c r="G229" s="4">
        <f>VLOOKUP($B229,'5 A calc'!$A$2:$AR$398,14,FALSE)</f>
        <v>0.38151861073030047</v>
      </c>
      <c r="H229" s="4"/>
      <c r="I229" s="4"/>
      <c r="J229" s="686">
        <f>VLOOKUP($B229,'5 A calc'!$A$2:$AR$398,16,FALSE)</f>
        <v>4.17832023036102E-6</v>
      </c>
      <c r="K229" s="27">
        <f>VLOOKUP($B229,'5 A calc'!$A$2:$AT$398,45,FALSE)</f>
        <v>36.657700403051521</v>
      </c>
      <c r="L229" s="686">
        <f>VLOOKUP($B229,'5 A calc'!$A$2:$AR$398,30,FALSE)</f>
        <v>1.9770475075939077E-6</v>
      </c>
      <c r="M229" s="27">
        <f>VLOOKUP($B229,'5 A calc'!$A$2:$AT$398,46,FALSE)</f>
        <v>53.09445811850042</v>
      </c>
    </row>
    <row r="230" spans="1:13" x14ac:dyDescent="0.2">
      <c r="A230">
        <f>VLOOKUP(B230,'5 A data'!A229:G698,7,FALSE)</f>
        <v>2</v>
      </c>
      <c r="B230">
        <v>354</v>
      </c>
      <c r="D230" s="46" t="s">
        <v>545</v>
      </c>
      <c r="E230">
        <f>VLOOKUP($B230,'5 A calc'!$A$2:$AR$398,4,FALSE)</f>
        <v>40</v>
      </c>
      <c r="F230" s="4">
        <f>VLOOKUP($B230,'5 A calc'!$A$2:$AR$398,13,FALSE)</f>
        <v>-0.76548999768232906</v>
      </c>
      <c r="G230" s="4">
        <f>VLOOKUP($B230,'5 A calc'!$A$2:$AR$398,14,FALSE)</f>
        <v>0.33492266577744628</v>
      </c>
      <c r="H230" s="4"/>
      <c r="I230" s="4"/>
      <c r="J230" s="686">
        <f>VLOOKUP($B230,'5 A calc'!$A$2:$AR$398,16,FALSE)</f>
        <v>3.3964590328801363E-6</v>
      </c>
      <c r="K230" s="27">
        <f>VLOOKUP($B230,'5 A calc'!$A$2:$AT$398,45,FALSE)</f>
        <v>38.659909732018328</v>
      </c>
      <c r="L230" s="686">
        <f>VLOOKUP($B230,'5 A calc'!$A$2:$AR$398,30,FALSE)</f>
        <v>1.6849048737447556E-6</v>
      </c>
      <c r="M230" s="27">
        <f>VLOOKUP($B230,'5 A calc'!$A$2:$AT$398,46,FALSE)</f>
        <v>52.499330597885681</v>
      </c>
    </row>
    <row r="231" spans="1:13" x14ac:dyDescent="0.2">
      <c r="A231">
        <f>VLOOKUP(B231,'5 A data'!A230:G699,7,FALSE)</f>
        <v>2</v>
      </c>
      <c r="B231">
        <v>355</v>
      </c>
      <c r="D231" s="46" t="s">
        <v>545</v>
      </c>
      <c r="E231">
        <f>VLOOKUP($B231,'5 A calc'!$A$2:$AR$398,4,FALSE)</f>
        <v>60</v>
      </c>
      <c r="F231" s="4">
        <f>VLOOKUP($B231,'5 A calc'!$A$2:$AR$398,13,FALSE)</f>
        <v>-0.72351982341477872</v>
      </c>
      <c r="G231" s="4">
        <f>VLOOKUP($B231,'5 A calc'!$A$2:$AR$398,14,FALSE)</f>
        <v>0.29123765872743412</v>
      </c>
      <c r="H231" s="4"/>
      <c r="I231" s="4"/>
      <c r="J231" s="686">
        <f>VLOOKUP($B231,'5 A calc'!$A$2:$AR$398,16,FALSE)</f>
        <v>2.9709098248278708E-6</v>
      </c>
      <c r="K231" s="27">
        <f>VLOOKUP($B231,'5 A calc'!$A$2:$AT$398,45,FALSE)</f>
        <v>42.291164682130272</v>
      </c>
      <c r="L231" s="686">
        <f>VLOOKUP($B231,'5 A calc'!$A$2:$AR$398,30,FALSE)</f>
        <v>1.6017059195029239E-6</v>
      </c>
      <c r="M231" s="27">
        <f>VLOOKUP($B231,'5 A calc'!$A$2:$AT$398,46,FALSE)</f>
        <v>48.978667479860043</v>
      </c>
    </row>
    <row r="232" spans="1:13" x14ac:dyDescent="0.2">
      <c r="A232">
        <f>VLOOKUP(B232,'5 A data'!A231:G700,7,FALSE)</f>
        <v>2</v>
      </c>
      <c r="B232">
        <v>356</v>
      </c>
      <c r="D232" s="46" t="s">
        <v>545</v>
      </c>
      <c r="E232">
        <f>VLOOKUP($B232,'5 A calc'!$A$2:$AR$398,4,FALSE)</f>
        <v>100</v>
      </c>
      <c r="F232" s="4">
        <f>VLOOKUP($B232,'5 A calc'!$A$2:$AR$398,13,FALSE)</f>
        <v>-0.65556793556105675</v>
      </c>
      <c r="G232" s="4">
        <f>VLOOKUP($B232,'5 A calc'!$A$2:$AR$398,14,FALSE)</f>
        <v>0.20678215571252589</v>
      </c>
      <c r="H232" s="4"/>
      <c r="I232" s="4"/>
      <c r="J232" s="686">
        <f>VLOOKUP($B232,'5 A calc'!$A$2:$AR$398,16,FALSE)</f>
        <v>2.4131313466023584E-6</v>
      </c>
      <c r="K232" s="27">
        <f>VLOOKUP($B232,'5 A calc'!$A$2:$AT$398,45,FALSE)</f>
        <v>59.567261398457461</v>
      </c>
      <c r="L232" s="686">
        <f>VLOOKUP($B232,'5 A calc'!$A$2:$AR$398,30,FALSE)</f>
        <v>1.6933288916776063E-6</v>
      </c>
      <c r="M232" s="27">
        <f>VLOOKUP($B232,'5 A calc'!$A$2:$AT$398,46,FALSE)</f>
        <v>45.732629829898706</v>
      </c>
    </row>
    <row r="233" spans="1:13" x14ac:dyDescent="0.2">
      <c r="A233">
        <f>VLOOKUP(B233,'5 A data'!A232:G701,7,FALSE)</f>
        <v>2</v>
      </c>
      <c r="B233">
        <v>357</v>
      </c>
      <c r="D233" s="46" t="s">
        <v>545</v>
      </c>
      <c r="E233">
        <f>VLOOKUP($B233,'5 A calc'!$A$2:$AR$398,4,FALSE)</f>
        <v>120</v>
      </c>
      <c r="F233" s="4">
        <f>VLOOKUP($B233,'5 A calc'!$A$2:$AR$398,13,FALSE)</f>
        <v>-0.62358985648345711</v>
      </c>
      <c r="G233" s="4">
        <f>VLOOKUP($B233,'5 A calc'!$A$2:$AR$398,14,FALSE)</f>
        <v>0.17765917434697429</v>
      </c>
      <c r="H233" s="4"/>
      <c r="I233" s="4"/>
      <c r="J233" s="686">
        <f>VLOOKUP($B233,'5 A calc'!$A$2:$AR$398,16,FALSE)</f>
        <v>2.2681305202526645E-6</v>
      </c>
      <c r="K233" s="27">
        <f>VLOOKUP($B233,'5 A calc'!$A$2:$AT$398,45,FALSE)</f>
        <v>68.00069900375496</v>
      </c>
      <c r="L233" s="686">
        <f>VLOOKUP($B233,'5 A calc'!$A$2:$AR$398,30,FALSE)</f>
        <v>1.7092397901526349E-6</v>
      </c>
      <c r="M233" s="27">
        <f>VLOOKUP($B233,'5 A calc'!$A$2:$AT$398,46,FALSE)</f>
        <v>47.345132453902309</v>
      </c>
    </row>
    <row r="234" spans="1:13" x14ac:dyDescent="0.2">
      <c r="F234" s="4"/>
      <c r="G234" s="4"/>
      <c r="H234" s="4"/>
      <c r="I234" s="4"/>
      <c r="J234" s="686"/>
      <c r="K234" s="27"/>
      <c r="L234" s="686"/>
    </row>
    <row r="235" spans="1:13" x14ac:dyDescent="0.2">
      <c r="A235">
        <f>VLOOKUP(B235,'5 A data'!A234:G703,7,FALSE)</f>
        <v>1</v>
      </c>
      <c r="B235">
        <v>359</v>
      </c>
      <c r="D235" s="46" t="s">
        <v>543</v>
      </c>
      <c r="E235">
        <f>VLOOKUP($B235,'5 A calc'!$A$2:$AR$398,4,FALSE)</f>
        <v>5</v>
      </c>
      <c r="F235" s="4">
        <f>VLOOKUP($B235,'5 A calc'!$A$2:$AR$398,13,FALSE)</f>
        <v>-0.22881825974298789</v>
      </c>
      <c r="G235" s="4">
        <f>VLOOKUP($B235,'5 A calc'!$A$2:$AR$398,14,FALSE)</f>
        <v>0.37860643686156914</v>
      </c>
      <c r="H235" s="4"/>
      <c r="I235" s="4"/>
      <c r="J235" s="686">
        <f>VLOOKUP($B235,'5 A calc'!$A$2:$AR$398,16,FALSE)</f>
        <v>6.4429594675743464E-6</v>
      </c>
      <c r="K235" s="27">
        <f>VLOOKUP($B235,'5 A calc'!$A$2:$AT$398,45,FALSE)</f>
        <v>26.31606241070681</v>
      </c>
      <c r="L235" s="686">
        <f>VLOOKUP($B235,'5 A calc'!$A$2:$AR$398,30,FALSE)</f>
        <v>4.6788986298833412E-6</v>
      </c>
      <c r="M235" s="27">
        <f>VLOOKUP($B235,'5 A calc'!$A$2:$AT$398,46,FALSE)</f>
        <v>9.9413455012810044</v>
      </c>
    </row>
    <row r="236" spans="1:13" x14ac:dyDescent="0.2">
      <c r="A236">
        <f>VLOOKUP(B236,'5 A data'!A235:G704,7,FALSE)</f>
        <v>1</v>
      </c>
      <c r="B236">
        <v>360</v>
      </c>
      <c r="D236" s="46" t="s">
        <v>543</v>
      </c>
      <c r="E236">
        <f>VLOOKUP($B236,'5 A calc'!$A$2:$AR$398,4,FALSE)</f>
        <v>10</v>
      </c>
      <c r="F236" s="4">
        <f>VLOOKUP($B236,'5 A calc'!$A$2:$AR$398,13,FALSE)</f>
        <v>-0.18684695717598376</v>
      </c>
      <c r="G236" s="4">
        <f>VLOOKUP($B236,'5 A calc'!$A$2:$AR$398,14,FALSE)</f>
        <v>0.30434015648099838</v>
      </c>
      <c r="H236" s="4"/>
      <c r="I236" s="4"/>
      <c r="J236" s="686">
        <f>VLOOKUP($B236,'5 A calc'!$A$2:$AR$398,16,FALSE)</f>
        <v>5.0170517941146892E-6</v>
      </c>
      <c r="K236" s="27">
        <f>VLOOKUP($B236,'5 A calc'!$A$2:$AT$398,45,FALSE)</f>
        <v>38.265350164989712</v>
      </c>
      <c r="L236" s="686">
        <f>VLOOKUP($B236,'5 A calc'!$A$2:$AR$398,30,FALSE)</f>
        <v>2.600738521505678E-6</v>
      </c>
      <c r="M236" s="27">
        <f>VLOOKUP($B236,'5 A calc'!$A$2:$AT$398,46,FALSE)</f>
        <v>16.586629386739094</v>
      </c>
    </row>
    <row r="237" spans="1:13" x14ac:dyDescent="0.2">
      <c r="A237">
        <f>VLOOKUP(B237,'5 A data'!A236:G705,7,FALSE)</f>
        <v>1</v>
      </c>
      <c r="B237">
        <v>361</v>
      </c>
      <c r="D237" s="46" t="s">
        <v>543</v>
      </c>
      <c r="E237">
        <f>VLOOKUP($B237,'5 A calc'!$A$2:$AR$398,4,FALSE)</f>
        <v>20</v>
      </c>
      <c r="F237" s="4">
        <f>VLOOKUP($B237,'5 A calc'!$A$2:$AR$398,13,FALSE)</f>
        <v>-0.15686935402990917</v>
      </c>
      <c r="G237" s="4">
        <f>VLOOKUP($B237,'5 A calc'!$A$2:$AR$398,14,FALSE)</f>
        <v>0.24463951999670613</v>
      </c>
      <c r="H237" s="4"/>
      <c r="I237" s="4"/>
      <c r="J237" s="686">
        <f>VLOOKUP($B237,'5 A calc'!$A$2:$AR$398,16,FALSE)</f>
        <v>4.17832023036102E-6</v>
      </c>
      <c r="K237" s="27">
        <f>VLOOKUP($B237,'5 A calc'!$A$2:$AT$398,45,FALSE)</f>
        <v>36.657700403051521</v>
      </c>
      <c r="L237" s="686">
        <f>VLOOKUP($B237,'5 A calc'!$A$2:$AR$398,30,FALSE)</f>
        <v>1.9770475075939077E-6</v>
      </c>
      <c r="M237" s="27">
        <f>VLOOKUP($B237,'5 A calc'!$A$2:$AT$398,46,FALSE)</f>
        <v>53.09445811850042</v>
      </c>
    </row>
    <row r="238" spans="1:13" x14ac:dyDescent="0.2">
      <c r="A238">
        <f>VLOOKUP(B238,'5 A data'!A237:G706,7,FALSE)</f>
        <v>1</v>
      </c>
      <c r="B238">
        <v>362</v>
      </c>
      <c r="D238" s="46" t="s">
        <v>543</v>
      </c>
      <c r="E238">
        <f>VLOOKUP($B238,'5 A calc'!$A$2:$AR$398,4,FALSE)</f>
        <v>40</v>
      </c>
      <c r="F238" s="4">
        <f>VLOOKUP($B238,'5 A calc'!$A$2:$AR$398,13,FALSE)</f>
        <v>-0.13888682659650839</v>
      </c>
      <c r="G238" s="4">
        <f>VLOOKUP($B238,'5 A calc'!$A$2:$AR$398,14,FALSE)</f>
        <v>0.20969285936160462</v>
      </c>
      <c r="H238" s="4"/>
      <c r="I238" s="4"/>
      <c r="J238" s="686">
        <f>VLOOKUP($B238,'5 A calc'!$A$2:$AR$398,16,FALSE)</f>
        <v>3.3964590328801363E-6</v>
      </c>
      <c r="K238" s="27">
        <f>VLOOKUP($B238,'5 A calc'!$A$2:$AT$398,45,FALSE)</f>
        <v>38.659909732018328</v>
      </c>
      <c r="L238" s="686">
        <f>VLOOKUP($B238,'5 A calc'!$A$2:$AR$398,30,FALSE)</f>
        <v>1.6849048737447556E-6</v>
      </c>
      <c r="M238" s="27">
        <f>VLOOKUP($B238,'5 A calc'!$A$2:$AT$398,46,FALSE)</f>
        <v>52.499330597885681</v>
      </c>
    </row>
    <row r="239" spans="1:13" x14ac:dyDescent="0.2">
      <c r="A239">
        <f>VLOOKUP(B239,'5 A data'!A238:G707,7,FALSE)</f>
        <v>1</v>
      </c>
      <c r="B239">
        <v>363</v>
      </c>
      <c r="D239" s="46" t="s">
        <v>543</v>
      </c>
      <c r="E239">
        <f>VLOOKUP($B239,'5 A calc'!$A$2:$AR$398,4,FALSE)</f>
        <v>60</v>
      </c>
      <c r="F239" s="4">
        <f>VLOOKUP($B239,'5 A calc'!$A$2:$AR$398,13,FALSE)</f>
        <v>-0.12989576659663293</v>
      </c>
      <c r="G239" s="4">
        <f>VLOOKUP($B239,'5 A calc'!$A$2:$AR$398,14,FALSE)</f>
        <v>0.19513106310597425</v>
      </c>
      <c r="H239" s="4"/>
      <c r="I239" s="4"/>
      <c r="J239" s="686">
        <f>VLOOKUP($B239,'5 A calc'!$A$2:$AR$398,16,FALSE)</f>
        <v>2.9709098248278708E-6</v>
      </c>
      <c r="K239" s="27">
        <f>VLOOKUP($B239,'5 A calc'!$A$2:$AT$398,45,FALSE)</f>
        <v>42.291164682130272</v>
      </c>
      <c r="L239" s="686">
        <f>VLOOKUP($B239,'5 A calc'!$A$2:$AR$398,30,FALSE)</f>
        <v>1.6017059195029239E-6</v>
      </c>
      <c r="M239" s="27">
        <f>VLOOKUP($B239,'5 A calc'!$A$2:$AT$398,46,FALSE)</f>
        <v>48.978667479860043</v>
      </c>
    </row>
    <row r="240" spans="1:13" x14ac:dyDescent="0.2">
      <c r="A240">
        <f>VLOOKUP(B240,'5 A data'!A239:G708,7,FALSE)</f>
        <v>1</v>
      </c>
      <c r="B240">
        <v>364</v>
      </c>
      <c r="D240" s="46" t="s">
        <v>543</v>
      </c>
      <c r="E240">
        <f>VLOOKUP($B240,'5 A calc'!$A$2:$AR$398,4,FALSE)</f>
        <v>100</v>
      </c>
      <c r="F240" s="4">
        <f>VLOOKUP($B240,'5 A calc'!$A$2:$AR$398,13,FALSE)</f>
        <v>-0.12190590468413766</v>
      </c>
      <c r="G240" s="4">
        <f>VLOOKUP($B240,'5 A calc'!$A$2:$AR$398,14,FALSE)</f>
        <v>0.1776589449181441</v>
      </c>
      <c r="H240" s="4"/>
      <c r="I240" s="4"/>
      <c r="J240" s="686">
        <f>VLOOKUP($B240,'5 A calc'!$A$2:$AR$398,16,FALSE)</f>
        <v>2.4131313466023584E-6</v>
      </c>
      <c r="K240" s="27">
        <f>VLOOKUP($B240,'5 A calc'!$A$2:$AT$398,45,FALSE)</f>
        <v>59.567261398457461</v>
      </c>
      <c r="L240" s="686">
        <f>VLOOKUP($B240,'5 A calc'!$A$2:$AR$398,30,FALSE)</f>
        <v>1.6933288916776063E-6</v>
      </c>
      <c r="M240" s="27">
        <f>VLOOKUP($B240,'5 A calc'!$A$2:$AT$398,46,FALSE)</f>
        <v>45.732629829898706</v>
      </c>
    </row>
    <row r="241" spans="1:13" x14ac:dyDescent="0.2">
      <c r="A241">
        <f>VLOOKUP(B241,'5 A data'!A240:G709,7,FALSE)</f>
        <v>1</v>
      </c>
      <c r="B241">
        <v>365</v>
      </c>
      <c r="D241" s="46" t="s">
        <v>543</v>
      </c>
      <c r="E241">
        <f>VLOOKUP($B241,'5 A calc'!$A$2:$AR$398,4,FALSE)</f>
        <v>120</v>
      </c>
      <c r="F241" s="4">
        <f>VLOOKUP($B241,'5 A calc'!$A$2:$AR$398,13,FALSE)</f>
        <v>-0.1199088385771515</v>
      </c>
      <c r="G241" s="4">
        <f>VLOOKUP($B241,'5 A calc'!$A$2:$AR$398,14,FALSE)</f>
        <v>0.17329069272781703</v>
      </c>
      <c r="H241" s="4"/>
      <c r="I241" s="4"/>
      <c r="J241" s="686">
        <f>VLOOKUP($B241,'5 A calc'!$A$2:$AR$398,16,FALSE)</f>
        <v>2.2681305202526645E-6</v>
      </c>
      <c r="K241" s="27">
        <f>VLOOKUP($B241,'5 A calc'!$A$2:$AT$398,45,FALSE)</f>
        <v>68.00069900375496</v>
      </c>
      <c r="L241" s="686">
        <f>VLOOKUP($B241,'5 A calc'!$A$2:$AR$398,30,FALSE)</f>
        <v>1.7092397901526349E-6</v>
      </c>
      <c r="M241" s="27">
        <f>VLOOKUP($B241,'5 A calc'!$A$2:$AT$398,46,FALSE)</f>
        <v>47.345132453902309</v>
      </c>
    </row>
    <row r="242" spans="1:13" x14ac:dyDescent="0.2">
      <c r="F242" s="4"/>
      <c r="G242" s="4"/>
    </row>
    <row r="243" spans="1:13" x14ac:dyDescent="0.2">
      <c r="F243" s="4"/>
      <c r="G243" s="4"/>
    </row>
    <row r="244" spans="1:13" x14ac:dyDescent="0.2">
      <c r="A244">
        <f>VLOOKUP(B244,'5 A data'!A243:G712,7,FALSE)</f>
        <v>10</v>
      </c>
      <c r="B244">
        <v>369</v>
      </c>
      <c r="D244" s="46" t="s">
        <v>545</v>
      </c>
      <c r="E244">
        <f>VLOOKUP($B244,'5 A calc'!$A$2:$AR$398,4,FALSE)</f>
        <v>5</v>
      </c>
      <c r="F244" s="4">
        <f>VLOOKUP($B244,'5 A calc'!$A$2:$AR$398,13,FALSE)</f>
        <v>-1.0892733319995935</v>
      </c>
      <c r="G244" s="4">
        <f>VLOOKUP($B244,'5 A calc'!$A$2:$AR$398,14,FALSE)</f>
        <v>0.52422249083347794</v>
      </c>
      <c r="H244" s="4"/>
      <c r="I244" s="4"/>
      <c r="J244" s="686">
        <f>VLOOKUP($B244,'5 A calc'!$A$2:$AR$398,16,FALSE)</f>
        <v>6.4429594675743464E-6</v>
      </c>
      <c r="K244" s="27">
        <f>VLOOKUP($B244,'5 A calc'!$A$2:$AT$398,45,FALSE)</f>
        <v>26.31606241070681</v>
      </c>
      <c r="L244" s="686">
        <f>VLOOKUP($B244,'5 A calc'!$A$2:$AR$398,30,FALSE)</f>
        <v>4.6788986298833412E-6</v>
      </c>
      <c r="M244" s="27">
        <f>VLOOKUP($B244,'5 A calc'!$A$2:$AT$398,46,FALSE)</f>
        <v>9.9413455012810044</v>
      </c>
    </row>
    <row r="245" spans="1:13" x14ac:dyDescent="0.2">
      <c r="A245">
        <f>VLOOKUP(B245,'5 A data'!A244:G713,7,FALSE)</f>
        <v>2</v>
      </c>
      <c r="B245">
        <v>370</v>
      </c>
      <c r="D245" s="46" t="s">
        <v>545</v>
      </c>
      <c r="E245">
        <f>VLOOKUP($B245,'5 A calc'!$A$2:$AR$398,4,FALSE)</f>
        <v>10</v>
      </c>
      <c r="F245" s="4">
        <f>VLOOKUP($B245,'5 A calc'!$A$2:$AR$398,13,FALSE)</f>
        <v>-0.95136278792662621</v>
      </c>
      <c r="G245" s="4">
        <f>VLOOKUP($B245,'5 A calc'!$A$2:$AR$398,14,FALSE)</f>
        <v>0.44267540775431174</v>
      </c>
      <c r="H245" s="4"/>
      <c r="I245" s="4"/>
      <c r="J245" s="686">
        <f>VLOOKUP($B245,'5 A calc'!$A$2:$AR$398,16,FALSE)</f>
        <v>5.0170517941146892E-6</v>
      </c>
      <c r="K245" s="27">
        <f>VLOOKUP($B245,'5 A calc'!$A$2:$AT$398,45,FALSE)</f>
        <v>38.265350164989712</v>
      </c>
      <c r="L245" s="686">
        <f>VLOOKUP($B245,'5 A calc'!$A$2:$AR$398,30,FALSE)</f>
        <v>2.600738521505678E-6</v>
      </c>
      <c r="M245" s="27">
        <f>VLOOKUP($B245,'5 A calc'!$A$2:$AT$398,46,FALSE)</f>
        <v>16.586629386739094</v>
      </c>
    </row>
    <row r="246" spans="1:13" x14ac:dyDescent="0.2">
      <c r="A246">
        <f>VLOOKUP(B246,'5 A data'!A245:G714,7,FALSE)</f>
        <v>2</v>
      </c>
      <c r="B246">
        <v>371</v>
      </c>
      <c r="D246" s="46" t="s">
        <v>545</v>
      </c>
      <c r="E246">
        <f>VLOOKUP($B246,'5 A calc'!$A$2:$AR$398,4,FALSE)</f>
        <v>20</v>
      </c>
      <c r="F246" s="4">
        <f>VLOOKUP($B246,'5 A calc'!$A$2:$AR$398,13,FALSE)</f>
        <v>-0.84343455105695664</v>
      </c>
      <c r="G246" s="4">
        <f>VLOOKUP($B246,'5 A calc'!$A$2:$AR$398,14,FALSE)</f>
        <v>0.37860628965086224</v>
      </c>
      <c r="H246" s="4"/>
      <c r="I246" s="4"/>
      <c r="J246" s="686">
        <f>VLOOKUP($B246,'5 A calc'!$A$2:$AR$398,16,FALSE)</f>
        <v>4.17832023036102E-6</v>
      </c>
      <c r="K246" s="27">
        <f>VLOOKUP($B246,'5 A calc'!$A$2:$AT$398,45,FALSE)</f>
        <v>36.657700403051521</v>
      </c>
      <c r="L246" s="686">
        <f>VLOOKUP($B246,'5 A calc'!$A$2:$AR$398,30,FALSE)</f>
        <v>1.9770475075939077E-6</v>
      </c>
      <c r="M246" s="27">
        <f>VLOOKUP($B246,'5 A calc'!$A$2:$AT$398,46,FALSE)</f>
        <v>53.09445811850042</v>
      </c>
    </row>
    <row r="247" spans="1:13" x14ac:dyDescent="0.2">
      <c r="A247">
        <f>VLOOKUP(B247,'5 A data'!A246:G715,7,FALSE)</f>
        <v>2</v>
      </c>
      <c r="B247">
        <v>372</v>
      </c>
      <c r="D247" s="46" t="s">
        <v>545</v>
      </c>
      <c r="E247">
        <f>VLOOKUP($B247,'5 A calc'!$A$2:$AR$398,4,FALSE)</f>
        <v>40</v>
      </c>
      <c r="F247" s="4">
        <f>VLOOKUP($B247,'5 A calc'!$A$2:$AR$398,13,FALSE)</f>
        <v>-0.76149252928624722</v>
      </c>
      <c r="G247" s="4">
        <f>VLOOKUP($B247,'5 A calc'!$A$2:$AR$398,14,FALSE)</f>
        <v>0.32618570253913171</v>
      </c>
      <c r="H247" s="4"/>
      <c r="I247" s="4"/>
      <c r="J247" s="686">
        <f>VLOOKUP($B247,'5 A calc'!$A$2:$AR$398,16,FALSE)</f>
        <v>3.3964590328801363E-6</v>
      </c>
      <c r="K247" s="27">
        <f>VLOOKUP($B247,'5 A calc'!$A$2:$AT$398,45,FALSE)</f>
        <v>38.659909732018328</v>
      </c>
      <c r="L247" s="686">
        <f>VLOOKUP($B247,'5 A calc'!$A$2:$AR$398,30,FALSE)</f>
        <v>1.6849048737447556E-6</v>
      </c>
      <c r="M247" s="27">
        <f>VLOOKUP($B247,'5 A calc'!$A$2:$AT$398,46,FALSE)</f>
        <v>52.499330597885681</v>
      </c>
    </row>
    <row r="248" spans="1:13" x14ac:dyDescent="0.2">
      <c r="A248">
        <f>VLOOKUP(B248,'5 A data'!A247:G716,7,FALSE)</f>
        <v>2</v>
      </c>
      <c r="B248">
        <v>373</v>
      </c>
      <c r="D248" s="46" t="s">
        <v>545</v>
      </c>
      <c r="E248">
        <f>VLOOKUP($B248,'5 A calc'!$A$2:$AR$398,4,FALSE)</f>
        <v>60</v>
      </c>
      <c r="F248" s="4">
        <f>VLOOKUP($B248,'5 A calc'!$A$2:$AR$398,13,FALSE)</f>
        <v>-0.72152108921673785</v>
      </c>
      <c r="G248" s="4">
        <f>VLOOKUP($B248,'5 A calc'!$A$2:$AR$398,14,FALSE)</f>
        <v>0.28541301656855783</v>
      </c>
      <c r="H248" s="4"/>
      <c r="I248" s="4"/>
      <c r="J248" s="686">
        <f>VLOOKUP($B248,'5 A calc'!$A$2:$AR$398,16,FALSE)</f>
        <v>2.9709098248278708E-6</v>
      </c>
      <c r="K248" s="27">
        <f>VLOOKUP($B248,'5 A calc'!$A$2:$AT$398,45,FALSE)</f>
        <v>42.291164682130272</v>
      </c>
      <c r="L248" s="686">
        <f>VLOOKUP($B248,'5 A calc'!$A$2:$AR$398,30,FALSE)</f>
        <v>1.6017059195029239E-6</v>
      </c>
      <c r="M248" s="27">
        <f>VLOOKUP($B248,'5 A calc'!$A$2:$AT$398,46,FALSE)</f>
        <v>48.978667479860043</v>
      </c>
    </row>
    <row r="249" spans="1:13" x14ac:dyDescent="0.2">
      <c r="A249">
        <f>VLOOKUP(B249,'5 A data'!A248:G717,7,FALSE)</f>
        <v>2</v>
      </c>
      <c r="B249">
        <v>374</v>
      </c>
      <c r="D249" s="46" t="s">
        <v>545</v>
      </c>
      <c r="E249">
        <f>VLOOKUP($B249,'5 A calc'!$A$2:$AR$398,4,FALSE)</f>
        <v>100</v>
      </c>
      <c r="F249" s="4">
        <f>VLOOKUP($B249,'5 A calc'!$A$2:$AR$398,13,FALSE)</f>
        <v>-0.65356920136301588</v>
      </c>
      <c r="G249" s="4">
        <f>VLOOKUP($B249,'5 A calc'!$A$2:$AR$398,14,FALSE)</f>
        <v>0.20095751355364952</v>
      </c>
      <c r="H249" s="4"/>
      <c r="I249" s="4"/>
      <c r="J249" s="686">
        <f>VLOOKUP($B249,'5 A calc'!$A$2:$AR$398,16,FALSE)</f>
        <v>2.4131313466023584E-6</v>
      </c>
      <c r="K249" s="27">
        <f>VLOOKUP($B249,'5 A calc'!$A$2:$AT$398,45,FALSE)</f>
        <v>59.567261398457461</v>
      </c>
      <c r="L249" s="686">
        <f>VLOOKUP($B249,'5 A calc'!$A$2:$AR$398,30,FALSE)</f>
        <v>1.6933288916776063E-6</v>
      </c>
      <c r="M249" s="27">
        <f>VLOOKUP($B249,'5 A calc'!$A$2:$AT$398,46,FALSE)</f>
        <v>45.732629829898706</v>
      </c>
    </row>
    <row r="250" spans="1:13" x14ac:dyDescent="0.2">
      <c r="A250">
        <f>VLOOKUP(B250,'5 A data'!A249:G718,7,FALSE)</f>
        <v>2</v>
      </c>
      <c r="B250">
        <v>375</v>
      </c>
      <c r="D250" s="46" t="s">
        <v>545</v>
      </c>
      <c r="E250">
        <f>VLOOKUP($B250,'5 A calc'!$A$2:$AR$398,4,FALSE)</f>
        <v>120</v>
      </c>
      <c r="F250" s="4">
        <f>VLOOKUP($B250,'5 A calc'!$A$2:$AR$398,13,FALSE)</f>
        <v>-0.62159112228541624</v>
      </c>
      <c r="G250" s="4">
        <f>VLOOKUP($B250,'5 A calc'!$A$2:$AR$398,14,FALSE)</f>
        <v>0.17474685326753611</v>
      </c>
      <c r="H250" s="4"/>
      <c r="I250" s="4"/>
      <c r="J250" s="686">
        <f>VLOOKUP($B250,'5 A calc'!$A$2:$AR$398,16,FALSE)</f>
        <v>2.2681305202526645E-6</v>
      </c>
      <c r="K250" s="27">
        <f>VLOOKUP($B250,'5 A calc'!$A$2:$AT$398,45,FALSE)</f>
        <v>68.00069900375496</v>
      </c>
      <c r="L250" s="686">
        <f>VLOOKUP($B250,'5 A calc'!$A$2:$AR$398,30,FALSE)</f>
        <v>1.7092397901526349E-6</v>
      </c>
      <c r="M250" s="27">
        <f>VLOOKUP($B250,'5 A calc'!$A$2:$AT$398,46,FALSE)</f>
        <v>47.345132453902309</v>
      </c>
    </row>
    <row r="251" spans="1:13" x14ac:dyDescent="0.2">
      <c r="F251" s="4"/>
      <c r="G251" s="4"/>
      <c r="H251" s="4"/>
      <c r="I251" s="4"/>
      <c r="J251" s="686"/>
      <c r="K251" s="27"/>
      <c r="L251" s="686"/>
    </row>
    <row r="252" spans="1:13" x14ac:dyDescent="0.2">
      <c r="A252">
        <f>VLOOKUP(B252,'5 A data'!A251:G720,7,FALSE)</f>
        <v>1</v>
      </c>
      <c r="B252">
        <v>377</v>
      </c>
      <c r="D252" s="46" t="s">
        <v>543</v>
      </c>
      <c r="E252">
        <f>VLOOKUP($B252,'5 A calc'!$A$2:$AR$398,4,FALSE)</f>
        <v>5</v>
      </c>
      <c r="F252" s="4">
        <f>VLOOKUP($B252,'5 A calc'!$A$2:$AR$398,13,FALSE)</f>
        <v>-0.22582015844592657</v>
      </c>
      <c r="G252" s="4">
        <f>VLOOKUP($B252,'5 A calc'!$A$2:$AR$398,14,FALSE)</f>
        <v>0.39316804225876012</v>
      </c>
      <c r="H252" s="4"/>
      <c r="I252" s="4"/>
      <c r="J252" s="686">
        <f>VLOOKUP($B252,'5 A calc'!$A$2:$AR$398,16,FALSE)</f>
        <v>6.4429594675743464E-6</v>
      </c>
      <c r="K252" s="27">
        <f>VLOOKUP($B252,'5 A calc'!$A$2:$AT$398,45,FALSE)</f>
        <v>26.31606241070681</v>
      </c>
      <c r="L252" s="686">
        <f>VLOOKUP($B252,'5 A calc'!$A$2:$AR$398,30,FALSE)</f>
        <v>4.6788986298833412E-6</v>
      </c>
      <c r="M252" s="27">
        <f>VLOOKUP($B252,'5 A calc'!$A$2:$AT$398,46,FALSE)</f>
        <v>9.9413455012810044</v>
      </c>
    </row>
    <row r="253" spans="1:13" x14ac:dyDescent="0.2">
      <c r="A253">
        <f>VLOOKUP(B253,'5 A data'!A252:G721,7,FALSE)</f>
        <v>1</v>
      </c>
      <c r="B253">
        <v>378</v>
      </c>
      <c r="D253" s="46" t="s">
        <v>543</v>
      </c>
      <c r="E253">
        <f>VLOOKUP($B253,'5 A calc'!$A$2:$AR$398,4,FALSE)</f>
        <v>10</v>
      </c>
      <c r="F253" s="4">
        <f>VLOOKUP($B253,'5 A calc'!$A$2:$AR$398,13,FALSE)</f>
        <v>-0.18284948877990198</v>
      </c>
      <c r="G253" s="4">
        <f>VLOOKUP($B253,'5 A calc'!$A$2:$AR$398,14,FALSE)</f>
        <v>0.29705935378240289</v>
      </c>
      <c r="H253" s="4"/>
      <c r="I253" s="4"/>
      <c r="J253" s="686">
        <f>VLOOKUP($B253,'5 A calc'!$A$2:$AR$398,16,FALSE)</f>
        <v>5.0170517941146892E-6</v>
      </c>
      <c r="K253" s="27">
        <f>VLOOKUP($B253,'5 A calc'!$A$2:$AT$398,45,FALSE)</f>
        <v>38.265350164989712</v>
      </c>
      <c r="L253" s="686">
        <f>VLOOKUP($B253,'5 A calc'!$A$2:$AR$398,30,FALSE)</f>
        <v>2.600738521505678E-6</v>
      </c>
      <c r="M253" s="27">
        <f>VLOOKUP($B253,'5 A calc'!$A$2:$AT$398,46,FALSE)</f>
        <v>16.586629386739094</v>
      </c>
    </row>
    <row r="254" spans="1:13" x14ac:dyDescent="0.2">
      <c r="A254">
        <f>VLOOKUP(B254,'5 A data'!A253:G722,7,FALSE)</f>
        <v>1</v>
      </c>
      <c r="B254">
        <v>379</v>
      </c>
      <c r="D254" s="46" t="s">
        <v>543</v>
      </c>
      <c r="E254">
        <f>VLOOKUP($B254,'5 A calc'!$A$2:$AR$398,4,FALSE)</f>
        <v>20</v>
      </c>
      <c r="F254" s="4">
        <f>VLOOKUP($B254,'5 A calc'!$A$2:$AR$398,13,FALSE)</f>
        <v>-0.15686935402990917</v>
      </c>
      <c r="G254" s="4">
        <f>VLOOKUP($B254,'5 A calc'!$A$2:$AR$398,14,FALSE)</f>
        <v>0.24172719891726796</v>
      </c>
      <c r="H254" s="4"/>
      <c r="I254" s="4"/>
      <c r="J254" s="686">
        <f>VLOOKUP($B254,'5 A calc'!$A$2:$AR$398,16,FALSE)</f>
        <v>4.17832023036102E-6</v>
      </c>
      <c r="K254" s="27">
        <f>VLOOKUP($B254,'5 A calc'!$A$2:$AT$398,45,FALSE)</f>
        <v>36.657700403051521</v>
      </c>
      <c r="L254" s="686">
        <f>VLOOKUP($B254,'5 A calc'!$A$2:$AR$398,30,FALSE)</f>
        <v>1.9770475075939077E-6</v>
      </c>
      <c r="M254" s="27">
        <f>VLOOKUP($B254,'5 A calc'!$A$2:$AT$398,46,FALSE)</f>
        <v>53.09445811850042</v>
      </c>
    </row>
    <row r="255" spans="1:13" x14ac:dyDescent="0.2">
      <c r="A255">
        <f>VLOOKUP(B255,'5 A data'!A254:G723,7,FALSE)</f>
        <v>1</v>
      </c>
      <c r="B255">
        <v>380</v>
      </c>
      <c r="D255" s="46" t="s">
        <v>543</v>
      </c>
      <c r="E255">
        <f>VLOOKUP($B255,'5 A calc'!$A$2:$AR$398,4,FALSE)</f>
        <v>40</v>
      </c>
      <c r="F255" s="4">
        <f>VLOOKUP($B255,'5 A calc'!$A$2:$AR$398,13,FALSE)</f>
        <v>-0.1368880923984675</v>
      </c>
      <c r="G255" s="4">
        <f>VLOOKUP($B255,'5 A calc'!$A$2:$AR$398,14,FALSE)</f>
        <v>0.20386821720272824</v>
      </c>
      <c r="H255" s="4"/>
      <c r="I255" s="4"/>
      <c r="J255" s="686">
        <f>VLOOKUP($B255,'5 A calc'!$A$2:$AR$398,16,FALSE)</f>
        <v>3.3964590328801363E-6</v>
      </c>
      <c r="K255" s="27">
        <f>VLOOKUP($B255,'5 A calc'!$A$2:$AT$398,45,FALSE)</f>
        <v>38.659909732018328</v>
      </c>
      <c r="L255" s="686">
        <f>VLOOKUP($B255,'5 A calc'!$A$2:$AR$398,30,FALSE)</f>
        <v>1.6849048737447556E-6</v>
      </c>
      <c r="M255" s="27">
        <f>VLOOKUP($B255,'5 A calc'!$A$2:$AT$398,46,FALSE)</f>
        <v>52.499330597885681</v>
      </c>
    </row>
    <row r="256" spans="1:13" x14ac:dyDescent="0.2">
      <c r="A256">
        <f>VLOOKUP(B256,'5 A data'!A255:G724,7,FALSE)</f>
        <v>1</v>
      </c>
      <c r="B256">
        <v>381</v>
      </c>
      <c r="D256" s="46" t="s">
        <v>543</v>
      </c>
      <c r="E256">
        <f>VLOOKUP($B256,'5 A calc'!$A$2:$AR$398,4,FALSE)</f>
        <v>60</v>
      </c>
      <c r="F256" s="4">
        <f>VLOOKUP($B256,'5 A calc'!$A$2:$AR$398,13,FALSE)</f>
        <v>-0.12939608304712269</v>
      </c>
      <c r="G256" s="4">
        <f>VLOOKUP($B256,'5 A calc'!$A$2:$AR$398,14,FALSE)</f>
        <v>0.19076258148681702</v>
      </c>
      <c r="H256" s="4"/>
      <c r="I256" s="4"/>
      <c r="J256" s="686">
        <f>VLOOKUP($B256,'5 A calc'!$A$2:$AR$398,16,FALSE)</f>
        <v>2.9709098248278708E-6</v>
      </c>
      <c r="K256" s="27">
        <f>VLOOKUP($B256,'5 A calc'!$A$2:$AT$398,45,FALSE)</f>
        <v>42.291164682130272</v>
      </c>
      <c r="L256" s="686">
        <f>VLOOKUP($B256,'5 A calc'!$A$2:$AR$398,30,FALSE)</f>
        <v>1.6017059195029239E-6</v>
      </c>
      <c r="M256" s="27">
        <f>VLOOKUP($B256,'5 A calc'!$A$2:$AT$398,46,FALSE)</f>
        <v>48.978667479860043</v>
      </c>
    </row>
    <row r="257" spans="1:13" x14ac:dyDescent="0.2">
      <c r="A257">
        <f>VLOOKUP(B257,'5 A data'!A256:G725,7,FALSE)</f>
        <v>1</v>
      </c>
      <c r="B257">
        <v>382</v>
      </c>
      <c r="D257" s="46" t="s">
        <v>543</v>
      </c>
      <c r="E257">
        <f>VLOOKUP($B257,'5 A calc'!$A$2:$AR$398,4,FALSE)</f>
        <v>100</v>
      </c>
      <c r="F257" s="4">
        <f>VLOOKUP($B257,'5 A calc'!$A$2:$AR$398,13,FALSE)</f>
        <v>-0.120406854035607</v>
      </c>
      <c r="G257" s="4">
        <f>VLOOKUP($B257,'5 A calc'!$A$2:$AR$398,14,FALSE)</f>
        <v>0.17620278437842499</v>
      </c>
      <c r="H257" s="4"/>
      <c r="I257" s="4"/>
      <c r="J257" s="686">
        <f>VLOOKUP($B257,'5 A calc'!$A$2:$AR$398,16,FALSE)</f>
        <v>2.4131313466023584E-6</v>
      </c>
      <c r="K257" s="27">
        <f>VLOOKUP($B257,'5 A calc'!$A$2:$AT$398,45,FALSE)</f>
        <v>59.567261398457461</v>
      </c>
      <c r="L257" s="686">
        <f>VLOOKUP($B257,'5 A calc'!$A$2:$AR$398,30,FALSE)</f>
        <v>1.6933288916776063E-6</v>
      </c>
      <c r="M257" s="27">
        <f>VLOOKUP($B257,'5 A calc'!$A$2:$AT$398,46,FALSE)</f>
        <v>45.732629829898706</v>
      </c>
    </row>
    <row r="258" spans="1:13" x14ac:dyDescent="0.2">
      <c r="A258">
        <f>VLOOKUP(B258,'5 A data'!A257:G726,7,FALSE)</f>
        <v>1</v>
      </c>
      <c r="B258">
        <v>383</v>
      </c>
      <c r="D258" s="46" t="s">
        <v>543</v>
      </c>
      <c r="E258">
        <f>VLOOKUP($B258,'5 A calc'!$A$2:$AR$398,4,FALSE)</f>
        <v>120</v>
      </c>
      <c r="F258" s="4">
        <f>VLOOKUP($B258,'5 A calc'!$A$2:$AR$398,13,FALSE)</f>
        <v>-0.11791010437911061</v>
      </c>
      <c r="G258" s="4">
        <f>VLOOKUP($B258,'5 A calc'!$A$2:$AR$398,14,FALSE)</f>
        <v>0.17183453218809797</v>
      </c>
      <c r="H258" s="4"/>
      <c r="I258" s="4"/>
      <c r="J258" s="686">
        <f>VLOOKUP($B258,'5 A calc'!$A$2:$AR$398,16,FALSE)</f>
        <v>2.2681305202526645E-6</v>
      </c>
      <c r="K258" s="27">
        <f>VLOOKUP($B258,'5 A calc'!$A$2:$AT$398,45,FALSE)</f>
        <v>68.00069900375496</v>
      </c>
      <c r="L258" s="686">
        <f>VLOOKUP($B258,'5 A calc'!$A$2:$AR$398,30,FALSE)</f>
        <v>1.7092397901526349E-6</v>
      </c>
      <c r="M258" s="27">
        <f>VLOOKUP($B258,'5 A calc'!$A$2:$AT$398,46,FALSE)</f>
        <v>47.345132453902309</v>
      </c>
    </row>
    <row r="259" spans="1:13" x14ac:dyDescent="0.2">
      <c r="F259" s="4"/>
      <c r="G259" s="4"/>
    </row>
    <row r="260" spans="1:13" x14ac:dyDescent="0.2">
      <c r="F260" s="4"/>
      <c r="G260" s="4"/>
    </row>
    <row r="261" spans="1:13" x14ac:dyDescent="0.2">
      <c r="A261">
        <f>VLOOKUP(B261,'5 A data'!A260:G729,7,FALSE)</f>
        <v>2</v>
      </c>
      <c r="B261">
        <v>387</v>
      </c>
      <c r="D261" s="46" t="s">
        <v>539</v>
      </c>
      <c r="E261">
        <f>VLOOKUP($B261,'5 A calc'!$A$2:$AR$398,4,FALSE)</f>
        <v>5</v>
      </c>
      <c r="F261" s="4">
        <f>VLOOKUP($B261,'5 A calc'!$A$2:$AR$398,13,FALSE)</f>
        <v>-0.68752775819337331</v>
      </c>
      <c r="G261" s="4">
        <f>VLOOKUP($B261,'5 A calc'!$A$2:$AR$398,14,FALSE)</f>
        <v>1.04844028513235</v>
      </c>
      <c r="H261" s="4"/>
      <c r="I261" s="4"/>
      <c r="J261" s="686">
        <f>VLOOKUP($B261,'5 A calc'!$A$2:$AR$398,16,FALSE)</f>
        <v>6.4429594675743464E-6</v>
      </c>
      <c r="K261" s="27">
        <f>VLOOKUP($B261,'5 A calc'!$A$2:$AT$398,45,FALSE)</f>
        <v>26.31606241070681</v>
      </c>
      <c r="L261" s="686">
        <f>VLOOKUP($B261,'5 A calc'!$A$2:$AR$398,30,FALSE)</f>
        <v>4.6788986298833412E-6</v>
      </c>
      <c r="M261" s="27">
        <f>VLOOKUP($B261,'5 A calc'!$A$2:$AT$398,46,FALSE)</f>
        <v>9.9413455012810044</v>
      </c>
    </row>
    <row r="262" spans="1:13" x14ac:dyDescent="0.2">
      <c r="A262">
        <f>VLOOKUP(B262,'5 A data'!A261:G730,7,FALSE)</f>
        <v>2</v>
      </c>
      <c r="B262">
        <v>388</v>
      </c>
      <c r="D262" s="46" t="s">
        <v>539</v>
      </c>
      <c r="E262">
        <f>VLOOKUP($B262,'5 A calc'!$A$2:$AR$398,4,FALSE)</f>
        <v>10</v>
      </c>
      <c r="F262" s="4">
        <f>VLOOKUP($B262,'5 A calc'!$A$2:$AR$398,13,FALSE)</f>
        <v>-0.61357670845771495</v>
      </c>
      <c r="G262" s="4">
        <f>VLOOKUP($B262,'5 A calc'!$A$2:$AR$398,14,FALSE)</f>
        <v>0.90864678046442038</v>
      </c>
      <c r="H262" s="4"/>
      <c r="I262" s="4"/>
      <c r="J262" s="686">
        <f>VLOOKUP($B262,'5 A calc'!$A$2:$AR$398,16,FALSE)</f>
        <v>5.0170517941146892E-6</v>
      </c>
      <c r="K262" s="27">
        <f>VLOOKUP($B262,'5 A calc'!$A$2:$AT$398,45,FALSE)</f>
        <v>38.265350164989712</v>
      </c>
      <c r="L262" s="686">
        <f>VLOOKUP($B262,'5 A calc'!$A$2:$AR$398,30,FALSE)</f>
        <v>2.600738521505678E-6</v>
      </c>
      <c r="M262" s="27">
        <f>VLOOKUP($B262,'5 A calc'!$A$2:$AT$398,46,FALSE)</f>
        <v>16.586629386739094</v>
      </c>
    </row>
    <row r="263" spans="1:13" x14ac:dyDescent="0.2">
      <c r="A263">
        <f>VLOOKUP(B263,'5 A data'!A262:G731,7,FALSE)</f>
        <v>2</v>
      </c>
      <c r="B263">
        <v>389</v>
      </c>
      <c r="D263" s="46" t="s">
        <v>539</v>
      </c>
      <c r="E263">
        <f>VLOOKUP($B263,'5 A calc'!$A$2:$AR$398,4,FALSE)</f>
        <v>20</v>
      </c>
      <c r="F263" s="4">
        <f>VLOOKUP($B263,'5 A calc'!$A$2:$AR$398,13,FALSE)</f>
        <v>-0.55761556073710872</v>
      </c>
      <c r="G263" s="4">
        <f>VLOOKUP($B263,'5 A calc'!$A$2:$AR$398,14,FALSE)</f>
        <v>0.79215588293108352</v>
      </c>
      <c r="H263" s="4"/>
      <c r="I263" s="4"/>
      <c r="J263" s="686">
        <f>VLOOKUP($B263,'5 A calc'!$A$2:$AR$398,16,FALSE)</f>
        <v>4.17832023036102E-6</v>
      </c>
      <c r="K263" s="27">
        <f>VLOOKUP($B263,'5 A calc'!$A$2:$AT$398,45,FALSE)</f>
        <v>36.657700403051521</v>
      </c>
      <c r="L263" s="686">
        <f>VLOOKUP($B263,'5 A calc'!$A$2:$AR$398,30,FALSE)</f>
        <v>1.9770475075939077E-6</v>
      </c>
      <c r="M263" s="27">
        <f>VLOOKUP($B263,'5 A calc'!$A$2:$AT$398,46,FALSE)</f>
        <v>53.09445811850042</v>
      </c>
    </row>
    <row r="264" spans="1:13" x14ac:dyDescent="0.2">
      <c r="A264">
        <f>VLOOKUP(B264,'5 A data'!A263:G732,7,FALSE)</f>
        <v>2</v>
      </c>
      <c r="B264">
        <v>390</v>
      </c>
      <c r="D264" s="46" t="s">
        <v>539</v>
      </c>
      <c r="E264">
        <f>VLOOKUP($B264,'5 A calc'!$A$2:$AR$398,4,FALSE)</f>
        <v>40</v>
      </c>
      <c r="F264" s="4">
        <f>VLOOKUP($B264,'5 A calc'!$A$2:$AR$398,13,FALSE)</f>
        <v>-0.50765328613505356</v>
      </c>
      <c r="G264" s="4">
        <f>VLOOKUP($B264,'5 A calc'!$A$2:$AR$398,14,FALSE)</f>
        <v>0.7106120850249712</v>
      </c>
      <c r="H264" s="4"/>
      <c r="I264" s="4"/>
      <c r="J264" s="686">
        <f>VLOOKUP($B264,'5 A calc'!$A$2:$AR$398,16,FALSE)</f>
        <v>3.3964590328801363E-6</v>
      </c>
      <c r="K264" s="27">
        <f>VLOOKUP($B264,'5 A calc'!$A$2:$AT$398,45,FALSE)</f>
        <v>38.659909732018328</v>
      </c>
      <c r="L264" s="686">
        <f>VLOOKUP($B264,'5 A calc'!$A$2:$AR$398,30,FALSE)</f>
        <v>1.6849048737447556E-6</v>
      </c>
      <c r="M264" s="27">
        <f>VLOOKUP($B264,'5 A calc'!$A$2:$AT$398,46,FALSE)</f>
        <v>52.499330597885681</v>
      </c>
    </row>
    <row r="265" spans="1:13" x14ac:dyDescent="0.2">
      <c r="A265">
        <f>VLOOKUP(B265,'5 A data'!A264:G733,7,FALSE)</f>
        <v>2</v>
      </c>
      <c r="B265">
        <v>391</v>
      </c>
      <c r="D265" s="46" t="s">
        <v>539</v>
      </c>
      <c r="E265">
        <f>VLOOKUP($B265,'5 A calc'!$A$2:$AR$398,4,FALSE)</f>
        <v>60</v>
      </c>
      <c r="F265" s="4">
        <f>VLOOKUP($B265,'5 A calc'!$A$2:$AR$398,13,FALSE)</f>
        <v>-0.49566412483811673</v>
      </c>
      <c r="G265" s="4">
        <f>VLOOKUP($B265,'5 A calc'!$A$2:$AR$398,14,FALSE)</f>
        <v>0.64071618826001553</v>
      </c>
      <c r="H265" s="4"/>
      <c r="I265" s="4"/>
      <c r="J265" s="686">
        <f>VLOOKUP($B265,'5 A calc'!$A$2:$AR$398,16,FALSE)</f>
        <v>2.9709098248278708E-6</v>
      </c>
      <c r="K265" s="27">
        <f>VLOOKUP($B265,'5 A calc'!$A$2:$AT$398,45,FALSE)</f>
        <v>42.291164682130272</v>
      </c>
      <c r="L265" s="686">
        <f>VLOOKUP($B265,'5 A calc'!$A$2:$AR$398,30,FALSE)</f>
        <v>1.6017059195029239E-6</v>
      </c>
      <c r="M265" s="27">
        <f>VLOOKUP($B265,'5 A calc'!$A$2:$AT$398,46,FALSE)</f>
        <v>48.978667479860043</v>
      </c>
    </row>
    <row r="266" spans="1:13" x14ac:dyDescent="0.2">
      <c r="A266">
        <f>VLOOKUP(B266,'5 A data'!A265:G734,7,FALSE)</f>
        <v>2</v>
      </c>
      <c r="B266">
        <v>392</v>
      </c>
      <c r="D266" s="46" t="s">
        <v>539</v>
      </c>
      <c r="E266">
        <f>VLOOKUP($B266,'5 A calc'!$A$2:$AR$398,4,FALSE)</f>
        <v>100</v>
      </c>
      <c r="F266" s="4">
        <f>VLOOKUP($B266,'5 A calc'!$A$2:$AR$398,13,FALSE)</f>
        <v>-0.47568185773737615</v>
      </c>
      <c r="G266" s="4">
        <f>VLOOKUP($B266,'5 A calc'!$A$2:$AR$398,14,FALSE)</f>
        <v>0.52422515337128717</v>
      </c>
      <c r="H266" s="4"/>
      <c r="I266" s="4"/>
      <c r="J266" s="686">
        <f>VLOOKUP($B266,'5 A calc'!$A$2:$AR$398,16,FALSE)</f>
        <v>2.4131313466023584E-6</v>
      </c>
      <c r="K266" s="27">
        <f>VLOOKUP($B266,'5 A calc'!$A$2:$AT$398,45,FALSE)</f>
        <v>59.567261398457461</v>
      </c>
      <c r="L266" s="686">
        <f>VLOOKUP($B266,'5 A calc'!$A$2:$AR$398,30,FALSE)</f>
        <v>1.6933288916776063E-6</v>
      </c>
      <c r="M266" s="27">
        <f>VLOOKUP($B266,'5 A calc'!$A$2:$AT$398,46,FALSE)</f>
        <v>45.732629829898706</v>
      </c>
    </row>
    <row r="267" spans="1:13" x14ac:dyDescent="0.2">
      <c r="A267">
        <f>VLOOKUP(B267,'5 A data'!A266:G735,7,FALSE)</f>
        <v>2</v>
      </c>
      <c r="B267">
        <v>393</v>
      </c>
      <c r="D267" s="46" t="s">
        <v>539</v>
      </c>
      <c r="E267">
        <f>VLOOKUP($B267,'5 A calc'!$A$2:$AR$398,4,FALSE)</f>
        <v>120</v>
      </c>
      <c r="F267" s="4">
        <f>VLOOKUP($B267,'5 A calc'!$A$2:$AR$398,13,FALSE)</f>
        <v>-0.46169238644214461</v>
      </c>
      <c r="G267" s="4">
        <f>VLOOKUP($B267,'5 A calc'!$A$2:$AR$398,14,FALSE)</f>
        <v>0.483452887687983</v>
      </c>
      <c r="H267" s="4"/>
      <c r="I267" s="4"/>
      <c r="J267" s="686">
        <f>VLOOKUP($B267,'5 A calc'!$A$2:$AR$398,16,FALSE)</f>
        <v>2.2681305202526645E-6</v>
      </c>
      <c r="K267" s="27">
        <f>VLOOKUP($B267,'5 A calc'!$A$2:$AT$398,45,FALSE)</f>
        <v>68.00069900375496</v>
      </c>
      <c r="L267" s="686">
        <f>VLOOKUP($B267,'5 A calc'!$A$2:$AR$398,30,FALSE)</f>
        <v>1.7092397901526349E-6</v>
      </c>
      <c r="M267" s="27">
        <f>VLOOKUP($B267,'5 A calc'!$A$2:$AT$398,46,FALSE)</f>
        <v>47.345132453902309</v>
      </c>
    </row>
    <row r="268" spans="1:13" x14ac:dyDescent="0.2">
      <c r="F268" s="4"/>
      <c r="G268" s="4"/>
      <c r="H268" s="4"/>
      <c r="I268" s="4"/>
      <c r="J268" s="686"/>
      <c r="K268" s="27"/>
      <c r="L268" s="686"/>
    </row>
    <row r="269" spans="1:13" x14ac:dyDescent="0.2">
      <c r="A269">
        <f>VLOOKUP(B269,'5 A data'!A268:G737,7,FALSE)</f>
        <v>1</v>
      </c>
      <c r="B269">
        <v>395</v>
      </c>
      <c r="D269" s="46" t="s">
        <v>543</v>
      </c>
      <c r="E269">
        <f>VLOOKUP($B269,'5 A calc'!$A$2:$AR$398,4,FALSE)</f>
        <v>5</v>
      </c>
      <c r="F269" s="4">
        <f>VLOOKUP($B269,'5 A calc'!$A$2:$AR$398,13,FALSE)</f>
        <v>-0.22382142424788565</v>
      </c>
      <c r="G269" s="4">
        <f>VLOOKUP($B269,'5 A calc'!$A$2:$AR$398,14,FALSE)</f>
        <v>0.39899268441763647</v>
      </c>
      <c r="H269" s="4"/>
      <c r="I269" s="4"/>
      <c r="J269" s="686">
        <f>VLOOKUP($B269,'5 A calc'!$A$2:$AR$398,16,FALSE)</f>
        <v>6.4429594675743464E-6</v>
      </c>
      <c r="K269" s="27">
        <f>VLOOKUP($B269,'5 A calc'!$A$2:$AT$398,45,FALSE)</f>
        <v>26.31606241070681</v>
      </c>
      <c r="L269" s="686">
        <f>VLOOKUP($B269,'5 A calc'!$A$2:$AR$398,30,FALSE)</f>
        <v>4.6788986298833412E-6</v>
      </c>
      <c r="M269" s="27">
        <f>VLOOKUP($B269,'5 A calc'!$A$2:$AT$398,46,FALSE)</f>
        <v>9.9413455012810044</v>
      </c>
    </row>
    <row r="270" spans="1:13" x14ac:dyDescent="0.2">
      <c r="A270">
        <f>VLOOKUP(B270,'5 A data'!A269:G738,7,FALSE)</f>
        <v>1</v>
      </c>
      <c r="B270">
        <v>396</v>
      </c>
      <c r="D270" s="46" t="s">
        <v>543</v>
      </c>
      <c r="E270">
        <f>VLOOKUP($B270,'5 A calc'!$A$2:$AR$398,4,FALSE)</f>
        <v>10</v>
      </c>
      <c r="F270" s="4">
        <f>VLOOKUP($B270,'5 A calc'!$A$2:$AR$398,13,FALSE)</f>
        <v>-0.18284948877990198</v>
      </c>
      <c r="G270" s="4">
        <f>VLOOKUP($B270,'5 A calc'!$A$2:$AR$398,14,FALSE)</f>
        <v>0.29851551432212203</v>
      </c>
      <c r="H270" s="4"/>
      <c r="I270" s="4"/>
      <c r="J270" s="686">
        <f>VLOOKUP($B270,'5 A calc'!$A$2:$AR$398,16,FALSE)</f>
        <v>5.0170517941146892E-6</v>
      </c>
      <c r="K270" s="27">
        <f>VLOOKUP($B270,'5 A calc'!$A$2:$AT$398,45,FALSE)</f>
        <v>38.265350164989712</v>
      </c>
      <c r="L270" s="686">
        <f>VLOOKUP($B270,'5 A calc'!$A$2:$AR$398,30,FALSE)</f>
        <v>2.600738521505678E-6</v>
      </c>
      <c r="M270" s="27">
        <f>VLOOKUP($B270,'5 A calc'!$A$2:$AT$398,46,FALSE)</f>
        <v>16.586629386739094</v>
      </c>
    </row>
    <row r="271" spans="1:13" x14ac:dyDescent="0.2">
      <c r="A271">
        <f>VLOOKUP(B271,'5 A data'!A270:G739,7,FALSE)</f>
        <v>1</v>
      </c>
      <c r="B271">
        <v>397</v>
      </c>
      <c r="D271" s="46" t="s">
        <v>543</v>
      </c>
      <c r="E271">
        <f>VLOOKUP($B271,'5 A calc'!$A$2:$AR$398,4,FALSE)</f>
        <v>20</v>
      </c>
      <c r="F271" s="4">
        <f>VLOOKUP($B271,'5 A calc'!$A$2:$AR$398,13,FALSE)</f>
        <v>-0.15586998693088872</v>
      </c>
      <c r="G271" s="4">
        <f>VLOOKUP($B271,'5 A calc'!$A$2:$AR$398,14,FALSE)</f>
        <v>0.24027103837754887</v>
      </c>
      <c r="H271" s="4"/>
      <c r="I271" s="4"/>
      <c r="J271" s="686">
        <f>VLOOKUP($B271,'5 A calc'!$A$2:$AR$398,16,FALSE)</f>
        <v>4.17832023036102E-6</v>
      </c>
      <c r="K271" s="27">
        <f>VLOOKUP($B271,'5 A calc'!$A$2:$AT$398,45,FALSE)</f>
        <v>36.657700403051521</v>
      </c>
      <c r="L271" s="686">
        <f>VLOOKUP($B271,'5 A calc'!$A$2:$AR$398,30,FALSE)</f>
        <v>1.9770475075939077E-6</v>
      </c>
      <c r="M271" s="27">
        <f>VLOOKUP($B271,'5 A calc'!$A$2:$AT$398,46,FALSE)</f>
        <v>53.09445811850042</v>
      </c>
    </row>
    <row r="272" spans="1:13" x14ac:dyDescent="0.2">
      <c r="A272">
        <f>VLOOKUP(B272,'5 A data'!A271:G740,7,FALSE)</f>
        <v>1</v>
      </c>
      <c r="B272">
        <v>398</v>
      </c>
      <c r="D272" s="46" t="s">
        <v>543</v>
      </c>
      <c r="E272">
        <f>VLOOKUP($B272,'5 A calc'!$A$2:$AR$398,4,FALSE)</f>
        <v>40</v>
      </c>
      <c r="F272" s="4">
        <f>VLOOKUP($B272,'5 A calc'!$A$2:$AR$398,13,FALSE)</f>
        <v>-0.13788745949748793</v>
      </c>
      <c r="G272" s="4">
        <f>VLOOKUP($B272,'5 A calc'!$A$2:$AR$398,14,FALSE)</f>
        <v>0.20532437774244733</v>
      </c>
      <c r="H272" s="4"/>
      <c r="I272" s="4"/>
      <c r="J272" s="686">
        <f>VLOOKUP($B272,'5 A calc'!$A$2:$AR$398,16,FALSE)</f>
        <v>3.3964590328801363E-6</v>
      </c>
      <c r="K272" s="27">
        <f>VLOOKUP($B272,'5 A calc'!$A$2:$AT$398,45,FALSE)</f>
        <v>38.659909732018328</v>
      </c>
      <c r="L272" s="686">
        <f>VLOOKUP($B272,'5 A calc'!$A$2:$AR$398,30,FALSE)</f>
        <v>1.6849048737447556E-6</v>
      </c>
      <c r="M272" s="27">
        <f>VLOOKUP($B272,'5 A calc'!$A$2:$AT$398,46,FALSE)</f>
        <v>52.499330597885681</v>
      </c>
    </row>
    <row r="273" spans="1:13" x14ac:dyDescent="0.2">
      <c r="A273">
        <f>VLOOKUP(B273,'5 A data'!A272:G741,7,FALSE)</f>
        <v>1</v>
      </c>
      <c r="B273">
        <v>399</v>
      </c>
      <c r="D273" s="46" t="s">
        <v>543</v>
      </c>
      <c r="E273">
        <f>VLOOKUP($B273,'5 A calc'!$A$2:$AR$398,4,FALSE)</f>
        <v>60</v>
      </c>
      <c r="F273" s="4">
        <f>VLOOKUP($B273,'5 A calc'!$A$2:$AR$398,13,FALSE)</f>
        <v>-0.12989576659663293</v>
      </c>
      <c r="G273" s="4">
        <f>VLOOKUP($B273,'5 A calc'!$A$2:$AR$398,14,FALSE)</f>
        <v>0.19076258148681702</v>
      </c>
      <c r="H273" s="4"/>
      <c r="I273" s="4"/>
      <c r="J273" s="686">
        <f>VLOOKUP($B273,'5 A calc'!$A$2:$AR$398,16,FALSE)</f>
        <v>2.9709098248278708E-6</v>
      </c>
      <c r="K273" s="27">
        <f>VLOOKUP($B273,'5 A calc'!$A$2:$AT$398,45,FALSE)</f>
        <v>42.291164682130272</v>
      </c>
      <c r="L273" s="686">
        <f>VLOOKUP($B273,'5 A calc'!$A$2:$AR$398,30,FALSE)</f>
        <v>1.6017059195029239E-6</v>
      </c>
      <c r="M273" s="27">
        <f>VLOOKUP($B273,'5 A calc'!$A$2:$AT$398,46,FALSE)</f>
        <v>48.978667479860043</v>
      </c>
    </row>
    <row r="274" spans="1:13" x14ac:dyDescent="0.2">
      <c r="A274">
        <f>VLOOKUP(B274,'5 A data'!A273:G742,7,FALSE)</f>
        <v>1</v>
      </c>
      <c r="B274">
        <v>400</v>
      </c>
      <c r="D274" s="46" t="s">
        <v>543</v>
      </c>
      <c r="E274">
        <f>VLOOKUP($B274,'5 A calc'!$A$2:$AR$398,4,FALSE)</f>
        <v>100</v>
      </c>
      <c r="F274" s="4">
        <f>VLOOKUP($B274,'5 A calc'!$A$2:$AR$398,13,FALSE)</f>
        <v>-0.12090653758511721</v>
      </c>
      <c r="G274" s="4">
        <f>VLOOKUP($B274,'5 A calc'!$A$2:$AR$398,14,FALSE)</f>
        <v>0.17474662383870593</v>
      </c>
      <c r="H274" s="4"/>
      <c r="I274" s="4"/>
      <c r="J274" s="686">
        <f>VLOOKUP($B274,'5 A calc'!$A$2:$AR$398,16,FALSE)</f>
        <v>2.4131313466023584E-6</v>
      </c>
      <c r="K274" s="27">
        <f>VLOOKUP($B274,'5 A calc'!$A$2:$AT$398,45,FALSE)</f>
        <v>59.567261398457461</v>
      </c>
      <c r="L274" s="686">
        <f>VLOOKUP($B274,'5 A calc'!$A$2:$AR$398,30,FALSE)</f>
        <v>1.6933288916776063E-6</v>
      </c>
      <c r="M274" s="27">
        <f>VLOOKUP($B274,'5 A calc'!$A$2:$AT$398,46,FALSE)</f>
        <v>45.732629829898706</v>
      </c>
    </row>
    <row r="275" spans="1:13" x14ac:dyDescent="0.2">
      <c r="A275">
        <f>VLOOKUP(B275,'5 A data'!A274:G743,7,FALSE)</f>
        <v>1</v>
      </c>
      <c r="B275">
        <v>401</v>
      </c>
      <c r="D275" s="46" t="s">
        <v>543</v>
      </c>
      <c r="E275">
        <f>VLOOKUP($B275,'5 A calc'!$A$2:$AR$398,4,FALSE)</f>
        <v>120</v>
      </c>
      <c r="F275" s="4">
        <f>VLOOKUP($B275,'5 A calc'!$A$2:$AR$398,13,FALSE)</f>
        <v>-0.11890947147813105</v>
      </c>
      <c r="G275" s="4">
        <f>VLOOKUP($B275,'5 A calc'!$A$2:$AR$398,14,FALSE)</f>
        <v>0.17183453218809797</v>
      </c>
      <c r="H275" s="4"/>
      <c r="I275" s="4"/>
      <c r="J275" s="686">
        <f>VLOOKUP($B275,'5 A calc'!$A$2:$AR$398,16,FALSE)</f>
        <v>2.2681305202526645E-6</v>
      </c>
      <c r="K275" s="27">
        <f>VLOOKUP($B275,'5 A calc'!$A$2:$AT$398,45,FALSE)</f>
        <v>68.00069900375496</v>
      </c>
      <c r="L275" s="686">
        <f>VLOOKUP($B275,'5 A calc'!$A$2:$AR$398,30,FALSE)</f>
        <v>1.7092397901526349E-6</v>
      </c>
      <c r="M275" s="27">
        <f>VLOOKUP($B275,'5 A calc'!$A$2:$AT$398,46,FALSE)</f>
        <v>47.345132453902309</v>
      </c>
    </row>
    <row r="276" spans="1:13" x14ac:dyDescent="0.2">
      <c r="F276" s="4"/>
      <c r="G276" s="4"/>
    </row>
    <row r="277" spans="1:13" x14ac:dyDescent="0.2">
      <c r="F277" s="4"/>
      <c r="G277" s="4"/>
    </row>
    <row r="278" spans="1:13" x14ac:dyDescent="0.2">
      <c r="A278">
        <f>VLOOKUP(B278,'5 A data'!A277:G746,7,FALSE)</f>
        <v>1</v>
      </c>
      <c r="B278">
        <v>405</v>
      </c>
      <c r="D278" s="46" t="s">
        <v>542</v>
      </c>
      <c r="E278">
        <f>VLOOKUP($B278,'5 A calc'!$A$2:$AR$398,4,FALSE)</f>
        <v>5</v>
      </c>
      <c r="F278" s="4">
        <f>VLOOKUP($B278,'5 A calc'!$A$2:$AR$398,13,FALSE)</f>
        <v>-0.32775560254601221</v>
      </c>
      <c r="G278" s="4">
        <f>VLOOKUP($B278,'5 A calc'!$A$2:$AR$398,14,FALSE)</f>
        <v>0.53587177515123063</v>
      </c>
      <c r="H278" s="4"/>
      <c r="I278" s="4"/>
      <c r="J278" s="686">
        <f>VLOOKUP($B278,'5 A calc'!$A$2:$AR$398,16,FALSE)</f>
        <v>6.4429594675743464E-6</v>
      </c>
      <c r="K278" s="27">
        <f>VLOOKUP($B278,'5 A calc'!$A$2:$AT$398,45,FALSE)</f>
        <v>26.31606241070681</v>
      </c>
      <c r="L278" s="686">
        <f>VLOOKUP($B278,'5 A calc'!$A$2:$AR$398,30,FALSE)</f>
        <v>4.6788986298833412E-6</v>
      </c>
      <c r="M278" s="27">
        <f>VLOOKUP($B278,'5 A calc'!$A$2:$AT$398,46,FALSE)</f>
        <v>9.9413455012810044</v>
      </c>
    </row>
    <row r="279" spans="1:13" x14ac:dyDescent="0.2">
      <c r="A279">
        <f>VLOOKUP(B279,'5 A data'!A278:G747,7,FALSE)</f>
        <v>1</v>
      </c>
      <c r="B279">
        <v>406</v>
      </c>
      <c r="D279" s="46" t="s">
        <v>542</v>
      </c>
      <c r="E279">
        <f>VLOOKUP($B279,'5 A calc'!$A$2:$AR$398,4,FALSE)</f>
        <v>10</v>
      </c>
      <c r="F279" s="4">
        <f>VLOOKUP($B279,'5 A calc'!$A$2:$AR$398,13,FALSE)</f>
        <v>-0.27878873028586498</v>
      </c>
      <c r="G279" s="4">
        <f>VLOOKUP($B279,'5 A calc'!$A$2:$AR$398,14,FALSE)</f>
        <v>0.43393844451599733</v>
      </c>
      <c r="H279" s="4"/>
      <c r="I279" s="4"/>
      <c r="J279" s="686">
        <f>VLOOKUP($B279,'5 A calc'!$A$2:$AR$398,16,FALSE)</f>
        <v>5.0170517941146892E-6</v>
      </c>
      <c r="K279" s="27">
        <f>VLOOKUP($B279,'5 A calc'!$A$2:$AT$398,45,FALSE)</f>
        <v>38.265350164989712</v>
      </c>
      <c r="L279" s="686">
        <f>VLOOKUP($B279,'5 A calc'!$A$2:$AR$398,30,FALSE)</f>
        <v>2.600738521505678E-6</v>
      </c>
      <c r="M279" s="27">
        <f>VLOOKUP($B279,'5 A calc'!$A$2:$AT$398,46,FALSE)</f>
        <v>16.586629386739094</v>
      </c>
    </row>
    <row r="280" spans="1:13" x14ac:dyDescent="0.2">
      <c r="A280">
        <f>VLOOKUP(B280,'5 A data'!A279:G748,7,FALSE)</f>
        <v>1</v>
      </c>
      <c r="B280">
        <v>407</v>
      </c>
      <c r="D280" s="46" t="s">
        <v>542</v>
      </c>
      <c r="E280">
        <f>VLOOKUP($B280,'5 A calc'!$A$2:$AR$398,4,FALSE)</f>
        <v>20</v>
      </c>
      <c r="F280" s="4">
        <f>VLOOKUP($B280,'5 A calc'!$A$2:$AR$398,13,FALSE)</f>
        <v>-0.24081619034762677</v>
      </c>
      <c r="G280" s="4">
        <f>VLOOKUP($B280,'5 A calc'!$A$2:$AR$398,14,FALSE)</f>
        <v>0.36113236317423325</v>
      </c>
      <c r="H280" s="4"/>
      <c r="I280" s="4"/>
      <c r="J280" s="686">
        <f>VLOOKUP($B280,'5 A calc'!$A$2:$AR$398,16,FALSE)</f>
        <v>4.17832023036102E-6</v>
      </c>
      <c r="K280" s="27">
        <f>VLOOKUP($B280,'5 A calc'!$A$2:$AT$398,45,FALSE)</f>
        <v>36.657700403051521</v>
      </c>
      <c r="L280" s="686">
        <f>VLOOKUP($B280,'5 A calc'!$A$2:$AR$398,30,FALSE)</f>
        <v>1.9770475075939077E-6</v>
      </c>
      <c r="M280" s="27">
        <f>VLOOKUP($B280,'5 A calc'!$A$2:$AT$398,46,FALSE)</f>
        <v>53.09445811850042</v>
      </c>
    </row>
    <row r="281" spans="1:13" x14ac:dyDescent="0.2">
      <c r="A281">
        <f>VLOOKUP(B281,'5 A data'!A280:G749,7,FALSE)</f>
        <v>1</v>
      </c>
      <c r="B281">
        <v>408</v>
      </c>
      <c r="D281" s="46" t="s">
        <v>542</v>
      </c>
      <c r="E281">
        <f>VLOOKUP($B281,'5 A calc'!$A$2:$AR$398,4,FALSE)</f>
        <v>40</v>
      </c>
      <c r="F281" s="4">
        <f>VLOOKUP($B281,'5 A calc'!$A$2:$AR$398,13,FALSE)</f>
        <v>-0.21783682741912375</v>
      </c>
      <c r="G281" s="4">
        <f>VLOOKUP($B281,'5 A calc'!$A$2:$AR$398,14,FALSE)</f>
        <v>0.31453641822137907</v>
      </c>
      <c r="H281" s="4"/>
      <c r="I281" s="4"/>
      <c r="J281" s="686">
        <f>VLOOKUP($B281,'5 A calc'!$A$2:$AR$398,16,FALSE)</f>
        <v>3.3964590328801363E-6</v>
      </c>
      <c r="K281" s="27">
        <f>VLOOKUP($B281,'5 A calc'!$A$2:$AT$398,45,FALSE)</f>
        <v>38.659909732018328</v>
      </c>
      <c r="L281" s="686">
        <f>VLOOKUP($B281,'5 A calc'!$A$2:$AR$398,30,FALSE)</f>
        <v>1.6849048737447556E-6</v>
      </c>
      <c r="M281" s="27">
        <f>VLOOKUP($B281,'5 A calc'!$A$2:$AT$398,46,FALSE)</f>
        <v>52.499330597885681</v>
      </c>
    </row>
    <row r="282" spans="1:13" x14ac:dyDescent="0.2">
      <c r="A282">
        <f>VLOOKUP(B282,'5 A data'!A281:G750,7,FALSE)</f>
        <v>1</v>
      </c>
      <c r="B282">
        <v>409</v>
      </c>
      <c r="D282" s="46" t="s">
        <v>542</v>
      </c>
      <c r="E282">
        <f>VLOOKUP($B282,'5 A calc'!$A$2:$AR$398,4,FALSE)</f>
        <v>60</v>
      </c>
      <c r="F282" s="4">
        <f>VLOOKUP($B282,'5 A calc'!$A$2:$AR$398,13,FALSE)</f>
        <v>-0.20584766612218691</v>
      </c>
      <c r="G282" s="4">
        <f>VLOOKUP($B282,'5 A calc'!$A$2:$AR$398,14,FALSE)</f>
        <v>0.29414997980687235</v>
      </c>
      <c r="H282" s="4"/>
      <c r="I282" s="4"/>
      <c r="J282" s="686">
        <f>VLOOKUP($B282,'5 A calc'!$A$2:$AR$398,16,FALSE)</f>
        <v>2.9709098248278708E-6</v>
      </c>
      <c r="K282" s="27">
        <f>VLOOKUP($B282,'5 A calc'!$A$2:$AT$398,45,FALSE)</f>
        <v>42.291164682130272</v>
      </c>
      <c r="L282" s="686">
        <f>VLOOKUP($B282,'5 A calc'!$A$2:$AR$398,30,FALSE)</f>
        <v>1.6017059195029239E-6</v>
      </c>
      <c r="M282" s="27">
        <f>VLOOKUP($B282,'5 A calc'!$A$2:$AT$398,46,FALSE)</f>
        <v>48.978667479860043</v>
      </c>
    </row>
    <row r="283" spans="1:13" x14ac:dyDescent="0.2">
      <c r="A283">
        <f>VLOOKUP(B283,'5 A data'!A282:G751,7,FALSE)</f>
        <v>1</v>
      </c>
      <c r="B283">
        <v>410</v>
      </c>
      <c r="D283" s="46" t="s">
        <v>542</v>
      </c>
      <c r="E283">
        <f>VLOOKUP($B283,'5 A calc'!$A$2:$AR$398,4,FALSE)</f>
        <v>100</v>
      </c>
      <c r="F283" s="4">
        <f>VLOOKUP($B283,'5 A calc'!$A$2:$AR$398,13,FALSE)</f>
        <v>-0.19186160161556901</v>
      </c>
      <c r="G283" s="4">
        <f>VLOOKUP($B283,'5 A calc'!$A$2:$AR$398,14,FALSE)</f>
        <v>0.27085321946016577</v>
      </c>
      <c r="H283" s="4"/>
      <c r="I283" s="4"/>
      <c r="J283" s="686">
        <f>VLOOKUP($B283,'5 A calc'!$A$2:$AR$398,16,FALSE)</f>
        <v>2.4131313466023584E-6</v>
      </c>
      <c r="K283" s="27">
        <f>VLOOKUP($B283,'5 A calc'!$A$2:$AT$398,45,FALSE)</f>
        <v>59.567261398457461</v>
      </c>
      <c r="L283" s="686">
        <f>VLOOKUP($B283,'5 A calc'!$A$2:$AR$398,30,FALSE)</f>
        <v>1.6933288916776063E-6</v>
      </c>
      <c r="M283" s="27">
        <f>VLOOKUP($B283,'5 A calc'!$A$2:$AT$398,46,FALSE)</f>
        <v>45.732629829898706</v>
      </c>
    </row>
    <row r="284" spans="1:13" x14ac:dyDescent="0.2">
      <c r="A284">
        <f>VLOOKUP(B284,'5 A data'!A283:G752,7,FALSE)</f>
        <v>1</v>
      </c>
      <c r="B284">
        <v>411</v>
      </c>
      <c r="D284" s="46" t="s">
        <v>542</v>
      </c>
      <c r="E284">
        <f>VLOOKUP($B284,'5 A calc'!$A$2:$AR$398,4,FALSE)</f>
        <v>120</v>
      </c>
      <c r="F284" s="4">
        <f>VLOOKUP($B284,'5 A calc'!$A$2:$AR$398,13,FALSE)</f>
        <v>-0.18986453550858284</v>
      </c>
      <c r="G284" s="4">
        <f>VLOOKUP($B284,'5 A calc'!$A$2:$AR$398,14,FALSE)</f>
        <v>0.26066032511096227</v>
      </c>
      <c r="H284" s="4"/>
      <c r="I284" s="4"/>
      <c r="J284" s="686">
        <f>VLOOKUP($B284,'5 A calc'!$A$2:$AR$398,16,FALSE)</f>
        <v>2.2681305202526645E-6</v>
      </c>
      <c r="K284" s="27">
        <f>VLOOKUP($B284,'5 A calc'!$A$2:$AT$398,45,FALSE)</f>
        <v>68.00069900375496</v>
      </c>
      <c r="L284" s="686">
        <f>VLOOKUP($B284,'5 A calc'!$A$2:$AR$398,30,FALSE)</f>
        <v>1.7092397901526349E-6</v>
      </c>
      <c r="M284" s="27">
        <f>VLOOKUP($B284,'5 A calc'!$A$2:$AT$398,46,FALSE)</f>
        <v>47.345132453902309</v>
      </c>
    </row>
    <row r="285" spans="1:13" x14ac:dyDescent="0.2">
      <c r="F285" s="4"/>
      <c r="G285" s="4"/>
      <c r="H285" s="4"/>
      <c r="I285" s="4"/>
      <c r="J285" s="686"/>
      <c r="K285" s="27"/>
      <c r="L285" s="686"/>
    </row>
    <row r="286" spans="1:13" x14ac:dyDescent="0.2">
      <c r="A286">
        <f>VLOOKUP(B286,'5 A data'!A285:G754,7,FALSE)</f>
        <v>1</v>
      </c>
      <c r="B286">
        <v>413</v>
      </c>
      <c r="D286" s="46" t="s">
        <v>543</v>
      </c>
      <c r="E286">
        <f>VLOOKUP($B286,'5 A calc'!$A$2:$AR$398,4,FALSE)</f>
        <v>5</v>
      </c>
      <c r="F286" s="4">
        <f>VLOOKUP($B286,'5 A calc'!$A$2:$AR$398,13,FALSE)</f>
        <v>-0.226819525544947</v>
      </c>
      <c r="G286" s="4">
        <f>VLOOKUP($B286,'5 A calc'!$A$2:$AR$398,14,FALSE)</f>
        <v>0.39462420279847921</v>
      </c>
      <c r="H286" s="4"/>
      <c r="I286" s="4"/>
      <c r="J286" s="686">
        <f>VLOOKUP($B286,'5 A calc'!$A$2:$AR$398,16,FALSE)</f>
        <v>6.4429594675743464E-6</v>
      </c>
      <c r="K286" s="27">
        <f>VLOOKUP($B286,'5 A calc'!$A$2:$AT$398,45,FALSE)</f>
        <v>26.31606241070681</v>
      </c>
      <c r="L286" s="686">
        <f>VLOOKUP($B286,'5 A calc'!$A$2:$AR$398,30,FALSE)</f>
        <v>4.6788986298833412E-6</v>
      </c>
      <c r="M286" s="27">
        <f>VLOOKUP($B286,'5 A calc'!$A$2:$AT$398,46,FALSE)</f>
        <v>9.9413455012810044</v>
      </c>
    </row>
    <row r="287" spans="1:13" x14ac:dyDescent="0.2">
      <c r="A287">
        <f>VLOOKUP(B287,'5 A data'!A286:G755,7,FALSE)</f>
        <v>1</v>
      </c>
      <c r="B287">
        <v>414</v>
      </c>
      <c r="D287" s="46" t="s">
        <v>543</v>
      </c>
      <c r="E287">
        <f>VLOOKUP($B287,'5 A calc'!$A$2:$AR$398,4,FALSE)</f>
        <v>10</v>
      </c>
      <c r="F287" s="4">
        <f>VLOOKUP($B287,'5 A calc'!$A$2:$AR$398,13,FALSE)</f>
        <v>-0.1858475900769633</v>
      </c>
      <c r="G287" s="4">
        <f>VLOOKUP($B287,'5 A calc'!$A$2:$AR$398,14,FALSE)</f>
        <v>0.29997167486184112</v>
      </c>
      <c r="H287" s="4"/>
      <c r="I287" s="4"/>
      <c r="J287" s="686">
        <f>VLOOKUP($B287,'5 A calc'!$A$2:$AR$398,16,FALSE)</f>
        <v>5.0170517941146892E-6</v>
      </c>
      <c r="K287" s="27">
        <f>VLOOKUP($B287,'5 A calc'!$A$2:$AT$398,45,FALSE)</f>
        <v>38.265350164989712</v>
      </c>
      <c r="L287" s="686">
        <f>VLOOKUP($B287,'5 A calc'!$A$2:$AR$398,30,FALSE)</f>
        <v>2.600738521505678E-6</v>
      </c>
      <c r="M287" s="27">
        <f>VLOOKUP($B287,'5 A calc'!$A$2:$AT$398,46,FALSE)</f>
        <v>16.586629386739094</v>
      </c>
    </row>
    <row r="288" spans="1:13" x14ac:dyDescent="0.2">
      <c r="A288">
        <f>VLOOKUP(B288,'5 A data'!A287:G756,7,FALSE)</f>
        <v>1</v>
      </c>
      <c r="B288">
        <v>415</v>
      </c>
      <c r="D288" s="46" t="s">
        <v>543</v>
      </c>
      <c r="E288">
        <f>VLOOKUP($B288,'5 A calc'!$A$2:$AR$398,4,FALSE)</f>
        <v>20</v>
      </c>
      <c r="F288" s="4">
        <f>VLOOKUP($B288,'5 A calc'!$A$2:$AR$398,13,FALSE)</f>
        <v>-0.15686935402990917</v>
      </c>
      <c r="G288" s="4">
        <f>VLOOKUP($B288,'5 A calc'!$A$2:$AR$398,14,FALSE)</f>
        <v>0.24172719891726796</v>
      </c>
      <c r="H288" s="4"/>
      <c r="I288" s="4"/>
      <c r="J288" s="686">
        <f>VLOOKUP($B288,'5 A calc'!$A$2:$AR$398,16,FALSE)</f>
        <v>4.17832023036102E-6</v>
      </c>
      <c r="K288" s="27">
        <f>VLOOKUP($B288,'5 A calc'!$A$2:$AT$398,45,FALSE)</f>
        <v>36.657700403051521</v>
      </c>
      <c r="L288" s="686">
        <f>VLOOKUP($B288,'5 A calc'!$A$2:$AR$398,30,FALSE)</f>
        <v>1.9770475075939077E-6</v>
      </c>
      <c r="M288" s="27">
        <f>VLOOKUP($B288,'5 A calc'!$A$2:$AT$398,46,FALSE)</f>
        <v>53.09445811850042</v>
      </c>
    </row>
    <row r="289" spans="1:13" x14ac:dyDescent="0.2">
      <c r="A289">
        <f>VLOOKUP(B289,'5 A data'!A288:G757,7,FALSE)</f>
        <v>1</v>
      </c>
      <c r="B289">
        <v>416</v>
      </c>
      <c r="D289" s="46" t="s">
        <v>543</v>
      </c>
      <c r="E289">
        <f>VLOOKUP($B289,'5 A calc'!$A$2:$AR$398,4,FALSE)</f>
        <v>40</v>
      </c>
      <c r="F289" s="4">
        <f>VLOOKUP($B289,'5 A calc'!$A$2:$AR$398,13,FALSE)</f>
        <v>-0.13788745949748793</v>
      </c>
      <c r="G289" s="4">
        <f>VLOOKUP($B289,'5 A calc'!$A$2:$AR$398,14,FALSE)</f>
        <v>0.20532437774244733</v>
      </c>
      <c r="H289" s="4"/>
      <c r="I289" s="4"/>
      <c r="J289" s="686">
        <f>VLOOKUP($B289,'5 A calc'!$A$2:$AR$398,16,FALSE)</f>
        <v>3.3964590328801363E-6</v>
      </c>
      <c r="K289" s="27">
        <f>VLOOKUP($B289,'5 A calc'!$A$2:$AT$398,45,FALSE)</f>
        <v>38.659909732018328</v>
      </c>
      <c r="L289" s="686">
        <f>VLOOKUP($B289,'5 A calc'!$A$2:$AR$398,30,FALSE)</f>
        <v>1.6849048737447556E-6</v>
      </c>
      <c r="M289" s="27">
        <f>VLOOKUP($B289,'5 A calc'!$A$2:$AT$398,46,FALSE)</f>
        <v>52.499330597885681</v>
      </c>
    </row>
    <row r="290" spans="1:13" x14ac:dyDescent="0.2">
      <c r="A290">
        <f>VLOOKUP(B290,'5 A data'!A289:G758,7,FALSE)</f>
        <v>1</v>
      </c>
      <c r="B290">
        <v>417</v>
      </c>
      <c r="D290" s="46" t="s">
        <v>543</v>
      </c>
      <c r="E290">
        <f>VLOOKUP($B290,'5 A calc'!$A$2:$AR$398,4,FALSE)</f>
        <v>60</v>
      </c>
      <c r="F290" s="4">
        <f>VLOOKUP($B290,'5 A calc'!$A$2:$AR$398,13,FALSE)</f>
        <v>-0.12989576659663293</v>
      </c>
      <c r="G290" s="4">
        <f>VLOOKUP($B290,'5 A calc'!$A$2:$AR$398,14,FALSE)</f>
        <v>0.19076258148681702</v>
      </c>
      <c r="H290" s="4"/>
      <c r="I290" s="4"/>
      <c r="J290" s="686">
        <f>VLOOKUP($B290,'5 A calc'!$A$2:$AR$398,16,FALSE)</f>
        <v>2.9709098248278708E-6</v>
      </c>
      <c r="K290" s="27">
        <f>VLOOKUP($B290,'5 A calc'!$A$2:$AT$398,45,FALSE)</f>
        <v>42.291164682130272</v>
      </c>
      <c r="L290" s="686">
        <f>VLOOKUP($B290,'5 A calc'!$A$2:$AR$398,30,FALSE)</f>
        <v>1.6017059195029239E-6</v>
      </c>
      <c r="M290" s="27">
        <f>VLOOKUP($B290,'5 A calc'!$A$2:$AT$398,46,FALSE)</f>
        <v>48.978667479860043</v>
      </c>
    </row>
    <row r="291" spans="1:13" x14ac:dyDescent="0.2">
      <c r="A291">
        <f>VLOOKUP(B291,'5 A data'!A290:G759,7,FALSE)</f>
        <v>1</v>
      </c>
      <c r="B291">
        <v>418</v>
      </c>
      <c r="D291" s="46" t="s">
        <v>543</v>
      </c>
      <c r="E291">
        <f>VLOOKUP($B291,'5 A calc'!$A$2:$AR$398,4,FALSE)</f>
        <v>100</v>
      </c>
      <c r="F291" s="4">
        <f>VLOOKUP($B291,'5 A calc'!$A$2:$AR$398,13,FALSE)</f>
        <v>-0.12090653758511721</v>
      </c>
      <c r="G291" s="4">
        <f>VLOOKUP($B291,'5 A calc'!$A$2:$AR$398,14,FALSE)</f>
        <v>0.17474662383870593</v>
      </c>
      <c r="H291" s="4"/>
      <c r="I291" s="4"/>
      <c r="J291" s="686">
        <f>VLOOKUP($B291,'5 A calc'!$A$2:$AR$398,16,FALSE)</f>
        <v>2.4131313466023584E-6</v>
      </c>
      <c r="K291" s="27">
        <f>VLOOKUP($B291,'5 A calc'!$A$2:$AT$398,45,FALSE)</f>
        <v>59.567261398457461</v>
      </c>
      <c r="L291" s="686">
        <f>VLOOKUP($B291,'5 A calc'!$A$2:$AR$398,30,FALSE)</f>
        <v>1.6933288916776063E-6</v>
      </c>
      <c r="M291" s="27">
        <f>VLOOKUP($B291,'5 A calc'!$A$2:$AT$398,46,FALSE)</f>
        <v>45.732629829898706</v>
      </c>
    </row>
    <row r="292" spans="1:13" x14ac:dyDescent="0.2">
      <c r="A292">
        <f>VLOOKUP(B292,'5 A data'!A291:G760,7,FALSE)</f>
        <v>1</v>
      </c>
      <c r="B292">
        <v>419</v>
      </c>
      <c r="D292" s="46" t="s">
        <v>543</v>
      </c>
      <c r="E292">
        <f>VLOOKUP($B292,'5 A calc'!$A$2:$AR$398,4,FALSE)</f>
        <v>120</v>
      </c>
      <c r="F292" s="4">
        <f>VLOOKUP($B292,'5 A calc'!$A$2:$AR$398,13,FALSE)</f>
        <v>-0.11890947147813105</v>
      </c>
      <c r="G292" s="4">
        <f>VLOOKUP($B292,'5 A calc'!$A$2:$AR$398,14,FALSE)</f>
        <v>0.17183453218809797</v>
      </c>
      <c r="H292" s="4"/>
      <c r="I292" s="4"/>
      <c r="J292" s="686">
        <f>VLOOKUP($B292,'5 A calc'!$A$2:$AR$398,16,FALSE)</f>
        <v>2.2681305202526645E-6</v>
      </c>
      <c r="K292" s="27">
        <f>VLOOKUP($B292,'5 A calc'!$A$2:$AT$398,45,FALSE)</f>
        <v>68.00069900375496</v>
      </c>
      <c r="L292" s="686">
        <f>VLOOKUP($B292,'5 A calc'!$A$2:$AR$398,30,FALSE)</f>
        <v>1.7092397901526349E-6</v>
      </c>
      <c r="M292" s="27">
        <f>VLOOKUP($B292,'5 A calc'!$A$2:$AT$398,46,FALSE)</f>
        <v>47.345132453902309</v>
      </c>
    </row>
    <row r="293" spans="1:13" x14ac:dyDescent="0.2">
      <c r="F293" s="4"/>
      <c r="G293" s="4"/>
    </row>
    <row r="294" spans="1:13" x14ac:dyDescent="0.2">
      <c r="F294" s="4"/>
      <c r="G294" s="4"/>
    </row>
    <row r="295" spans="1:13" x14ac:dyDescent="0.2">
      <c r="A295">
        <f>VLOOKUP(B295,'5 A data'!A294:G763,7,FALSE)</f>
        <v>2</v>
      </c>
      <c r="B295">
        <v>423</v>
      </c>
      <c r="D295" s="46" t="s">
        <v>539</v>
      </c>
      <c r="E295">
        <f>VLOOKUP($B295,'5 A calc'!$A$2:$AR$398,4,FALSE)</f>
        <v>5</v>
      </c>
      <c r="F295" s="4">
        <f>VLOOKUP($B295,'5 A calc'!$A$2:$AR$398,13,FALSE)</f>
        <v>-0.69352396078749601</v>
      </c>
      <c r="G295" s="4">
        <f>VLOOKUP($B295,'5 A calc'!$A$2:$AR$398,14,FALSE)</f>
        <v>1.0542649272912266</v>
      </c>
      <c r="H295" s="4"/>
      <c r="I295" s="4"/>
      <c r="J295" s="686">
        <f>VLOOKUP($B295,'5 A calc'!$A$2:$AR$398,16,FALSE)</f>
        <v>6.4429594675743464E-6</v>
      </c>
      <c r="K295" s="27">
        <f>VLOOKUP($B295,'5 A calc'!$A$2:$AT$398,45,FALSE)</f>
        <v>26.31606241070681</v>
      </c>
      <c r="L295" s="686">
        <f>VLOOKUP($B295,'5 A calc'!$A$2:$AR$398,30,FALSE)</f>
        <v>4.6788986298833412E-6</v>
      </c>
      <c r="M295" s="27">
        <f>VLOOKUP($B295,'5 A calc'!$A$2:$AT$398,46,FALSE)</f>
        <v>9.9413455012810044</v>
      </c>
    </row>
    <row r="296" spans="1:13" x14ac:dyDescent="0.2">
      <c r="A296">
        <f>VLOOKUP(B296,'5 A data'!A295:G764,7,FALSE)</f>
        <v>2</v>
      </c>
      <c r="B296">
        <v>424</v>
      </c>
      <c r="D296" s="46" t="s">
        <v>539</v>
      </c>
      <c r="E296">
        <f>VLOOKUP($B296,'5 A calc'!$A$2:$AR$398,4,FALSE)</f>
        <v>10</v>
      </c>
      <c r="F296" s="4">
        <f>VLOOKUP($B296,'5 A calc'!$A$2:$AR$398,13,FALSE)</f>
        <v>-0.61557544265575581</v>
      </c>
      <c r="G296" s="4">
        <f>VLOOKUP($B296,'5 A calc'!$A$2:$AR$398,14,FALSE)</f>
        <v>0.90864678046442038</v>
      </c>
      <c r="H296" s="4"/>
      <c r="I296" s="4"/>
      <c r="J296" s="686">
        <f>VLOOKUP($B296,'5 A calc'!$A$2:$AR$398,16,FALSE)</f>
        <v>5.0170517941146892E-6</v>
      </c>
      <c r="K296" s="27">
        <f>VLOOKUP($B296,'5 A calc'!$A$2:$AT$398,45,FALSE)</f>
        <v>38.265350164989712</v>
      </c>
      <c r="L296" s="686">
        <f>VLOOKUP($B296,'5 A calc'!$A$2:$AR$398,30,FALSE)</f>
        <v>2.600738521505678E-6</v>
      </c>
      <c r="M296" s="27">
        <f>VLOOKUP($B296,'5 A calc'!$A$2:$AT$398,46,FALSE)</f>
        <v>16.586629386739094</v>
      </c>
    </row>
    <row r="297" spans="1:13" x14ac:dyDescent="0.2">
      <c r="A297">
        <f>VLOOKUP(B297,'5 A data'!A296:G765,7,FALSE)</f>
        <v>2</v>
      </c>
      <c r="B297">
        <v>425</v>
      </c>
      <c r="D297" s="46" t="s">
        <v>539</v>
      </c>
      <c r="E297">
        <f>VLOOKUP($B297,'5 A calc'!$A$2:$AR$398,4,FALSE)</f>
        <v>20</v>
      </c>
      <c r="F297" s="4">
        <f>VLOOKUP($B297,'5 A calc'!$A$2:$AR$398,13,FALSE)</f>
        <v>-0.55761556073710872</v>
      </c>
      <c r="G297" s="4">
        <f>VLOOKUP($B297,'5 A calc'!$A$2:$AR$398,14,FALSE)</f>
        <v>0.79798052508995998</v>
      </c>
      <c r="H297" s="4"/>
      <c r="I297" s="4"/>
      <c r="J297" s="686">
        <f>VLOOKUP($B297,'5 A calc'!$A$2:$AR$398,16,FALSE)</f>
        <v>4.17832023036102E-6</v>
      </c>
      <c r="K297" s="27">
        <f>VLOOKUP($B297,'5 A calc'!$A$2:$AT$398,45,FALSE)</f>
        <v>36.657700403051521</v>
      </c>
      <c r="L297" s="686">
        <f>VLOOKUP($B297,'5 A calc'!$A$2:$AR$398,30,FALSE)</f>
        <v>1.9770475075939077E-6</v>
      </c>
      <c r="M297" s="27">
        <f>VLOOKUP($B297,'5 A calc'!$A$2:$AT$398,46,FALSE)</f>
        <v>53.09445811850042</v>
      </c>
    </row>
    <row r="298" spans="1:13" x14ac:dyDescent="0.2">
      <c r="A298">
        <f>VLOOKUP(B298,'5 A data'!A297:G766,7,FALSE)</f>
        <v>2</v>
      </c>
      <c r="B298">
        <v>426</v>
      </c>
      <c r="D298" s="46" t="s">
        <v>539</v>
      </c>
      <c r="E298">
        <f>VLOOKUP($B298,'5 A calc'!$A$2:$AR$398,4,FALSE)</f>
        <v>40</v>
      </c>
      <c r="F298" s="4">
        <f>VLOOKUP($B298,'5 A calc'!$A$2:$AR$398,13,FALSE)</f>
        <v>-0.50765328613505356</v>
      </c>
      <c r="G298" s="4">
        <f>VLOOKUP($B298,'5 A calc'!$A$2:$AR$398,14,FALSE)</f>
        <v>0.71352440610440937</v>
      </c>
      <c r="H298" s="4"/>
      <c r="I298" s="4"/>
      <c r="J298" s="686">
        <f>VLOOKUP($B298,'5 A calc'!$A$2:$AR$398,16,FALSE)</f>
        <v>3.3964590328801363E-6</v>
      </c>
      <c r="K298" s="27">
        <f>VLOOKUP($B298,'5 A calc'!$A$2:$AT$398,45,FALSE)</f>
        <v>38.659909732018328</v>
      </c>
      <c r="L298" s="686">
        <f>VLOOKUP($B298,'5 A calc'!$A$2:$AR$398,30,FALSE)</f>
        <v>1.6849048737447556E-6</v>
      </c>
      <c r="M298" s="27">
        <f>VLOOKUP($B298,'5 A calc'!$A$2:$AT$398,46,FALSE)</f>
        <v>52.499330597885681</v>
      </c>
    </row>
    <row r="299" spans="1:13" x14ac:dyDescent="0.2">
      <c r="A299">
        <f>VLOOKUP(B299,'5 A data'!A298:G767,7,FALSE)</f>
        <v>2</v>
      </c>
      <c r="B299">
        <v>427</v>
      </c>
      <c r="D299" s="46" t="s">
        <v>539</v>
      </c>
      <c r="E299">
        <f>VLOOKUP($B299,'5 A calc'!$A$2:$AR$398,4,FALSE)</f>
        <v>60</v>
      </c>
      <c r="F299" s="4">
        <f>VLOOKUP($B299,'5 A calc'!$A$2:$AR$398,13,FALSE)</f>
        <v>-0.49866222613517808</v>
      </c>
      <c r="G299" s="4">
        <f>VLOOKUP($B299,'5 A calc'!$A$2:$AR$398,14,FALSE)</f>
        <v>0.64362850933945381</v>
      </c>
      <c r="H299" s="4"/>
      <c r="I299" s="4"/>
      <c r="J299" s="686">
        <f>VLOOKUP($B299,'5 A calc'!$A$2:$AR$398,16,FALSE)</f>
        <v>2.9709098248278708E-6</v>
      </c>
      <c r="K299" s="27">
        <f>VLOOKUP($B299,'5 A calc'!$A$2:$AT$398,45,FALSE)</f>
        <v>42.291164682130272</v>
      </c>
      <c r="L299" s="686">
        <f>VLOOKUP($B299,'5 A calc'!$A$2:$AR$398,30,FALSE)</f>
        <v>1.6017059195029239E-6</v>
      </c>
      <c r="M299" s="27">
        <f>VLOOKUP($B299,'5 A calc'!$A$2:$AT$398,46,FALSE)</f>
        <v>48.978667479860043</v>
      </c>
    </row>
    <row r="300" spans="1:13" x14ac:dyDescent="0.2">
      <c r="A300">
        <f>VLOOKUP(B300,'5 A data'!A299:G768,7,FALSE)</f>
        <v>2</v>
      </c>
      <c r="B300">
        <v>428</v>
      </c>
      <c r="D300" s="46" t="s">
        <v>539</v>
      </c>
      <c r="E300">
        <f>VLOOKUP($B300,'5 A calc'!$A$2:$AR$398,4,FALSE)</f>
        <v>100</v>
      </c>
      <c r="F300" s="4">
        <f>VLOOKUP($B300,'5 A calc'!$A$2:$AR$398,13,FALSE)</f>
        <v>-0.47768059193541701</v>
      </c>
      <c r="G300" s="4">
        <f>VLOOKUP($B300,'5 A calc'!$A$2:$AR$398,14,FALSE)</f>
        <v>0.52713747445072545</v>
      </c>
      <c r="H300" s="4"/>
      <c r="I300" s="4"/>
      <c r="J300" s="686">
        <f>VLOOKUP($B300,'5 A calc'!$A$2:$AR$398,16,FALSE)</f>
        <v>2.4131313466023584E-6</v>
      </c>
      <c r="K300" s="27">
        <f>VLOOKUP($B300,'5 A calc'!$A$2:$AT$398,45,FALSE)</f>
        <v>59.567261398457461</v>
      </c>
      <c r="L300" s="686">
        <f>VLOOKUP($B300,'5 A calc'!$A$2:$AR$398,30,FALSE)</f>
        <v>1.6933288916776063E-6</v>
      </c>
      <c r="M300" s="27">
        <f>VLOOKUP($B300,'5 A calc'!$A$2:$AT$398,46,FALSE)</f>
        <v>45.732629829898706</v>
      </c>
    </row>
    <row r="301" spans="1:13" x14ac:dyDescent="0.2">
      <c r="A301">
        <f>VLOOKUP(B301,'5 A data'!A300:G769,7,FALSE)</f>
        <v>2</v>
      </c>
      <c r="B301">
        <v>429</v>
      </c>
      <c r="D301" s="46" t="s">
        <v>539</v>
      </c>
      <c r="E301">
        <f>VLOOKUP($B301,'5 A calc'!$A$2:$AR$398,4,FALSE)</f>
        <v>120</v>
      </c>
      <c r="F301" s="4">
        <f>VLOOKUP($B301,'5 A calc'!$A$2:$AR$398,13,FALSE)</f>
        <v>-0.46169238644214461</v>
      </c>
      <c r="G301" s="4">
        <f>VLOOKUP($B301,'5 A calc'!$A$2:$AR$398,14,FALSE)</f>
        <v>0.483452887687983</v>
      </c>
      <c r="H301" s="4"/>
      <c r="I301" s="4"/>
      <c r="J301" s="686">
        <f>VLOOKUP($B301,'5 A calc'!$A$2:$AR$398,16,FALSE)</f>
        <v>2.2681305202526645E-6</v>
      </c>
      <c r="K301" s="27">
        <f>VLOOKUP($B301,'5 A calc'!$A$2:$AT$398,45,FALSE)</f>
        <v>68.00069900375496</v>
      </c>
      <c r="L301" s="686">
        <f>VLOOKUP($B301,'5 A calc'!$A$2:$AR$398,30,FALSE)</f>
        <v>1.7092397901526349E-6</v>
      </c>
      <c r="M301" s="27">
        <f>VLOOKUP($B301,'5 A calc'!$A$2:$AT$398,46,FALSE)</f>
        <v>47.345132453902309</v>
      </c>
    </row>
    <row r="302" spans="1:13" x14ac:dyDescent="0.2">
      <c r="F302" s="4"/>
      <c r="G302" s="4"/>
      <c r="H302" s="4"/>
      <c r="I302" s="4"/>
      <c r="J302" s="686"/>
      <c r="K302" s="27"/>
      <c r="L302" s="686"/>
    </row>
    <row r="303" spans="1:13" x14ac:dyDescent="0.2">
      <c r="A303">
        <f>VLOOKUP(B303,'5 A data'!A302:G771,7,FALSE)</f>
        <v>1</v>
      </c>
      <c r="B303">
        <v>431</v>
      </c>
      <c r="D303" s="46" t="s">
        <v>543</v>
      </c>
      <c r="E303">
        <f>VLOOKUP($B303,'5 A calc'!$A$2:$AR$398,4,FALSE)</f>
        <v>5</v>
      </c>
      <c r="F303" s="4">
        <f>VLOOKUP($B303,'5 A calc'!$A$2:$AR$398,13,FALSE)</f>
        <v>-0.22482079134690611</v>
      </c>
      <c r="G303" s="4">
        <f>VLOOKUP($B303,'5 A calc'!$A$2:$AR$398,14,FALSE)</f>
        <v>0.39608036333819824</v>
      </c>
      <c r="H303" s="4"/>
      <c r="I303" s="4"/>
      <c r="J303" s="686">
        <f>VLOOKUP($B303,'5 A calc'!$A$2:$AR$398,16,FALSE)</f>
        <v>6.4429594675743464E-6</v>
      </c>
      <c r="K303" s="27">
        <f>VLOOKUP($B303,'5 A calc'!$A$2:$AT$398,45,FALSE)</f>
        <v>26.31606241070681</v>
      </c>
      <c r="L303" s="686">
        <f>VLOOKUP($B303,'5 A calc'!$A$2:$AR$398,30,FALSE)</f>
        <v>4.6788986298833412E-6</v>
      </c>
      <c r="M303" s="27">
        <f>VLOOKUP($B303,'5 A calc'!$A$2:$AT$398,46,FALSE)</f>
        <v>9.9413455012810044</v>
      </c>
    </row>
    <row r="304" spans="1:13" x14ac:dyDescent="0.2">
      <c r="A304">
        <f>VLOOKUP(B304,'5 A data'!A303:G772,7,FALSE)</f>
        <v>1</v>
      </c>
      <c r="B304">
        <v>432</v>
      </c>
      <c r="D304" s="46" t="s">
        <v>543</v>
      </c>
      <c r="E304">
        <f>VLOOKUP($B304,'5 A calc'!$A$2:$AR$398,4,FALSE)</f>
        <v>10</v>
      </c>
      <c r="F304" s="4">
        <f>VLOOKUP($B304,'5 A calc'!$A$2:$AR$398,13,FALSE)</f>
        <v>-0.18384885587892241</v>
      </c>
      <c r="G304" s="4">
        <f>VLOOKUP($B304,'5 A calc'!$A$2:$AR$398,14,FALSE)</f>
        <v>0.29997167486184112</v>
      </c>
      <c r="H304" s="4"/>
      <c r="I304" s="4"/>
      <c r="J304" s="686">
        <f>VLOOKUP($B304,'5 A calc'!$A$2:$AR$398,16,FALSE)</f>
        <v>5.0170517941146892E-6</v>
      </c>
      <c r="K304" s="27">
        <f>VLOOKUP($B304,'5 A calc'!$A$2:$AT$398,45,FALSE)</f>
        <v>38.265350164989712</v>
      </c>
      <c r="L304" s="686">
        <f>VLOOKUP($B304,'5 A calc'!$A$2:$AR$398,30,FALSE)</f>
        <v>2.600738521505678E-6</v>
      </c>
      <c r="M304" s="27">
        <f>VLOOKUP($B304,'5 A calc'!$A$2:$AT$398,46,FALSE)</f>
        <v>16.586629386739094</v>
      </c>
    </row>
    <row r="305" spans="1:16" x14ac:dyDescent="0.2">
      <c r="A305">
        <f>VLOOKUP(B305,'5 A data'!A304:G773,7,FALSE)</f>
        <v>1</v>
      </c>
      <c r="B305">
        <v>433</v>
      </c>
      <c r="D305" s="46" t="s">
        <v>543</v>
      </c>
      <c r="E305">
        <f>VLOOKUP($B305,'5 A calc'!$A$2:$AR$398,4,FALSE)</f>
        <v>20</v>
      </c>
      <c r="F305" s="4">
        <f>VLOOKUP($B305,'5 A calc'!$A$2:$AR$398,13,FALSE)</f>
        <v>-0.15686935402990917</v>
      </c>
      <c r="G305" s="4">
        <f>VLOOKUP($B305,'5 A calc'!$A$2:$AR$398,14,FALSE)</f>
        <v>0.24172719891726796</v>
      </c>
      <c r="H305" s="4"/>
      <c r="I305" s="4"/>
      <c r="J305" s="686">
        <f>VLOOKUP($B305,'5 A calc'!$A$2:$AR$398,16,FALSE)</f>
        <v>4.17832023036102E-6</v>
      </c>
      <c r="K305" s="27">
        <f>VLOOKUP($B305,'5 A calc'!$A$2:$AT$398,45,FALSE)</f>
        <v>36.657700403051521</v>
      </c>
      <c r="L305" s="686">
        <f>VLOOKUP($B305,'5 A calc'!$A$2:$AR$398,30,FALSE)</f>
        <v>1.9770475075939077E-6</v>
      </c>
      <c r="M305" s="27">
        <f>VLOOKUP($B305,'5 A calc'!$A$2:$AT$398,46,FALSE)</f>
        <v>53.09445811850042</v>
      </c>
    </row>
    <row r="306" spans="1:16" x14ac:dyDescent="0.2">
      <c r="A306">
        <f>VLOOKUP(B306,'5 A data'!A305:G774,7,FALSE)</f>
        <v>1</v>
      </c>
      <c r="B306">
        <v>434</v>
      </c>
      <c r="D306" s="46" t="s">
        <v>543</v>
      </c>
      <c r="E306">
        <f>VLOOKUP($B306,'5 A calc'!$A$2:$AR$398,4,FALSE)</f>
        <v>40</v>
      </c>
      <c r="F306" s="4">
        <f>VLOOKUP($B306,'5 A calc'!$A$2:$AR$398,13,FALSE)</f>
        <v>-0.13788745949748793</v>
      </c>
      <c r="G306" s="4">
        <f>VLOOKUP($B306,'5 A calc'!$A$2:$AR$398,14,FALSE)</f>
        <v>0.20532437774244733</v>
      </c>
      <c r="H306" s="4"/>
      <c r="I306" s="4"/>
      <c r="J306" s="686">
        <f>VLOOKUP($B306,'5 A calc'!$A$2:$AR$398,16,FALSE)</f>
        <v>3.3964590328801363E-6</v>
      </c>
      <c r="K306" s="27">
        <f>VLOOKUP($B306,'5 A calc'!$A$2:$AT$398,45,FALSE)</f>
        <v>38.659909732018328</v>
      </c>
      <c r="L306" s="686">
        <f>VLOOKUP($B306,'5 A calc'!$A$2:$AR$398,30,FALSE)</f>
        <v>1.6849048737447556E-6</v>
      </c>
      <c r="M306" s="27">
        <f>VLOOKUP($B306,'5 A calc'!$A$2:$AT$398,46,FALSE)</f>
        <v>52.499330597885681</v>
      </c>
    </row>
    <row r="307" spans="1:16" x14ac:dyDescent="0.2">
      <c r="A307">
        <f>VLOOKUP(B307,'5 A data'!A306:G775,7,FALSE)</f>
        <v>1</v>
      </c>
      <c r="B307">
        <v>435</v>
      </c>
      <c r="D307" s="46" t="s">
        <v>543</v>
      </c>
      <c r="E307">
        <f>VLOOKUP($B307,'5 A calc'!$A$2:$AR$398,4,FALSE)</f>
        <v>60</v>
      </c>
      <c r="F307" s="4">
        <f>VLOOKUP($B307,'5 A calc'!$A$2:$AR$398,13,FALSE)</f>
        <v>-0.12939608304712269</v>
      </c>
      <c r="G307" s="4">
        <f>VLOOKUP($B307,'5 A calc'!$A$2:$AR$398,14,FALSE)</f>
        <v>0.19076258148681702</v>
      </c>
      <c r="H307" s="4"/>
      <c r="I307" s="4"/>
      <c r="J307" s="686">
        <f>VLOOKUP($B307,'5 A calc'!$A$2:$AR$398,16,FALSE)</f>
        <v>2.9709098248278708E-6</v>
      </c>
      <c r="K307" s="27">
        <f>VLOOKUP($B307,'5 A calc'!$A$2:$AT$398,45,FALSE)</f>
        <v>42.291164682130272</v>
      </c>
      <c r="L307" s="686">
        <f>VLOOKUP($B307,'5 A calc'!$A$2:$AR$398,30,FALSE)</f>
        <v>1.6017059195029239E-6</v>
      </c>
      <c r="M307" s="27">
        <f>VLOOKUP($B307,'5 A calc'!$A$2:$AT$398,46,FALSE)</f>
        <v>48.978667479860043</v>
      </c>
    </row>
    <row r="308" spans="1:16" x14ac:dyDescent="0.2">
      <c r="A308">
        <f>VLOOKUP(B308,'5 A data'!A307:G776,7,FALSE)</f>
        <v>1</v>
      </c>
      <c r="B308">
        <v>436</v>
      </c>
      <c r="D308" s="46" t="s">
        <v>543</v>
      </c>
      <c r="E308">
        <f>VLOOKUP($B308,'5 A calc'!$A$2:$AR$398,4,FALSE)</f>
        <v>100</v>
      </c>
      <c r="F308" s="4">
        <f>VLOOKUP($B308,'5 A calc'!$A$2:$AR$398,13,FALSE)</f>
        <v>-0.12090653758511721</v>
      </c>
      <c r="G308" s="4">
        <f>VLOOKUP($B308,'5 A calc'!$A$2:$AR$398,14,FALSE)</f>
        <v>0.17620278437842499</v>
      </c>
      <c r="H308" s="4"/>
      <c r="I308" s="4"/>
      <c r="J308" s="686">
        <f>VLOOKUP($B308,'5 A calc'!$A$2:$AR$398,16,FALSE)</f>
        <v>2.4131313466023584E-6</v>
      </c>
      <c r="K308" s="27">
        <f>VLOOKUP($B308,'5 A calc'!$A$2:$AT$398,45,FALSE)</f>
        <v>59.567261398457461</v>
      </c>
      <c r="L308" s="686">
        <f>VLOOKUP($B308,'5 A calc'!$A$2:$AR$398,30,FALSE)</f>
        <v>1.6933288916776063E-6</v>
      </c>
      <c r="M308" s="27">
        <f>VLOOKUP($B308,'5 A calc'!$A$2:$AT$398,46,FALSE)</f>
        <v>45.732629829898706</v>
      </c>
    </row>
    <row r="309" spans="1:16" x14ac:dyDescent="0.2">
      <c r="A309">
        <f>VLOOKUP(B309,'5 A data'!A308:G777,7,FALSE)</f>
        <v>1</v>
      </c>
      <c r="B309">
        <v>437</v>
      </c>
      <c r="D309" s="46" t="s">
        <v>543</v>
      </c>
      <c r="E309">
        <f>VLOOKUP($B309,'5 A calc'!$A$2:$AR$398,4,FALSE)</f>
        <v>120</v>
      </c>
      <c r="F309" s="4">
        <f>VLOOKUP($B309,'5 A calc'!$A$2:$AR$398,13,FALSE)</f>
        <v>-0.11890947147813105</v>
      </c>
      <c r="G309" s="4">
        <f>VLOOKUP($B309,'5 A calc'!$A$2:$AR$398,14,FALSE)</f>
        <v>0.17183453218809797</v>
      </c>
      <c r="H309" s="4"/>
      <c r="I309" s="4"/>
      <c r="J309" s="686">
        <f>VLOOKUP($B309,'5 A calc'!$A$2:$AR$398,16,FALSE)</f>
        <v>2.2681305202526645E-6</v>
      </c>
      <c r="K309" s="27">
        <f>VLOOKUP($B309,'5 A calc'!$A$2:$AT$398,45,FALSE)</f>
        <v>68.00069900375496</v>
      </c>
      <c r="L309" s="686">
        <f>VLOOKUP($B309,'5 A calc'!$A$2:$AR$398,30,FALSE)</f>
        <v>1.7092397901526349E-6</v>
      </c>
      <c r="M309" s="27">
        <f>VLOOKUP($B309,'5 A calc'!$A$2:$AT$398,46,FALSE)</f>
        <v>47.345132453902309</v>
      </c>
    </row>
    <row r="310" spans="1:16" x14ac:dyDescent="0.2">
      <c r="F310" s="4"/>
      <c r="G310" s="4"/>
    </row>
    <row r="311" spans="1:16" x14ac:dyDescent="0.2">
      <c r="F311" s="4"/>
      <c r="G311" s="4"/>
    </row>
    <row r="312" spans="1:16" x14ac:dyDescent="0.2">
      <c r="A312">
        <f>VLOOKUP(B312,'5 A data'!A311:G780,7,FALSE)</f>
        <v>1</v>
      </c>
      <c r="B312">
        <v>441</v>
      </c>
      <c r="D312" s="46" t="s">
        <v>542</v>
      </c>
      <c r="E312">
        <f>VLOOKUP($B312,'5 A calc'!$A$2:$AR$398,4,FALSE)</f>
        <v>5</v>
      </c>
      <c r="F312" s="4">
        <f>VLOOKUP($B312,'5 A calc'!$A$2:$AR$398,13,FALSE)</f>
        <v>-0.32875496964503265</v>
      </c>
      <c r="G312" s="4">
        <f>VLOOKUP($B312,'5 A calc'!$A$2:$AR$398,14,FALSE)</f>
        <v>0.54460873838954516</v>
      </c>
      <c r="H312" s="4"/>
      <c r="I312" s="4"/>
      <c r="J312" s="686">
        <f>VLOOKUP($B312,'5 A calc'!$A$2:$AR$398,16,FALSE)</f>
        <v>6.4429594675743464E-6</v>
      </c>
      <c r="K312" s="27">
        <f>VLOOKUP($B312,'5 A calc'!$A$2:$AT$398,45,FALSE)</f>
        <v>26.31606241070681</v>
      </c>
      <c r="L312" s="686">
        <f>VLOOKUP($B312,'5 A calc'!$A$2:$AR$398,30,FALSE)</f>
        <v>4.6788986298833412E-6</v>
      </c>
      <c r="M312" s="27">
        <f>VLOOKUP($B312,'5 A calc'!$A$2:$AT$398,46,FALSE)</f>
        <v>9.9413455012810044</v>
      </c>
      <c r="N312" s="4"/>
      <c r="O312" s="27"/>
      <c r="P312" s="27"/>
    </row>
    <row r="313" spans="1:16" x14ac:dyDescent="0.2">
      <c r="A313">
        <f>VLOOKUP(B313,'5 A data'!A312:G781,7,FALSE)</f>
        <v>1</v>
      </c>
      <c r="B313">
        <v>442</v>
      </c>
      <c r="D313" s="46" t="s">
        <v>542</v>
      </c>
      <c r="E313">
        <f>VLOOKUP($B313,'5 A calc'!$A$2:$AR$398,4,FALSE)</f>
        <v>10</v>
      </c>
      <c r="F313" s="4">
        <f>VLOOKUP($B313,'5 A calc'!$A$2:$AR$398,13,FALSE)</f>
        <v>-0.27778936318684455</v>
      </c>
      <c r="G313" s="4">
        <f>VLOOKUP($B313,'5 A calc'!$A$2:$AR$398,14,FALSE)</f>
        <v>0.43685076559543545</v>
      </c>
      <c r="H313" s="4"/>
      <c r="I313" s="4"/>
      <c r="J313" s="686">
        <f>VLOOKUP($B313,'5 A calc'!$A$2:$AR$398,16,FALSE)</f>
        <v>5.0170517941146892E-6</v>
      </c>
      <c r="K313" s="27">
        <f>VLOOKUP($B313,'5 A calc'!$A$2:$AT$398,45,FALSE)</f>
        <v>38.265350164989712</v>
      </c>
      <c r="L313" s="686">
        <f>VLOOKUP($B313,'5 A calc'!$A$2:$AR$398,30,FALSE)</f>
        <v>2.600738521505678E-6</v>
      </c>
      <c r="M313" s="27">
        <f>VLOOKUP($B313,'5 A calc'!$A$2:$AT$398,46,FALSE)</f>
        <v>16.586629386739094</v>
      </c>
      <c r="N313" s="4"/>
      <c r="O313" s="27"/>
      <c r="P313" s="27"/>
    </row>
    <row r="314" spans="1:16" x14ac:dyDescent="0.2">
      <c r="A314">
        <f>VLOOKUP(B314,'5 A data'!A313:G782,7,FALSE)</f>
        <v>1</v>
      </c>
      <c r="B314">
        <v>443</v>
      </c>
      <c r="D314" s="46" t="s">
        <v>542</v>
      </c>
      <c r="E314">
        <f>VLOOKUP($B314,'5 A calc'!$A$2:$AR$398,4,FALSE)</f>
        <v>20</v>
      </c>
      <c r="F314" s="4">
        <f>VLOOKUP($B314,'5 A calc'!$A$2:$AR$398,13,FALSE)</f>
        <v>-0.23981682324860631</v>
      </c>
      <c r="G314" s="4">
        <f>VLOOKUP($B314,'5 A calc'!$A$2:$AR$398,14,FALSE)</f>
        <v>0.36404468425367137</v>
      </c>
      <c r="H314" s="4"/>
      <c r="I314" s="4"/>
      <c r="J314" s="686">
        <f>VLOOKUP($B314,'5 A calc'!$A$2:$AR$398,16,FALSE)</f>
        <v>4.17832023036102E-6</v>
      </c>
      <c r="K314" s="27">
        <f>VLOOKUP($B314,'5 A calc'!$A$2:$AT$398,45,FALSE)</f>
        <v>36.657700403051521</v>
      </c>
      <c r="L314" s="686">
        <f>VLOOKUP($B314,'5 A calc'!$A$2:$AR$398,30,FALSE)</f>
        <v>1.9770475075939077E-6</v>
      </c>
      <c r="M314" s="27">
        <f>VLOOKUP($B314,'5 A calc'!$A$2:$AT$398,46,FALSE)</f>
        <v>53.09445811850042</v>
      </c>
      <c r="N314" s="4"/>
      <c r="O314" s="27"/>
      <c r="P314" s="27"/>
    </row>
    <row r="315" spans="1:16" x14ac:dyDescent="0.2">
      <c r="A315">
        <f>VLOOKUP(B315,'5 A data'!A314:G783,7,FALSE)</f>
        <v>1</v>
      </c>
      <c r="B315">
        <v>444</v>
      </c>
      <c r="D315" s="46" t="s">
        <v>542</v>
      </c>
      <c r="E315">
        <f>VLOOKUP($B315,'5 A calc'!$A$2:$AR$398,4,FALSE)</f>
        <v>40</v>
      </c>
      <c r="F315" s="4">
        <f>VLOOKUP($B315,'5 A calc'!$A$2:$AR$398,13,FALSE)</f>
        <v>-0.21783682741912375</v>
      </c>
      <c r="G315" s="4">
        <f>VLOOKUP($B315,'5 A calc'!$A$2:$AR$398,14,FALSE)</f>
        <v>0.31744873930081718</v>
      </c>
      <c r="H315" s="4"/>
      <c r="I315" s="4"/>
      <c r="J315" s="686">
        <f>VLOOKUP($B315,'5 A calc'!$A$2:$AR$398,16,FALSE)</f>
        <v>3.3964590328801363E-6</v>
      </c>
      <c r="K315" s="27">
        <f>VLOOKUP($B315,'5 A calc'!$A$2:$AT$398,45,FALSE)</f>
        <v>38.659909732018328</v>
      </c>
      <c r="L315" s="686">
        <f>VLOOKUP($B315,'5 A calc'!$A$2:$AR$398,30,FALSE)</f>
        <v>1.6849048737447556E-6</v>
      </c>
      <c r="M315" s="27">
        <f>VLOOKUP($B315,'5 A calc'!$A$2:$AT$398,46,FALSE)</f>
        <v>52.499330597885681</v>
      </c>
      <c r="N315" s="4"/>
      <c r="O315" s="27"/>
      <c r="P315" s="27"/>
    </row>
    <row r="316" spans="1:16" x14ac:dyDescent="0.2">
      <c r="A316">
        <f>VLOOKUP(B316,'5 A data'!A315:G784,7,FALSE)</f>
        <v>1</v>
      </c>
      <c r="B316">
        <v>445</v>
      </c>
      <c r="D316" s="46" t="s">
        <v>542</v>
      </c>
      <c r="E316">
        <f>VLOOKUP($B316,'5 A calc'!$A$2:$AR$398,4,FALSE)</f>
        <v>60</v>
      </c>
      <c r="F316" s="4">
        <f>VLOOKUP($B316,'5 A calc'!$A$2:$AR$398,13,FALSE)</f>
        <v>-0.20584766612218691</v>
      </c>
      <c r="G316" s="4">
        <f>VLOOKUP($B316,'5 A calc'!$A$2:$AR$398,14,FALSE)</f>
        <v>0.29414997980687235</v>
      </c>
      <c r="H316" s="4"/>
      <c r="I316" s="4"/>
      <c r="J316" s="686">
        <f>VLOOKUP($B316,'5 A calc'!$A$2:$AR$398,16,FALSE)</f>
        <v>2.9709098248278708E-6</v>
      </c>
      <c r="K316" s="27">
        <f>VLOOKUP($B316,'5 A calc'!$A$2:$AT$398,45,FALSE)</f>
        <v>42.291164682130272</v>
      </c>
      <c r="L316" s="686">
        <f>VLOOKUP($B330,'5 A calc'!$A$2:$AR$398,30,FALSE)</f>
        <v>2.600738521505678E-6</v>
      </c>
      <c r="M316" s="27">
        <f>VLOOKUP($B316,'5 A calc'!$A$2:$AT$398,46,FALSE)</f>
        <v>48.978667479860043</v>
      </c>
      <c r="N316" s="4"/>
      <c r="O316" s="27"/>
      <c r="P316" s="27"/>
    </row>
    <row r="317" spans="1:16" x14ac:dyDescent="0.2">
      <c r="A317">
        <f>VLOOKUP(B317,'5 A data'!A316:G785,7,FALSE)</f>
        <v>1</v>
      </c>
      <c r="B317">
        <v>446</v>
      </c>
      <c r="D317" s="46" t="s">
        <v>542</v>
      </c>
      <c r="E317">
        <f>VLOOKUP($B317,'5 A calc'!$A$2:$AR$398,4,FALSE)</f>
        <v>100</v>
      </c>
      <c r="F317" s="4">
        <f>VLOOKUP($B317,'5 A calc'!$A$2:$AR$398,13,FALSE)</f>
        <v>-0.19286096871458946</v>
      </c>
      <c r="G317" s="4">
        <f>VLOOKUP($B317,'5 A calc'!$A$2:$AR$398,14,FALSE)</f>
        <v>0.27085321946016577</v>
      </c>
      <c r="H317" s="4"/>
      <c r="I317" s="4"/>
      <c r="J317" s="686">
        <f>VLOOKUP($B317,'5 A calc'!$A$2:$AR$398,16,FALSE)</f>
        <v>2.4131313466023584E-6</v>
      </c>
      <c r="K317" s="27">
        <f>VLOOKUP($B317,'5 A calc'!$A$2:$AT$398,45,FALSE)</f>
        <v>59.567261398457461</v>
      </c>
      <c r="L317" s="686">
        <f>VLOOKUP($B317,'5 A calc'!$A$2:$AR$398,30,FALSE)</f>
        <v>1.6933288916776063E-6</v>
      </c>
      <c r="M317" s="27">
        <f>VLOOKUP($B317,'5 A calc'!$A$2:$AT$398,46,FALSE)</f>
        <v>45.732629829898706</v>
      </c>
      <c r="N317" s="4"/>
      <c r="O317" s="27"/>
      <c r="P317" s="27"/>
    </row>
    <row r="318" spans="1:16" x14ac:dyDescent="0.2">
      <c r="A318">
        <f>VLOOKUP(B318,'5 A data'!A317:G786,7,FALSE)</f>
        <v>1</v>
      </c>
      <c r="B318">
        <v>447</v>
      </c>
      <c r="D318" s="46" t="s">
        <v>542</v>
      </c>
      <c r="E318">
        <f>VLOOKUP($B318,'5 A calc'!$A$2:$AR$398,4,FALSE)</f>
        <v>120</v>
      </c>
      <c r="F318" s="4">
        <f>VLOOKUP($B318,'5 A calc'!$A$2:$AR$398,13,FALSE)</f>
        <v>-0.18986453550858284</v>
      </c>
      <c r="G318" s="4">
        <f>VLOOKUP($B318,'5 A calc'!$A$2:$AR$398,14,FALSE)</f>
        <v>0.26211648565068141</v>
      </c>
      <c r="H318" s="4"/>
      <c r="I318" s="4"/>
      <c r="J318" s="686">
        <f>VLOOKUP($B318,'5 A calc'!$A$2:$AR$398,16,FALSE)</f>
        <v>2.2681305202526645E-6</v>
      </c>
      <c r="K318" s="27">
        <f>VLOOKUP($B318,'5 A calc'!$A$2:$AT$398,45,FALSE)</f>
        <v>68.00069900375496</v>
      </c>
      <c r="L318" s="686">
        <f>VLOOKUP($B318,'5 A calc'!$A$2:$AR$398,30,FALSE)</f>
        <v>1.7092397901526349E-6</v>
      </c>
      <c r="M318" s="27">
        <f>VLOOKUP($B318,'5 A calc'!$A$2:$AT$398,46,FALSE)</f>
        <v>47.345132453902309</v>
      </c>
      <c r="N318" s="4"/>
      <c r="O318" s="27"/>
      <c r="P318" s="27"/>
    </row>
    <row r="319" spans="1:16" x14ac:dyDescent="0.2">
      <c r="F319" s="4"/>
      <c r="G319" s="4"/>
      <c r="H319" s="4"/>
      <c r="I319" s="4"/>
      <c r="J319" s="686"/>
      <c r="K319" s="27"/>
      <c r="L319" s="686"/>
    </row>
    <row r="320" spans="1:16" x14ac:dyDescent="0.2">
      <c r="A320">
        <f>VLOOKUP(B320,'5 A data'!A319:G788,7,FALSE)</f>
        <v>1</v>
      </c>
      <c r="B320">
        <v>449</v>
      </c>
      <c r="D320" s="46" t="s">
        <v>543</v>
      </c>
      <c r="E320">
        <f>VLOOKUP($B320,'5 A calc'!$A$2:$AR$398,4,FALSE)</f>
        <v>5</v>
      </c>
      <c r="F320" s="4">
        <f>VLOOKUP($B320,'5 A calc'!$A$2:$AR$398,13,FALSE)</f>
        <v>-0.22282205714886522</v>
      </c>
      <c r="G320" s="4">
        <f>VLOOKUP($B320,'5 A calc'!$A$2:$AR$398,14,FALSE)</f>
        <v>0.39608036333819824</v>
      </c>
      <c r="H320" s="4"/>
      <c r="I320" s="4"/>
      <c r="J320" s="686">
        <f>VLOOKUP($B320,'5 A calc'!$A$2:$AR$398,16,FALSE)</f>
        <v>6.4429594675743464E-6</v>
      </c>
      <c r="K320" s="27">
        <f>VLOOKUP($B320,'5 A calc'!$A$2:$AT$398,45,FALSE)</f>
        <v>26.31606241070681</v>
      </c>
      <c r="L320" s="686">
        <f>VLOOKUP($B320,'5 A calc'!$A$2:$AR$398,30,FALSE)</f>
        <v>4.6788986298833412E-6</v>
      </c>
      <c r="M320" s="27">
        <f>VLOOKUP($B320,'5 A calc'!$A$2:$AT$398,46,FALSE)</f>
        <v>9.9413455012810044</v>
      </c>
    </row>
    <row r="321" spans="1:16" x14ac:dyDescent="0.2">
      <c r="A321">
        <f>VLOOKUP(B321,'5 A data'!A320:G789,7,FALSE)</f>
        <v>1</v>
      </c>
      <c r="B321">
        <v>450</v>
      </c>
      <c r="D321" s="46" t="s">
        <v>543</v>
      </c>
      <c r="E321">
        <f>VLOOKUP($B321,'5 A calc'!$A$2:$AR$398,4,FALSE)</f>
        <v>10</v>
      </c>
      <c r="F321" s="4">
        <f>VLOOKUP($B321,'5 A calc'!$A$2:$AR$398,13,FALSE)</f>
        <v>-0.18384885587892241</v>
      </c>
      <c r="G321" s="4">
        <f>VLOOKUP($B321,'5 A calc'!$A$2:$AR$398,14,FALSE)</f>
        <v>0.29851551432212203</v>
      </c>
      <c r="H321" s="4"/>
      <c r="I321" s="4"/>
      <c r="J321" s="686">
        <f>VLOOKUP($B321,'5 A calc'!$A$2:$AR$398,16,FALSE)</f>
        <v>5.0170517941146892E-6</v>
      </c>
      <c r="K321" s="27">
        <f>VLOOKUP($B321,'5 A calc'!$A$2:$AT$398,45,FALSE)</f>
        <v>38.265350164989712</v>
      </c>
      <c r="L321" s="686">
        <f>VLOOKUP($B321,'5 A calc'!$A$2:$AR$398,30,FALSE)</f>
        <v>2.600738521505678E-6</v>
      </c>
      <c r="M321" s="27">
        <f>VLOOKUP($B321,'5 A calc'!$A$2:$AT$398,46,FALSE)</f>
        <v>16.586629386739094</v>
      </c>
    </row>
    <row r="322" spans="1:16" x14ac:dyDescent="0.2">
      <c r="A322">
        <f>VLOOKUP(B322,'5 A data'!A321:G790,7,FALSE)</f>
        <v>1</v>
      </c>
      <c r="B322">
        <v>451</v>
      </c>
      <c r="D322" s="46" t="s">
        <v>543</v>
      </c>
      <c r="E322">
        <f>VLOOKUP($B322,'5 A calc'!$A$2:$AR$398,4,FALSE)</f>
        <v>20</v>
      </c>
      <c r="F322" s="4">
        <f>VLOOKUP($B322,'5 A calc'!$A$2:$AR$398,13,FALSE)</f>
        <v>-0.15786872112892961</v>
      </c>
      <c r="G322" s="4">
        <f>VLOOKUP($B322,'5 A calc'!$A$2:$AR$398,14,FALSE)</f>
        <v>0.24027103837754887</v>
      </c>
      <c r="H322" s="4"/>
      <c r="I322" s="4"/>
      <c r="J322" s="686">
        <f>VLOOKUP($B322,'5 A calc'!$A$2:$AR$398,16,FALSE)</f>
        <v>4.17832023036102E-6</v>
      </c>
      <c r="K322" s="27">
        <f>VLOOKUP($B322,'5 A calc'!$A$2:$AT$398,45,FALSE)</f>
        <v>36.657700403051521</v>
      </c>
      <c r="L322" s="686">
        <f>VLOOKUP($B322,'5 A calc'!$A$2:$AR$398,30,FALSE)</f>
        <v>1.9770475075939077E-6</v>
      </c>
      <c r="M322" s="27">
        <f>VLOOKUP($B322,'5 A calc'!$A$2:$AT$398,46,FALSE)</f>
        <v>53.09445811850042</v>
      </c>
    </row>
    <row r="323" spans="1:16" x14ac:dyDescent="0.2">
      <c r="A323">
        <f>VLOOKUP(B323,'5 A data'!A322:G791,7,FALSE)</f>
        <v>1</v>
      </c>
      <c r="B323">
        <v>452</v>
      </c>
      <c r="D323" s="46" t="s">
        <v>543</v>
      </c>
      <c r="E323">
        <f>VLOOKUP($B323,'5 A calc'!$A$2:$AR$398,4,FALSE)</f>
        <v>40</v>
      </c>
      <c r="F323" s="4">
        <f>VLOOKUP($B323,'5 A calc'!$A$2:$AR$398,13,FALSE)</f>
        <v>-0.13788745949748793</v>
      </c>
      <c r="G323" s="4">
        <f>VLOOKUP($B323,'5 A calc'!$A$2:$AR$398,14,FALSE)</f>
        <v>0.20532437774244733</v>
      </c>
      <c r="H323" s="4"/>
      <c r="I323" s="4"/>
      <c r="J323" s="686">
        <f>VLOOKUP($B323,'5 A calc'!$A$2:$AR$398,16,FALSE)</f>
        <v>3.3964590328801363E-6</v>
      </c>
      <c r="K323" s="27">
        <f>VLOOKUP($B323,'5 A calc'!$A$2:$AT$398,45,FALSE)</f>
        <v>38.659909732018328</v>
      </c>
      <c r="L323" s="686">
        <f>VLOOKUP($B323,'5 A calc'!$A$2:$AR$398,30,FALSE)</f>
        <v>1.6849048737447556E-6</v>
      </c>
      <c r="M323" s="27">
        <f>VLOOKUP($B323,'5 A calc'!$A$2:$AT$398,46,FALSE)</f>
        <v>52.499330597885681</v>
      </c>
    </row>
    <row r="324" spans="1:16" x14ac:dyDescent="0.2">
      <c r="A324">
        <f>VLOOKUP(B324,'5 A data'!A323:G792,7,FALSE)</f>
        <v>1</v>
      </c>
      <c r="B324">
        <v>453</v>
      </c>
      <c r="D324" s="46" t="s">
        <v>543</v>
      </c>
      <c r="E324">
        <f>VLOOKUP($B324,'5 A calc'!$A$2:$AR$398,4,FALSE)</f>
        <v>60</v>
      </c>
      <c r="F324" s="4">
        <f>VLOOKUP($B324,'5 A calc'!$A$2:$AR$398,13,FALSE)</f>
        <v>-0.12989576659663293</v>
      </c>
      <c r="G324" s="4">
        <f>VLOOKUP($B324,'5 A calc'!$A$2:$AR$398,14,FALSE)</f>
        <v>0.19076258148681702</v>
      </c>
      <c r="H324" s="4"/>
      <c r="I324" s="4"/>
      <c r="J324" s="686">
        <f>VLOOKUP($B324,'5 A calc'!$A$2:$AR$398,16,FALSE)</f>
        <v>2.9709098248278708E-6</v>
      </c>
      <c r="K324" s="27">
        <f>VLOOKUP($B324,'5 A calc'!$A$2:$AT$398,45,FALSE)</f>
        <v>42.291164682130272</v>
      </c>
      <c r="L324" s="686">
        <f>VLOOKUP($B324,'5 A calc'!$A$2:$AR$398,30,FALSE)</f>
        <v>1.6017059195029239E-6</v>
      </c>
      <c r="M324" s="27">
        <f>VLOOKUP($B324,'5 A calc'!$A$2:$AT$398,46,FALSE)</f>
        <v>48.978667479860043</v>
      </c>
    </row>
    <row r="325" spans="1:16" x14ac:dyDescent="0.2">
      <c r="A325">
        <f>VLOOKUP(B325,'5 A data'!A324:G793,7,FALSE)</f>
        <v>1</v>
      </c>
      <c r="B325">
        <v>454</v>
      </c>
      <c r="D325" s="46" t="s">
        <v>543</v>
      </c>
      <c r="E325">
        <f>VLOOKUP($B325,'5 A calc'!$A$2:$AR$398,4,FALSE)</f>
        <v>100</v>
      </c>
      <c r="F325" s="4">
        <f>VLOOKUP($B325,'5 A calc'!$A$2:$AR$398,13,FALSE)</f>
        <v>-0.12090653758511721</v>
      </c>
      <c r="G325" s="4">
        <f>VLOOKUP($B325,'5 A calc'!$A$2:$AR$398,14,FALSE)</f>
        <v>0.17474662383870593</v>
      </c>
      <c r="H325" s="4"/>
      <c r="I325" s="4"/>
      <c r="J325" s="686">
        <f>VLOOKUP($B325,'5 A calc'!$A$2:$AR$398,16,FALSE)</f>
        <v>2.4131313466023584E-6</v>
      </c>
      <c r="K325" s="27">
        <f>VLOOKUP($B325,'5 A calc'!$A$2:$AT$398,45,FALSE)</f>
        <v>59.567261398457461</v>
      </c>
      <c r="L325" s="686">
        <f>VLOOKUP($B325,'5 A calc'!$A$2:$AR$398,30,FALSE)</f>
        <v>1.6933288916776063E-6</v>
      </c>
      <c r="M325" s="27">
        <f>VLOOKUP($B325,'5 A calc'!$A$2:$AT$398,46,FALSE)</f>
        <v>45.732629829898706</v>
      </c>
    </row>
    <row r="326" spans="1:16" x14ac:dyDescent="0.2">
      <c r="A326">
        <f>VLOOKUP(B326,'5 A data'!A325:G794,7,FALSE)</f>
        <v>1</v>
      </c>
      <c r="B326">
        <v>455</v>
      </c>
      <c r="D326" s="46" t="s">
        <v>543</v>
      </c>
      <c r="E326">
        <f>VLOOKUP($B326,'5 A calc'!$A$2:$AR$398,4,FALSE)</f>
        <v>120</v>
      </c>
      <c r="F326" s="4">
        <f>VLOOKUP($B326,'5 A calc'!$A$2:$AR$398,13,FALSE)</f>
        <v>-0.11890947147813105</v>
      </c>
      <c r="G326" s="4">
        <f>VLOOKUP($B326,'5 A calc'!$A$2:$AR$398,14,FALSE)</f>
        <v>0.16892221110865976</v>
      </c>
      <c r="H326" s="4"/>
      <c r="I326" s="4"/>
      <c r="J326" s="686">
        <f>VLOOKUP($B326,'5 A calc'!$A$2:$AR$398,16,FALSE)</f>
        <v>2.2681305202526645E-6</v>
      </c>
      <c r="K326" s="27">
        <f>VLOOKUP($B326,'5 A calc'!$A$2:$AT$398,45,FALSE)</f>
        <v>68.00069900375496</v>
      </c>
      <c r="L326" s="686">
        <f>VLOOKUP($B326,'5 A calc'!$A$2:$AR$398,30,FALSE)</f>
        <v>1.7092397901526349E-6</v>
      </c>
      <c r="M326" s="27">
        <f>VLOOKUP($B326,'5 A calc'!$A$2:$AT$398,46,FALSE)</f>
        <v>47.345132453902309</v>
      </c>
    </row>
    <row r="327" spans="1:16" x14ac:dyDescent="0.2">
      <c r="F327" s="4"/>
      <c r="G327" s="4"/>
    </row>
    <row r="328" spans="1:16" x14ac:dyDescent="0.2">
      <c r="F328" s="4"/>
      <c r="G328" s="4"/>
    </row>
    <row r="329" spans="1:16" x14ac:dyDescent="0.2">
      <c r="A329">
        <f>VLOOKUP(B329,'5 A data'!A328:G797,7,FALSE)</f>
        <v>10</v>
      </c>
      <c r="B329">
        <v>459</v>
      </c>
      <c r="D329" s="46" t="s">
        <v>545</v>
      </c>
      <c r="E329">
        <f>VLOOKUP($B329,'5 A calc'!$A$2:$AR$398,4,FALSE)</f>
        <v>5</v>
      </c>
      <c r="F329" s="4">
        <f>VLOOKUP($B329,'5 A calc'!$A$2:$AR$398,13,FALSE)</f>
        <v>-1.0792796610093891</v>
      </c>
      <c r="G329" s="4">
        <f>VLOOKUP($B329,'5 A calc'!$A$2:$AR$398,14,FALSE)</f>
        <v>0.50966088543628718</v>
      </c>
      <c r="H329" s="4"/>
      <c r="I329" s="4"/>
      <c r="J329" s="686">
        <f>VLOOKUP($B329,'5 A calc'!$A$2:$AR$398,16,FALSE)</f>
        <v>6.4429594675743464E-6</v>
      </c>
      <c r="K329" s="27">
        <f>VLOOKUP($B329,'5 A calc'!$A$2:$AT$398,45,FALSE)</f>
        <v>26.31606241070681</v>
      </c>
      <c r="L329" s="686">
        <f>VLOOKUP($B329,'5 A calc'!$A$2:$AR$398,30,FALSE)</f>
        <v>4.6788986298833412E-6</v>
      </c>
      <c r="M329" s="27">
        <f>VLOOKUP($B329,'5 A calc'!$A$2:$AT$398,46,FALSE)</f>
        <v>9.9413455012810044</v>
      </c>
      <c r="N329" s="4"/>
      <c r="O329" s="27"/>
      <c r="P329" s="27"/>
    </row>
    <row r="330" spans="1:16" x14ac:dyDescent="0.2">
      <c r="A330">
        <f>VLOOKUP(B330,'5 A data'!A329:G798,7,FALSE)</f>
        <v>2</v>
      </c>
      <c r="B330">
        <v>460</v>
      </c>
      <c r="D330" s="46" t="s">
        <v>545</v>
      </c>
      <c r="E330">
        <f>VLOOKUP($B330,'5 A calc'!$A$2:$AR$398,4,FALSE)</f>
        <v>10</v>
      </c>
      <c r="F330" s="4">
        <f>VLOOKUP($B330,'5 A calc'!$A$2:$AR$398,13,FALSE)</f>
        <v>-0.94536658533250351</v>
      </c>
      <c r="G330" s="4">
        <f>VLOOKUP($B330,'5 A calc'!$A$2:$AR$398,14,FALSE)</f>
        <v>0.43685076559543545</v>
      </c>
      <c r="H330" s="4"/>
      <c r="I330" s="4"/>
      <c r="J330" s="686">
        <f>VLOOKUP($B330,'5 A calc'!$A$2:$AR$398,16,FALSE)</f>
        <v>5.0170517941146892E-6</v>
      </c>
      <c r="K330" s="27">
        <f>VLOOKUP($B330,'5 A calc'!$A$2:$AT$398,45,FALSE)</f>
        <v>38.265350164989712</v>
      </c>
      <c r="L330" s="686">
        <f>VLOOKUP($B330,'5 A calc'!$A$2:$AR$398,30,FALSE)</f>
        <v>2.600738521505678E-6</v>
      </c>
      <c r="M330" s="27">
        <f>VLOOKUP($B330,'5 A calc'!$A$2:$AT$398,46,FALSE)</f>
        <v>16.586629386739094</v>
      </c>
      <c r="N330" s="4"/>
      <c r="O330" s="27"/>
      <c r="P330" s="27"/>
    </row>
    <row r="331" spans="1:16" x14ac:dyDescent="0.2">
      <c r="A331">
        <f>VLOOKUP(B331,'5 A data'!A330:G799,7,FALSE)</f>
        <v>2</v>
      </c>
      <c r="B331">
        <v>461</v>
      </c>
      <c r="D331" s="46" t="s">
        <v>545</v>
      </c>
      <c r="E331">
        <f>VLOOKUP($B331,'5 A calc'!$A$2:$AR$398,4,FALSE)</f>
        <v>20</v>
      </c>
      <c r="F331" s="4">
        <f>VLOOKUP($B331,'5 A calc'!$A$2:$AR$398,13,FALSE)</f>
        <v>-0.84343455105695664</v>
      </c>
      <c r="G331" s="4">
        <f>VLOOKUP($B331,'5 A calc'!$A$2:$AR$398,14,FALSE)</f>
        <v>0.37569396857142406</v>
      </c>
      <c r="H331" s="4"/>
      <c r="I331" s="4"/>
      <c r="J331" s="686">
        <f>VLOOKUP($B331,'5 A calc'!$A$2:$AR$398,16,FALSE)</f>
        <v>4.17832023036102E-6</v>
      </c>
      <c r="K331" s="27">
        <f>VLOOKUP($B331,'5 A calc'!$A$2:$AT$398,45,FALSE)</f>
        <v>36.657700403051521</v>
      </c>
      <c r="L331" s="686">
        <f>VLOOKUP($B331,'5 A calc'!$A$2:$AR$398,30,FALSE)</f>
        <v>1.9770475075939077E-6</v>
      </c>
      <c r="M331" s="27">
        <f>VLOOKUP($B331,'5 A calc'!$A$2:$AT$398,46,FALSE)</f>
        <v>53.09445811850042</v>
      </c>
      <c r="N331" s="4"/>
      <c r="O331" s="27"/>
      <c r="P331" s="27"/>
    </row>
    <row r="332" spans="1:16" x14ac:dyDescent="0.2">
      <c r="A332">
        <f>VLOOKUP(B332,'5 A data'!A331:G800,7,FALSE)</f>
        <v>2</v>
      </c>
      <c r="B332">
        <v>462</v>
      </c>
      <c r="D332" s="46" t="s">
        <v>545</v>
      </c>
      <c r="E332">
        <f>VLOOKUP($B332,'5 A calc'!$A$2:$AR$398,4,FALSE)</f>
        <v>40</v>
      </c>
      <c r="F332" s="4">
        <f>VLOOKUP($B332,'5 A calc'!$A$2:$AR$398,13,FALSE)</f>
        <v>-0.76548999768232906</v>
      </c>
      <c r="G332" s="4">
        <f>VLOOKUP($B332,'5 A calc'!$A$2:$AR$398,14,FALSE)</f>
        <v>0.33201034469800811</v>
      </c>
      <c r="H332" s="4"/>
      <c r="I332" s="4"/>
      <c r="J332" s="686">
        <f>VLOOKUP($B332,'5 A calc'!$A$2:$AR$398,16,FALSE)</f>
        <v>3.3964590328801363E-6</v>
      </c>
      <c r="K332" s="27">
        <f>VLOOKUP($B332,'5 A calc'!$A$2:$AT$398,45,FALSE)</f>
        <v>38.659909732018328</v>
      </c>
      <c r="L332" s="686">
        <f>VLOOKUP($B332,'5 A calc'!$A$2:$AR$398,30,FALSE)</f>
        <v>1.6849048737447556E-6</v>
      </c>
      <c r="M332" s="27">
        <f>VLOOKUP($B332,'5 A calc'!$A$2:$AT$398,46,FALSE)</f>
        <v>52.499330597885681</v>
      </c>
      <c r="N332" s="4"/>
      <c r="O332" s="27"/>
      <c r="P332" s="27"/>
    </row>
    <row r="333" spans="1:16" x14ac:dyDescent="0.2">
      <c r="A333">
        <f>VLOOKUP(B333,'5 A data'!A332:G801,7,FALSE)</f>
        <v>2</v>
      </c>
      <c r="B333">
        <v>463</v>
      </c>
      <c r="D333" s="46" t="s">
        <v>545</v>
      </c>
      <c r="E333">
        <f>VLOOKUP($B333,'5 A calc'!$A$2:$AR$398,4,FALSE)</f>
        <v>60</v>
      </c>
      <c r="F333" s="4">
        <f>VLOOKUP($B333,'5 A calc'!$A$2:$AR$398,13,FALSE)</f>
        <v>-0.72152108921673785</v>
      </c>
      <c r="G333" s="4">
        <f>VLOOKUP($B333,'5 A calc'!$A$2:$AR$398,14,FALSE)</f>
        <v>0.28541301656855783</v>
      </c>
      <c r="H333" s="4"/>
      <c r="I333" s="4"/>
      <c r="J333" s="686">
        <f>VLOOKUP($B333,'5 A calc'!$A$2:$AR$398,16,FALSE)</f>
        <v>2.9709098248278708E-6</v>
      </c>
      <c r="K333" s="27">
        <f>VLOOKUP($B333,'5 A calc'!$A$2:$AT$398,45,FALSE)</f>
        <v>42.291164682130272</v>
      </c>
      <c r="L333" s="686">
        <f>VLOOKUP($B333,'5 A calc'!$A$2:$AR$398,30,FALSE)</f>
        <v>1.6017059195029239E-6</v>
      </c>
      <c r="M333" s="27">
        <f>VLOOKUP($B333,'5 A calc'!$A$2:$AT$398,46,FALSE)</f>
        <v>48.978667479860043</v>
      </c>
      <c r="N333" s="4"/>
      <c r="O333" s="27"/>
      <c r="P333" s="27"/>
    </row>
    <row r="334" spans="1:16" x14ac:dyDescent="0.2">
      <c r="A334">
        <f>VLOOKUP(B334,'5 A data'!A333:G802,7,FALSE)</f>
        <v>2</v>
      </c>
      <c r="B334">
        <v>464</v>
      </c>
      <c r="D334" s="46" t="s">
        <v>545</v>
      </c>
      <c r="E334">
        <f>VLOOKUP($B334,'5 A calc'!$A$2:$AR$398,4,FALSE)</f>
        <v>100</v>
      </c>
      <c r="F334" s="4">
        <f>VLOOKUP($B334,'5 A calc'!$A$2:$AR$398,13,FALSE)</f>
        <v>-0.65556793556105675</v>
      </c>
      <c r="G334" s="4">
        <f>VLOOKUP($B334,'5 A calc'!$A$2:$AR$398,14,FALSE)</f>
        <v>0.20095751355364952</v>
      </c>
      <c r="H334" s="4"/>
      <c r="I334" s="4"/>
      <c r="J334" s="686">
        <f>VLOOKUP($B334,'5 A calc'!$A$2:$AR$398,16,FALSE)</f>
        <v>2.4131313466023584E-6</v>
      </c>
      <c r="K334" s="27">
        <f>VLOOKUP($B334,'5 A calc'!$A$2:$AT$398,45,FALSE)</f>
        <v>59.567261398457461</v>
      </c>
      <c r="L334" s="686">
        <f>VLOOKUP($B334,'5 A calc'!$A$2:$AR$398,30,FALSE)</f>
        <v>1.6933288916776063E-6</v>
      </c>
      <c r="M334" s="27">
        <f>VLOOKUP($B334,'5 A calc'!$A$2:$AT$398,46,FALSE)</f>
        <v>45.732629829898706</v>
      </c>
      <c r="N334" s="4"/>
      <c r="O334" s="27"/>
      <c r="P334" s="27"/>
    </row>
    <row r="335" spans="1:16" x14ac:dyDescent="0.2">
      <c r="A335">
        <f>VLOOKUP(B335,'5 A data'!A334:G803,7,FALSE)</f>
        <v>2</v>
      </c>
      <c r="B335">
        <v>465</v>
      </c>
      <c r="D335" s="46" t="s">
        <v>545</v>
      </c>
      <c r="E335">
        <f>VLOOKUP($B335,'5 A calc'!$A$2:$AR$398,4,FALSE)</f>
        <v>120</v>
      </c>
      <c r="F335" s="4">
        <f>VLOOKUP($B335,'5 A calc'!$A$2:$AR$398,13,FALSE)</f>
        <v>-0.62358985648345711</v>
      </c>
      <c r="G335" s="4">
        <f>VLOOKUP($B335,'5 A calc'!$A$2:$AR$398,14,FALSE)</f>
        <v>0.17474685326753611</v>
      </c>
      <c r="H335" s="4"/>
      <c r="I335" s="4"/>
      <c r="J335" s="686">
        <f>VLOOKUP($B335,'5 A calc'!$A$2:$AR$398,16,FALSE)</f>
        <v>2.2681305202526645E-6</v>
      </c>
      <c r="K335" s="27">
        <f>VLOOKUP($B335,'5 A calc'!$A$2:$AT$398,45,FALSE)</f>
        <v>68.00069900375496</v>
      </c>
      <c r="L335" s="686">
        <f>VLOOKUP($B335,'5 A calc'!$A$2:$AR$398,30,FALSE)</f>
        <v>1.7092397901526349E-6</v>
      </c>
      <c r="M335" s="27">
        <f>VLOOKUP($B335,'5 A calc'!$A$2:$AT$398,46,FALSE)</f>
        <v>47.345132453902309</v>
      </c>
      <c r="N335" s="4"/>
      <c r="O335" s="27"/>
      <c r="P335" s="27"/>
    </row>
    <row r="336" spans="1:16" x14ac:dyDescent="0.2">
      <c r="F336" s="4"/>
      <c r="G336" s="4"/>
      <c r="H336" s="4"/>
      <c r="I336" s="4"/>
      <c r="J336" s="686"/>
      <c r="K336" s="27"/>
      <c r="L336" s="686"/>
    </row>
    <row r="337" spans="1:18" x14ac:dyDescent="0.2">
      <c r="A337">
        <f>VLOOKUP(B337,'5 A data'!A336:G805,7,FALSE)</f>
        <v>1</v>
      </c>
      <c r="B337">
        <v>467</v>
      </c>
      <c r="D337" s="46" t="s">
        <v>543</v>
      </c>
      <c r="E337">
        <f>VLOOKUP($B337,'5 A calc'!$A$2:$AR$398,4,FALSE)</f>
        <v>5</v>
      </c>
      <c r="F337" s="4">
        <f>VLOOKUP($B337,'5 A calc'!$A$2:$AR$398,13,FALSE)</f>
        <v>-0.22382142424788565</v>
      </c>
      <c r="G337" s="4">
        <f>VLOOKUP($B337,'5 A calc'!$A$2:$AR$398,14,FALSE)</f>
        <v>0.39316804225876012</v>
      </c>
      <c r="H337" s="4"/>
      <c r="I337" s="4"/>
      <c r="J337" s="686">
        <f>VLOOKUP($B337,'5 A calc'!$A$2:$AR$398,16,FALSE)</f>
        <v>6.4429594675743464E-6</v>
      </c>
      <c r="K337" s="27">
        <f>VLOOKUP($B337,'5 A calc'!$A$2:$AT$398,45,FALSE)</f>
        <v>26.31606241070681</v>
      </c>
      <c r="L337" s="686">
        <f>VLOOKUP($B337,'5 A calc'!$A$2:$AR$398,30,FALSE)</f>
        <v>4.6788986298833412E-6</v>
      </c>
      <c r="M337" s="27">
        <f>VLOOKUP($B337,'5 A calc'!$A$2:$AT$398,46,FALSE)</f>
        <v>9.9413455012810044</v>
      </c>
    </row>
    <row r="338" spans="1:18" x14ac:dyDescent="0.2">
      <c r="A338">
        <f>VLOOKUP(B338,'5 A data'!A337:G806,7,FALSE)</f>
        <v>1</v>
      </c>
      <c r="B338">
        <v>468</v>
      </c>
      <c r="D338" s="46" t="s">
        <v>543</v>
      </c>
      <c r="E338">
        <f>VLOOKUP($B338,'5 A calc'!$A$2:$AR$398,4,FALSE)</f>
        <v>10</v>
      </c>
      <c r="F338" s="4">
        <f>VLOOKUP($B338,'5 A calc'!$A$2:$AR$398,13,FALSE)</f>
        <v>-0.18484822297794287</v>
      </c>
      <c r="G338" s="4">
        <f>VLOOKUP($B338,'5 A calc'!$A$2:$AR$398,14,FALSE)</f>
        <v>0.29997167486184112</v>
      </c>
      <c r="H338" s="4"/>
      <c r="I338" s="4"/>
      <c r="J338" s="686">
        <f>VLOOKUP($B338,'5 A calc'!$A$2:$AR$398,16,FALSE)</f>
        <v>5.0170517941146892E-6</v>
      </c>
      <c r="K338" s="27">
        <f>VLOOKUP($B338,'5 A calc'!$A$2:$AT$398,45,FALSE)</f>
        <v>38.265350164989712</v>
      </c>
      <c r="L338" s="686">
        <f>VLOOKUP($B338,'5 A calc'!$A$2:$AR$398,30,FALSE)</f>
        <v>2.600738521505678E-6</v>
      </c>
      <c r="M338" s="27">
        <f>VLOOKUP($B338,'5 A calc'!$A$2:$AT$398,46,FALSE)</f>
        <v>16.586629386739094</v>
      </c>
    </row>
    <row r="339" spans="1:18" x14ac:dyDescent="0.2">
      <c r="A339">
        <f>VLOOKUP(B339,'5 A data'!A338:G807,7,FALSE)</f>
        <v>1</v>
      </c>
      <c r="B339">
        <v>469</v>
      </c>
      <c r="D339" s="46" t="s">
        <v>543</v>
      </c>
      <c r="E339">
        <f>VLOOKUP($B339,'5 A calc'!$A$2:$AR$398,4,FALSE)</f>
        <v>20</v>
      </c>
      <c r="F339" s="4">
        <f>VLOOKUP($B339,'5 A calc'!$A$2:$AR$398,13,FALSE)</f>
        <v>-0.15487061983186828</v>
      </c>
      <c r="G339" s="4">
        <f>VLOOKUP($B339,'5 A calc'!$A$2:$AR$398,14,FALSE)</f>
        <v>0.23881487783782979</v>
      </c>
      <c r="H339" s="4"/>
      <c r="I339" s="4"/>
      <c r="J339" s="686">
        <f>VLOOKUP($B339,'5 A calc'!$A$2:$AR$398,16,FALSE)</f>
        <v>4.17832023036102E-6</v>
      </c>
      <c r="K339" s="27">
        <f>VLOOKUP($B339,'5 A calc'!$A$2:$AT$398,45,FALSE)</f>
        <v>36.657700403051521</v>
      </c>
      <c r="L339" s="686">
        <f>VLOOKUP($B339,'5 A calc'!$A$2:$AR$398,30,FALSE)</f>
        <v>1.9770475075939077E-6</v>
      </c>
      <c r="M339" s="27">
        <f>VLOOKUP($B339,'5 A calc'!$A$2:$AT$398,46,FALSE)</f>
        <v>53.09445811850042</v>
      </c>
      <c r="R339" s="46"/>
    </row>
    <row r="340" spans="1:18" x14ac:dyDescent="0.2">
      <c r="A340">
        <f>VLOOKUP(B340,'5 A data'!A339:G808,7,FALSE)</f>
        <v>1</v>
      </c>
      <c r="B340">
        <v>470</v>
      </c>
      <c r="D340" s="46" t="s">
        <v>543</v>
      </c>
      <c r="E340">
        <f>VLOOKUP($B340,'5 A calc'!$A$2:$AR$398,4,FALSE)</f>
        <v>40</v>
      </c>
      <c r="F340" s="4">
        <f>VLOOKUP($B340,'5 A calc'!$A$2:$AR$398,13,FALSE)</f>
        <v>-0.13788745949748793</v>
      </c>
      <c r="G340" s="4">
        <f>VLOOKUP($B340,'5 A calc'!$A$2:$AR$398,14,FALSE)</f>
        <v>0.20532437774244733</v>
      </c>
      <c r="H340" s="4"/>
      <c r="I340" s="4"/>
      <c r="J340" s="686">
        <f>VLOOKUP($B340,'5 A calc'!$A$2:$AR$398,16,FALSE)</f>
        <v>3.3964590328801363E-6</v>
      </c>
      <c r="K340" s="27">
        <f>VLOOKUP($B340,'5 A calc'!$A$2:$AT$398,45,FALSE)</f>
        <v>38.659909732018328</v>
      </c>
      <c r="L340" s="686">
        <f>VLOOKUP($B340,'5 A calc'!$A$2:$AR$398,30,FALSE)</f>
        <v>1.6849048737447556E-6</v>
      </c>
      <c r="M340" s="27">
        <f>VLOOKUP($B340,'5 A calc'!$A$2:$AT$398,46,FALSE)</f>
        <v>52.499330597885681</v>
      </c>
    </row>
    <row r="341" spans="1:18" x14ac:dyDescent="0.2">
      <c r="A341">
        <f>VLOOKUP(B341,'5 A data'!A340:G809,7,FALSE)</f>
        <v>1</v>
      </c>
      <c r="B341">
        <v>471</v>
      </c>
      <c r="D341" s="46" t="s">
        <v>543</v>
      </c>
      <c r="E341">
        <f>VLOOKUP($B341,'5 A calc'!$A$2:$AR$398,4,FALSE)</f>
        <v>60</v>
      </c>
      <c r="F341" s="4">
        <f>VLOOKUP($B341,'5 A calc'!$A$2:$AR$398,13,FALSE)</f>
        <v>-0.12939608304712269</v>
      </c>
      <c r="G341" s="4">
        <f>VLOOKUP($B341,'5 A calc'!$A$2:$AR$398,14,FALSE)</f>
        <v>0.1893064209470979</v>
      </c>
      <c r="H341" s="4"/>
      <c r="I341" s="4"/>
      <c r="J341" s="686">
        <f>VLOOKUP($B341,'5 A calc'!$A$2:$AR$398,16,FALSE)</f>
        <v>2.9709098248278708E-6</v>
      </c>
      <c r="K341" s="27">
        <f>VLOOKUP($B341,'5 A calc'!$A$2:$AT$398,45,FALSE)</f>
        <v>42.291164682130272</v>
      </c>
      <c r="L341" s="686">
        <f>VLOOKUP($B341,'5 A calc'!$A$2:$AR$398,30,FALSE)</f>
        <v>1.6017059195029239E-6</v>
      </c>
      <c r="M341" s="27">
        <f>VLOOKUP($B341,'5 A calc'!$A$2:$AT$398,46,FALSE)</f>
        <v>48.978667479860043</v>
      </c>
    </row>
    <row r="342" spans="1:18" x14ac:dyDescent="0.2">
      <c r="A342">
        <f>VLOOKUP(B342,'5 A data'!A341:G810,7,FALSE)</f>
        <v>1</v>
      </c>
      <c r="B342">
        <v>472</v>
      </c>
      <c r="D342" s="46" t="s">
        <v>543</v>
      </c>
      <c r="E342">
        <f>VLOOKUP($B342,'5 A calc'!$A$2:$AR$398,4,FALSE)</f>
        <v>100</v>
      </c>
      <c r="F342" s="4">
        <f>VLOOKUP($B342,'5 A calc'!$A$2:$AR$398,13,FALSE)</f>
        <v>-0.12090653758511721</v>
      </c>
      <c r="G342" s="4">
        <f>VLOOKUP($B342,'5 A calc'!$A$2:$AR$398,14,FALSE)</f>
        <v>0.17620278437842499</v>
      </c>
      <c r="H342" s="4"/>
      <c r="I342" s="4"/>
      <c r="J342" s="686">
        <f>VLOOKUP($B342,'5 A calc'!$A$2:$AR$398,16,FALSE)</f>
        <v>2.4131313466023584E-6</v>
      </c>
      <c r="K342" s="27">
        <f>VLOOKUP($B342,'5 A calc'!$A$2:$AT$398,45,FALSE)</f>
        <v>59.567261398457461</v>
      </c>
      <c r="L342" s="686">
        <f>VLOOKUP($B342,'5 A calc'!$A$2:$AR$398,30,FALSE)</f>
        <v>1.6933288916776063E-6</v>
      </c>
      <c r="M342" s="27">
        <f>VLOOKUP($B342,'5 A calc'!$A$2:$AT$398,46,FALSE)</f>
        <v>45.732629829898706</v>
      </c>
    </row>
    <row r="343" spans="1:18" x14ac:dyDescent="0.2">
      <c r="A343">
        <f>VLOOKUP(B343,'5 A data'!A342:G811,7,FALSE)</f>
        <v>1</v>
      </c>
      <c r="B343">
        <v>473</v>
      </c>
      <c r="D343" s="46" t="s">
        <v>543</v>
      </c>
      <c r="E343">
        <f>VLOOKUP($B343,'5 A calc'!$A$2:$AR$398,4,FALSE)</f>
        <v>120</v>
      </c>
      <c r="F343" s="4">
        <f>VLOOKUP($B343,'5 A calc'!$A$2:$AR$398,13,FALSE)</f>
        <v>-0.11890947147813105</v>
      </c>
      <c r="G343" s="4">
        <f>VLOOKUP($B343,'5 A calc'!$A$2:$AR$398,14,FALSE)</f>
        <v>0.17183453218809797</v>
      </c>
      <c r="H343" s="4"/>
      <c r="I343" s="4"/>
      <c r="J343" s="686">
        <f>VLOOKUP($B343,'5 A calc'!$A$2:$AR$398,16,FALSE)</f>
        <v>2.2681305202526645E-6</v>
      </c>
      <c r="K343" s="27">
        <f>VLOOKUP($B343,'5 A calc'!$A$2:$AT$398,45,FALSE)</f>
        <v>68.00069900375496</v>
      </c>
      <c r="L343" s="686">
        <f>VLOOKUP($B343,'5 A calc'!$A$2:$AR$398,30,FALSE)</f>
        <v>1.7092397901526349E-6</v>
      </c>
      <c r="M343" s="27">
        <f>VLOOKUP($B343,'5 A calc'!$A$2:$AT$398,46,FALSE)</f>
        <v>47.345132453902309</v>
      </c>
    </row>
    <row r="346" spans="1:18" x14ac:dyDescent="0.2">
      <c r="F346" s="4"/>
      <c r="G346" s="4"/>
      <c r="K346" s="27"/>
      <c r="L346" s="4"/>
      <c r="M346" s="27"/>
      <c r="N346" s="4"/>
      <c r="O346" s="27"/>
      <c r="P346" s="27"/>
    </row>
    <row r="347" spans="1:18" x14ac:dyDescent="0.2">
      <c r="F347" s="4"/>
      <c r="G347" s="4"/>
      <c r="K347" s="27"/>
      <c r="L347" s="4"/>
      <c r="M347" s="27"/>
      <c r="N347" s="4"/>
      <c r="O347" s="27"/>
      <c r="P347" s="27"/>
    </row>
    <row r="348" spans="1:18" x14ac:dyDescent="0.2">
      <c r="F348" s="4"/>
      <c r="G348" s="4"/>
      <c r="K348" s="27"/>
      <c r="L348" s="4"/>
      <c r="M348" s="27"/>
      <c r="N348" s="4"/>
      <c r="O348" s="27"/>
      <c r="P348" s="27"/>
    </row>
    <row r="349" spans="1:18" x14ac:dyDescent="0.2">
      <c r="F349" s="4"/>
      <c r="G349" s="4"/>
      <c r="K349" s="27"/>
      <c r="L349" s="4"/>
      <c r="M349" s="27"/>
      <c r="N349" s="4"/>
      <c r="O349" s="27"/>
      <c r="P349" s="27"/>
    </row>
    <row r="350" spans="1:18" x14ac:dyDescent="0.2">
      <c r="F350" s="4"/>
      <c r="G350" s="4"/>
      <c r="K350" s="27"/>
      <c r="L350" s="4"/>
      <c r="M350" s="27"/>
      <c r="N350" s="4"/>
      <c r="O350" s="27"/>
      <c r="P350" s="27"/>
    </row>
    <row r="351" spans="1:18" x14ac:dyDescent="0.2">
      <c r="F351" s="4"/>
      <c r="G351" s="4"/>
      <c r="K351" s="27"/>
      <c r="L351" s="4"/>
      <c r="M351" s="27"/>
      <c r="N351" s="4"/>
      <c r="O351" s="27"/>
      <c r="P351" s="27"/>
    </row>
    <row r="352" spans="1:18" x14ac:dyDescent="0.2">
      <c r="F352" s="4"/>
      <c r="G352" s="4"/>
      <c r="K352" s="27"/>
      <c r="L352" s="4"/>
      <c r="M352" s="27"/>
      <c r="N352" s="4"/>
      <c r="O352" s="27"/>
      <c r="P352" s="27"/>
    </row>
    <row r="353" spans="11:13" x14ac:dyDescent="0.2">
      <c r="K353" s="27"/>
    </row>
    <row r="354" spans="11:13" x14ac:dyDescent="0.2">
      <c r="K354" s="27"/>
      <c r="M354" s="27"/>
    </row>
    <row r="355" spans="11:13" x14ac:dyDescent="0.2">
      <c r="K355" s="27"/>
      <c r="M355" s="27"/>
    </row>
    <row r="356" spans="11:13" x14ac:dyDescent="0.2">
      <c r="K356" s="27"/>
      <c r="M356" s="27"/>
    </row>
    <row r="357" spans="11:13" x14ac:dyDescent="0.2">
      <c r="K357" s="27"/>
      <c r="M357" s="27"/>
    </row>
    <row r="358" spans="11:13" x14ac:dyDescent="0.2">
      <c r="K358" s="27"/>
      <c r="M358" s="27"/>
    </row>
    <row r="359" spans="11:13" x14ac:dyDescent="0.2">
      <c r="K359" s="27"/>
      <c r="M359" s="27"/>
    </row>
    <row r="360" spans="11:13" x14ac:dyDescent="0.2">
      <c r="K360" s="27"/>
      <c r="M360" s="27"/>
    </row>
    <row r="363" spans="11:13" x14ac:dyDescent="0.2">
      <c r="K363" s="27"/>
      <c r="M363" s="27"/>
    </row>
    <row r="364" spans="11:13" x14ac:dyDescent="0.2">
      <c r="K364" s="27"/>
      <c r="M364" s="27"/>
    </row>
    <row r="365" spans="11:13" x14ac:dyDescent="0.2">
      <c r="K365" s="27"/>
      <c r="M365" s="27"/>
    </row>
    <row r="366" spans="11:13" x14ac:dyDescent="0.2">
      <c r="K366" s="27"/>
      <c r="M366" s="27"/>
    </row>
    <row r="367" spans="11:13" x14ac:dyDescent="0.2">
      <c r="K367" s="27"/>
      <c r="M367" s="27"/>
    </row>
    <row r="368" spans="11:13" x14ac:dyDescent="0.2">
      <c r="K368" s="27"/>
      <c r="M368" s="27"/>
    </row>
    <row r="369" spans="11:13" x14ac:dyDescent="0.2">
      <c r="K369" s="27"/>
      <c r="M369" s="27"/>
    </row>
    <row r="370" spans="11:13" x14ac:dyDescent="0.2">
      <c r="K370" s="27"/>
    </row>
    <row r="371" spans="11:13" x14ac:dyDescent="0.2">
      <c r="K371" s="27"/>
      <c r="M371" s="27"/>
    </row>
    <row r="372" spans="11:13" x14ac:dyDescent="0.2">
      <c r="K372" s="27"/>
      <c r="M372" s="27"/>
    </row>
    <row r="373" spans="11:13" x14ac:dyDescent="0.2">
      <c r="K373" s="27"/>
      <c r="M373" s="27"/>
    </row>
    <row r="374" spans="11:13" x14ac:dyDescent="0.2">
      <c r="K374" s="27"/>
      <c r="M374" s="27"/>
    </row>
    <row r="375" spans="11:13" x14ac:dyDescent="0.2">
      <c r="K375" s="27"/>
      <c r="M375" s="27"/>
    </row>
    <row r="376" spans="11:13" x14ac:dyDescent="0.2">
      <c r="K376" s="27"/>
      <c r="M376" s="27"/>
    </row>
    <row r="377" spans="11:13" x14ac:dyDescent="0.2">
      <c r="K377" s="27"/>
      <c r="M377" s="27"/>
    </row>
    <row r="380" spans="11:13" x14ac:dyDescent="0.2">
      <c r="K380" s="27"/>
      <c r="M380" s="27"/>
    </row>
    <row r="381" spans="11:13" x14ac:dyDescent="0.2">
      <c r="K381" s="27"/>
      <c r="M381" s="27"/>
    </row>
    <row r="382" spans="11:13" x14ac:dyDescent="0.2">
      <c r="K382" s="27"/>
      <c r="M382" s="27"/>
    </row>
    <row r="383" spans="11:13" x14ac:dyDescent="0.2">
      <c r="K383" s="27"/>
      <c r="M383" s="27"/>
    </row>
    <row r="384" spans="11:13" x14ac:dyDescent="0.2">
      <c r="K384" s="27"/>
      <c r="M384" s="27"/>
    </row>
    <row r="385" spans="11:13" x14ac:dyDescent="0.2">
      <c r="K385" s="27"/>
      <c r="M385" s="27"/>
    </row>
    <row r="386" spans="11:13" x14ac:dyDescent="0.2">
      <c r="K386" s="27"/>
      <c r="M386" s="27"/>
    </row>
    <row r="387" spans="11:13" x14ac:dyDescent="0.2">
      <c r="K387" s="27"/>
    </row>
    <row r="388" spans="11:13" x14ac:dyDescent="0.2">
      <c r="K388" s="27"/>
      <c r="M388" s="27"/>
    </row>
    <row r="389" spans="11:13" x14ac:dyDescent="0.2">
      <c r="K389" s="27"/>
      <c r="M389" s="27"/>
    </row>
    <row r="390" spans="11:13" x14ac:dyDescent="0.2">
      <c r="K390" s="27"/>
      <c r="M390" s="27"/>
    </row>
    <row r="391" spans="11:13" x14ac:dyDescent="0.2">
      <c r="K391" s="27"/>
      <c r="M391" s="27"/>
    </row>
    <row r="392" spans="11:13" x14ac:dyDescent="0.2">
      <c r="K392" s="27"/>
      <c r="M392" s="27"/>
    </row>
    <row r="393" spans="11:13" x14ac:dyDescent="0.2">
      <c r="K393" s="27"/>
      <c r="M393" s="27"/>
    </row>
    <row r="394" spans="11:13" x14ac:dyDescent="0.2">
      <c r="K394" s="27"/>
      <c r="M394" s="27"/>
    </row>
    <row r="397" spans="11:13" x14ac:dyDescent="0.2">
      <c r="K397" s="27"/>
      <c r="M397" s="27"/>
    </row>
    <row r="398" spans="11:13" x14ac:dyDescent="0.2">
      <c r="K398" s="27"/>
      <c r="M398" s="27"/>
    </row>
    <row r="399" spans="11:13" x14ac:dyDescent="0.2">
      <c r="K399" s="27"/>
      <c r="M399" s="27"/>
    </row>
    <row r="400" spans="11:13" x14ac:dyDescent="0.2">
      <c r="K400" s="27"/>
      <c r="M400" s="27"/>
    </row>
    <row r="401" spans="11:13" x14ac:dyDescent="0.2">
      <c r="K401" s="27"/>
      <c r="M401" s="27"/>
    </row>
    <row r="402" spans="11:13" x14ac:dyDescent="0.2">
      <c r="K402" s="27"/>
      <c r="M402" s="27"/>
    </row>
    <row r="403" spans="11:13" x14ac:dyDescent="0.2">
      <c r="K403" s="27"/>
      <c r="M403" s="27"/>
    </row>
    <row r="404" spans="11:13" x14ac:dyDescent="0.2">
      <c r="K404" s="27"/>
    </row>
    <row r="405" spans="11:13" x14ac:dyDescent="0.2">
      <c r="K405" s="27"/>
      <c r="M405" s="27"/>
    </row>
    <row r="406" spans="11:13" x14ac:dyDescent="0.2">
      <c r="K406" s="27"/>
      <c r="M406" s="27"/>
    </row>
    <row r="407" spans="11:13" x14ac:dyDescent="0.2">
      <c r="K407" s="27"/>
      <c r="M407" s="27"/>
    </row>
    <row r="408" spans="11:13" x14ac:dyDescent="0.2">
      <c r="K408" s="27"/>
      <c r="M408" s="27"/>
    </row>
    <row r="409" spans="11:13" x14ac:dyDescent="0.2">
      <c r="K409" s="27"/>
      <c r="M409" s="27"/>
    </row>
    <row r="410" spans="11:13" x14ac:dyDescent="0.2">
      <c r="K410" s="27"/>
      <c r="M410" s="27"/>
    </row>
    <row r="411" spans="11:13" x14ac:dyDescent="0.2">
      <c r="K411" s="27"/>
      <c r="M411" s="2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402"/>
  <sheetViews>
    <sheetView showGridLines="0" topLeftCell="A337" zoomScale="75" zoomScaleNormal="75" workbookViewId="0">
      <selection activeCell="B2" sqref="B2"/>
    </sheetView>
  </sheetViews>
  <sheetFormatPr defaultRowHeight="12.75" x14ac:dyDescent="0.2"/>
  <cols>
    <col min="1" max="1" width="18.140625" customWidth="1"/>
    <col min="4" max="4" width="11.42578125" customWidth="1"/>
    <col min="5" max="6" width="10.28515625" customWidth="1"/>
    <col min="7" max="10" width="11.28515625" bestFit="1" customWidth="1"/>
    <col min="11" max="11" width="16.85546875" customWidth="1"/>
    <col min="12" max="12" width="9.5703125" customWidth="1"/>
    <col min="13" max="13" width="20.140625" customWidth="1"/>
  </cols>
  <sheetData>
    <row r="1" spans="1:35" x14ac:dyDescent="0.2">
      <c r="A1" s="159" t="str">
        <f>'5 A data'!A1</f>
        <v>5ACT Template V4.0.xls</v>
      </c>
      <c r="B1" s="159"/>
      <c r="C1" s="159" t="str">
        <f>'5 A data'!A2</f>
        <v>Created 11 Dec. 2012</v>
      </c>
      <c r="D1" s="159"/>
    </row>
    <row r="2" spans="1:35" ht="25.5" x14ac:dyDescent="0.2">
      <c r="A2" s="96" t="s">
        <v>343</v>
      </c>
      <c r="B2" s="96" t="s">
        <v>176</v>
      </c>
      <c r="C2" s="96"/>
      <c r="D2" s="96"/>
      <c r="E2" s="97"/>
      <c r="F2" s="159" t="str">
        <f>'5 A data'!B1</f>
        <v>Model</v>
      </c>
      <c r="G2" s="159" t="str">
        <f>'5 A data'!C1</f>
        <v>???</v>
      </c>
      <c r="H2" s="159" t="str">
        <f>'5 A data'!B2</f>
        <v>S/N</v>
      </c>
      <c r="I2" s="159" t="str">
        <f>'5 A data'!C2</f>
        <v>PTCT / 1-1</v>
      </c>
      <c r="K2" s="93" t="s">
        <v>122</v>
      </c>
      <c r="L2" s="93" t="s">
        <v>119</v>
      </c>
      <c r="M2" s="94" t="s">
        <v>120</v>
      </c>
    </row>
    <row r="3" spans="1:35" ht="21.4" customHeight="1" x14ac:dyDescent="0.2">
      <c r="A3" s="97">
        <v>97</v>
      </c>
      <c r="C3" s="60" t="str">
        <f>"Table "&amp;L3&amp;". Ratio "&amp;LEFT(M3,FIND("/",M3)-1)&amp;":5."&amp;"  Secondary: "&amp;K3</f>
        <v>Table xxx. Ratio 200:5.  Secondary: S1 - S2</v>
      </c>
      <c r="D3" s="18"/>
      <c r="E3" s="18"/>
      <c r="F3" s="18"/>
      <c r="G3" s="18"/>
      <c r="H3" s="10"/>
      <c r="I3" s="10"/>
      <c r="J3" s="11"/>
      <c r="K3" s="95" t="str">
        <f>VLOOKUP($A3+1,'5 A data'!$A$2:$AP$259,2,FALSE)</f>
        <v>S1 - S2</v>
      </c>
      <c r="L3" s="97" t="s">
        <v>240</v>
      </c>
      <c r="M3" s="95" t="str">
        <f>VLOOKUP($A3,'5 A calc'!$A$2:$AR$172,4,FALSE)</f>
        <v>200/5 Range, 1 turns @ 5VA burden, vs 120 AT, 200 range, 2 Stage CT</v>
      </c>
    </row>
    <row r="4" spans="1:35" ht="21.4" customHeight="1" x14ac:dyDescent="0.2">
      <c r="A4" s="3"/>
      <c r="B4" s="3"/>
      <c r="C4" s="12"/>
      <c r="D4" s="13"/>
      <c r="E4" s="645" t="s">
        <v>19</v>
      </c>
      <c r="F4" s="646"/>
      <c r="G4" s="645" t="s">
        <v>20</v>
      </c>
      <c r="H4" s="646"/>
      <c r="I4" s="645" t="s">
        <v>8</v>
      </c>
      <c r="J4" s="646"/>
      <c r="K4" s="95" t="str">
        <f>VLOOKUP($A3+1,'5 A data'!$A$2:$AP$259,2,FALSE)</f>
        <v>S1 - S2</v>
      </c>
      <c r="L4" s="96" t="s">
        <v>129</v>
      </c>
      <c r="M4" s="97"/>
      <c r="N4" s="97"/>
    </row>
    <row r="5" spans="1:35" ht="63" customHeight="1" x14ac:dyDescent="0.2">
      <c r="A5" s="3"/>
      <c r="B5" s="3"/>
      <c r="C5" s="12" t="s">
        <v>169</v>
      </c>
      <c r="D5" s="54" t="s">
        <v>241</v>
      </c>
      <c r="E5" s="54" t="s">
        <v>294</v>
      </c>
      <c r="F5" s="13" t="s">
        <v>239</v>
      </c>
      <c r="G5" s="54" t="s">
        <v>294</v>
      </c>
      <c r="H5" s="13" t="s">
        <v>239</v>
      </c>
      <c r="I5" s="54" t="s">
        <v>158</v>
      </c>
      <c r="J5" s="13" t="s">
        <v>159</v>
      </c>
      <c r="L5" s="156" t="s">
        <v>59</v>
      </c>
      <c r="M5" s="498" t="s">
        <v>478</v>
      </c>
    </row>
    <row r="6" spans="1:35" x14ac:dyDescent="0.2">
      <c r="A6" s="97">
        <v>99</v>
      </c>
      <c r="C6" s="53">
        <f t="shared" ref="C6:C12" si="0">high_burden</f>
        <v>0.2</v>
      </c>
      <c r="D6" s="57">
        <f>VLOOKUP($A6,'5 A calc'!$A$2:$AR$203,4,FALSE)</f>
        <v>5</v>
      </c>
      <c r="E6" s="33">
        <f>VLOOKUP($A6,'5 A calc'!$A$2:$AR$203,13,FALSE)</f>
        <v>-0.68153155559925072</v>
      </c>
      <c r="F6" s="53">
        <f>VLOOKUP($A6,'5 A calc'!$A$2:$AR$203,14,FALSE)</f>
        <v>1.0426156429734734</v>
      </c>
      <c r="G6" s="33">
        <f>VLOOKUP($A6,'5 A calc'!$A$2:$AR$203,26,FALSE)*I6</f>
        <v>6.3360844369807004E-2</v>
      </c>
      <c r="H6" s="53">
        <f>VLOOKUP($A6,'5 A calc'!$A$2:$AR$203,40,FALSE)*J6</f>
        <v>0.10013795382490984</v>
      </c>
      <c r="I6" s="56">
        <f>VLOOKUP($A6,'5 A calc'!$A$2:$AR$203,28,FALSE)</f>
        <v>2.2275872514195854</v>
      </c>
      <c r="J6" s="49">
        <f>VLOOKUP($A6,'5 A calc'!$A$2:$AR$203,42,FALSE)</f>
        <v>2.1716527993568815</v>
      </c>
      <c r="L6" s="28">
        <f>DEGREES(F6/100)*60</f>
        <v>35.842485598019216</v>
      </c>
      <c r="M6" s="28">
        <f t="shared" ref="M6:M20" si="1">DEGREES(H6/100)*60</f>
        <v>3.4424892739459518</v>
      </c>
      <c r="Q6" s="27"/>
      <c r="R6" s="27"/>
    </row>
    <row r="7" spans="1:35" x14ac:dyDescent="0.2">
      <c r="A7" s="97">
        <v>100</v>
      </c>
      <c r="C7" s="53">
        <f t="shared" si="0"/>
        <v>0.2</v>
      </c>
      <c r="D7" s="57">
        <f>VLOOKUP($A7,'5 A calc'!$A$2:$AR$203,4,FALSE)</f>
        <v>10</v>
      </c>
      <c r="E7" s="33">
        <f>VLOOKUP($A7,'5 A calc'!$A$2:$AR$203,13,FALSE)</f>
        <v>-0.60358303746751041</v>
      </c>
      <c r="F7" s="53">
        <f>VLOOKUP($A7,'5 A calc'!$A$2:$AR$203,14,FALSE)</f>
        <v>0.89699749614666746</v>
      </c>
      <c r="G7" s="33">
        <f>VLOOKUP($A7,'5 A calc'!$A$2:$AR$203,26,FALSE)*I7</f>
        <v>5.5431306248539071E-2</v>
      </c>
      <c r="H7" s="53">
        <f>VLOOKUP($A7,'5 A calc'!$A$2:$AR$203,40,FALSE)*J7</f>
        <v>8.4869712949739287E-2</v>
      </c>
      <c r="I7" s="56">
        <f>VLOOKUP($A7,'5 A calc'!$A$2:$AR$203,28,FALSE)</f>
        <v>2.2879314605232843</v>
      </c>
      <c r="J7" s="49">
        <f>VLOOKUP($A7,'5 A calc'!$A$2:$AR$203,42,FALSE)</f>
        <v>2.2108452459082706</v>
      </c>
      <c r="L7" s="28">
        <f t="shared" ref="L7:L20" si="2">DEGREES(F7/100)*60</f>
        <v>30.836502457803817</v>
      </c>
      <c r="M7" s="28">
        <f t="shared" si="1"/>
        <v>2.9176058163041101</v>
      </c>
      <c r="Q7" s="27"/>
      <c r="R7" s="27"/>
    </row>
    <row r="8" spans="1:35" x14ac:dyDescent="0.2">
      <c r="A8" s="97">
        <v>101</v>
      </c>
      <c r="C8" s="53">
        <f t="shared" si="0"/>
        <v>0.2</v>
      </c>
      <c r="D8" s="57">
        <f>VLOOKUP($A8,'5 A calc'!$A$2:$AR$203,4,FALSE)</f>
        <v>20</v>
      </c>
      <c r="E8" s="33">
        <f>VLOOKUP($A8,'5 A calc'!$A$2:$AR$203,13,FALSE)</f>
        <v>-0.54762188974690429</v>
      </c>
      <c r="F8" s="53">
        <f>VLOOKUP($A8,'5 A calc'!$A$2:$AR$203,14,FALSE)</f>
        <v>0.78633124077220728</v>
      </c>
      <c r="G8" s="33">
        <f>VLOOKUP($A8,'5 A calc'!$A$2:$AR$203,26,FALSE)*I8</f>
        <v>5.1142233494887876E-2</v>
      </c>
      <c r="H8" s="53">
        <f>VLOOKUP($A8,'5 A calc'!$A$2:$AR$203,40,FALSE)*J8</f>
        <v>7.4426929706252684E-2</v>
      </c>
      <c r="I8" s="56">
        <f>VLOOKUP($A8,'5 A calc'!$A$2:$AR$203,28,FALSE)</f>
        <v>2.3228418153534345</v>
      </c>
      <c r="J8" s="49">
        <f>VLOOKUP($A8,'5 A calc'!$A$2:$AR$203,42,FALSE)</f>
        <v>2.2413630082901355</v>
      </c>
      <c r="L8" s="28">
        <f t="shared" si="2"/>
        <v>27.0320768373197</v>
      </c>
      <c r="M8" s="28">
        <f t="shared" si="1"/>
        <v>2.5586093725710781</v>
      </c>
      <c r="Q8" s="27"/>
      <c r="R8" s="27"/>
    </row>
    <row r="9" spans="1:35" ht="13.7" customHeight="1" x14ac:dyDescent="0.2">
      <c r="A9" s="97">
        <v>102</v>
      </c>
      <c r="C9" s="53">
        <f t="shared" si="0"/>
        <v>0.2</v>
      </c>
      <c r="D9" s="57">
        <f>VLOOKUP($A9,'5 A calc'!$A$2:$AR$203,4,FALSE)</f>
        <v>40</v>
      </c>
      <c r="E9" s="33">
        <f>VLOOKUP($A9,'5 A calc'!$A$2:$AR$203,13,FALSE)</f>
        <v>-0.50165708354093086</v>
      </c>
      <c r="F9" s="53">
        <f>VLOOKUP($A9,'5 A calc'!$A$2:$AR$203,14,FALSE)</f>
        <v>0.70187512178665656</v>
      </c>
      <c r="G9" s="33">
        <f>VLOOKUP($A9,'5 A calc'!$A$2:$AR$203,26,FALSE)*I9</f>
        <v>4.6292665490981488E-2</v>
      </c>
      <c r="H9" s="53">
        <f>VLOOKUP($A9,'5 A calc'!$A$2:$AR$203,40,FALSE)*J9</f>
        <v>6.6076238570883225E-2</v>
      </c>
      <c r="I9" s="56">
        <f>VLOOKUP($A9,'5 A calc'!$A$2:$AR$203,28,FALSE)</f>
        <v>2.4874851414127446</v>
      </c>
      <c r="J9" s="49">
        <f>VLOOKUP($A9,'5 A calc'!$A$2:$AR$203,42,FALSE)</f>
        <v>2.2529722611637992</v>
      </c>
      <c r="L9" s="28">
        <f t="shared" si="2"/>
        <v>24.128689334163646</v>
      </c>
      <c r="M9" s="28">
        <f t="shared" si="1"/>
        <v>2.2715337577266905</v>
      </c>
      <c r="Q9" s="27"/>
      <c r="R9" s="27"/>
      <c r="AA9" s="14"/>
      <c r="AB9" s="4"/>
      <c r="AC9" s="4"/>
      <c r="AD9" s="4"/>
      <c r="AE9" s="4"/>
      <c r="AF9" s="4"/>
      <c r="AG9" s="4"/>
      <c r="AH9" s="4"/>
      <c r="AI9" s="4"/>
    </row>
    <row r="10" spans="1:35" x14ac:dyDescent="0.2">
      <c r="A10" s="97">
        <v>103</v>
      </c>
      <c r="C10" s="53">
        <f t="shared" si="0"/>
        <v>0.2</v>
      </c>
      <c r="D10" s="51">
        <f>VLOOKUP($A10,'5 A calc'!$A$2:$AR$203,4,FALSE)</f>
        <v>60</v>
      </c>
      <c r="E10" s="33">
        <f>VLOOKUP($A10,'5 A calc'!$A$2:$AR$203,13,FALSE)</f>
        <v>-0.49166665644203494</v>
      </c>
      <c r="F10" s="53">
        <f>VLOOKUP($A10,'5 A calc'!$A$2:$AR$203,14,FALSE)</f>
        <v>0.63489154610113918</v>
      </c>
      <c r="G10" s="33">
        <f>VLOOKUP($A10,'5 A calc'!$A$2:$AR$203,26,FALSE)*I10</f>
        <v>4.6069032116102339E-2</v>
      </c>
      <c r="H10" s="53">
        <f>VLOOKUP($A10,'5 A calc'!$A$2:$AR$203,40,FALSE)*J10</f>
        <v>7.0662760732960114E-2</v>
      </c>
      <c r="I10" s="56">
        <f>VLOOKUP($A10,'5 A calc'!$A$2:$AR$203,28,FALSE)</f>
        <v>2.435158208689681</v>
      </c>
      <c r="J10" s="49">
        <f>VLOOKUP($A10,'5 A calc'!$A$2:$AR$203,42,FALSE)</f>
        <v>2.1859611496065869</v>
      </c>
      <c r="L10" s="28">
        <f t="shared" si="2"/>
        <v>21.825963624078486</v>
      </c>
      <c r="M10" s="28">
        <f t="shared" si="1"/>
        <v>2.4292067752448245</v>
      </c>
      <c r="Q10" s="27"/>
      <c r="R10" s="27"/>
      <c r="AA10" s="154"/>
      <c r="AB10" s="4"/>
      <c r="AC10" s="4"/>
      <c r="AD10" s="4"/>
      <c r="AE10" s="4"/>
      <c r="AF10" s="4"/>
      <c r="AG10" s="4"/>
      <c r="AH10" s="4"/>
      <c r="AI10" s="4"/>
    </row>
    <row r="11" spans="1:35" x14ac:dyDescent="0.2">
      <c r="A11" s="97">
        <v>104</v>
      </c>
      <c r="C11" s="53">
        <f t="shared" si="0"/>
        <v>0.2</v>
      </c>
      <c r="D11" s="51">
        <f>VLOOKUP($A11,'5 A calc'!$A$2:$AR$203,4,FALSE)</f>
        <v>100</v>
      </c>
      <c r="E11" s="33">
        <f>VLOOKUP($A11,'5 A calc'!$A$2:$AR$203,13,FALSE)</f>
        <v>-0.46968565514325344</v>
      </c>
      <c r="F11" s="53">
        <f>VLOOKUP($A11,'5 A calc'!$A$2:$AR$203,14,FALSE)</f>
        <v>0.52422515337128717</v>
      </c>
      <c r="G11" s="33">
        <f>VLOOKUP($A11,'5 A calc'!$A$2:$AR$203,26,FALSE)*I11</f>
        <v>4.4251597422074705E-2</v>
      </c>
      <c r="H11" s="53">
        <f>VLOOKUP($A11,'5 A calc'!$A$2:$AR$203,40,FALSE)*J11</f>
        <v>4.6357750802571172E-2</v>
      </c>
      <c r="I11" s="56">
        <f>VLOOKUP($A11,'5 A calc'!$A$2:$AR$203,28,FALSE)</f>
        <v>2.4658785249260409</v>
      </c>
      <c r="J11" s="49">
        <f>VLOOKUP($A11,'5 A calc'!$A$2:$AR$203,42,FALSE)</f>
        <v>2.2361452757219369</v>
      </c>
      <c r="L11" s="28">
        <f t="shared" si="2"/>
        <v>18.021533281663817</v>
      </c>
      <c r="M11" s="28">
        <f t="shared" si="1"/>
        <v>1.5936620812239197</v>
      </c>
      <c r="Q11" s="27"/>
      <c r="R11" s="27"/>
      <c r="AA11" s="14"/>
      <c r="AB11" s="4"/>
      <c r="AC11" s="4"/>
      <c r="AD11" s="4"/>
      <c r="AE11" s="4"/>
      <c r="AF11" s="4"/>
      <c r="AG11" s="4"/>
      <c r="AH11" s="4"/>
      <c r="AI11" s="4"/>
    </row>
    <row r="12" spans="1:35" x14ac:dyDescent="0.2">
      <c r="A12" s="97">
        <v>105</v>
      </c>
      <c r="C12" s="53">
        <f t="shared" si="0"/>
        <v>0.2</v>
      </c>
      <c r="D12" s="51">
        <f>VLOOKUP($A12,'5 A calc'!$A$2:$AR$203,4,FALSE)</f>
        <v>120</v>
      </c>
      <c r="E12" s="33">
        <f>VLOOKUP($A12,'5 A calc'!$A$2:$AR$203,13,FALSE)</f>
        <v>-0.45769491804606277</v>
      </c>
      <c r="F12" s="53">
        <f>VLOOKUP($A12,'5 A calc'!$A$2:$AR$203,14,FALSE)</f>
        <v>0.483452887687983</v>
      </c>
      <c r="G12" s="33">
        <f>VLOOKUP($A12,'5 A calc'!$A$2:$AR$203,26,FALSE)*I12</f>
        <v>4.3009577116081166E-2</v>
      </c>
      <c r="H12" s="53">
        <f>VLOOKUP($A12,'5 A calc'!$A$2:$AR$203,40,FALSE)*J12</f>
        <v>4.0344781672656878E-2</v>
      </c>
      <c r="I12" s="56">
        <f>VLOOKUP($A12,'5 A calc'!$A$2:$AR$203,28,FALSE)</f>
        <v>2.5002799515918519</v>
      </c>
      <c r="J12" s="49">
        <f>VLOOKUP($A12,'5 A calc'!$A$2:$AR$203,42,FALSE)</f>
        <v>2.3351004138296227</v>
      </c>
      <c r="L12" s="28">
        <f t="shared" si="2"/>
        <v>16.619886034760178</v>
      </c>
      <c r="M12" s="28">
        <f t="shared" si="1"/>
        <v>1.3869514291319958</v>
      </c>
      <c r="AA12" s="14"/>
      <c r="AB12" s="4"/>
      <c r="AC12" s="4"/>
      <c r="AD12" s="4"/>
      <c r="AE12" s="4"/>
      <c r="AF12" s="4"/>
      <c r="AG12" s="4"/>
      <c r="AH12" s="4"/>
      <c r="AI12" s="4"/>
    </row>
    <row r="13" spans="1:35" x14ac:dyDescent="0.2">
      <c r="A13" s="97"/>
      <c r="C13" s="53"/>
      <c r="D13" s="51"/>
      <c r="E13" s="33"/>
      <c r="F13" s="53"/>
      <c r="G13" s="33"/>
      <c r="H13" s="53"/>
      <c r="I13" s="56"/>
      <c r="J13" s="49"/>
      <c r="L13" s="28"/>
      <c r="M13" s="4"/>
      <c r="N13" s="4"/>
      <c r="AA13" s="14"/>
      <c r="AB13" s="4"/>
      <c r="AC13" s="4"/>
      <c r="AD13" s="4"/>
      <c r="AE13" s="4"/>
      <c r="AF13" s="4"/>
      <c r="AG13" s="4"/>
      <c r="AH13" s="4"/>
      <c r="AI13" s="4"/>
    </row>
    <row r="14" spans="1:35" x14ac:dyDescent="0.2">
      <c r="A14" s="97">
        <v>107</v>
      </c>
      <c r="C14" s="482">
        <f t="shared" ref="C14:C20" si="3">low__burden</f>
        <v>0</v>
      </c>
      <c r="D14" s="17">
        <f>VLOOKUP($A14,'5 A calc'!$A$2:$AR$203,4,FALSE)</f>
        <v>5</v>
      </c>
      <c r="E14" s="488">
        <f>VLOOKUP($A14,'5 A calc'!$A$2:$AR$203,13,FALSE)</f>
        <v>-0.22182269004984476</v>
      </c>
      <c r="F14" s="482">
        <f>VLOOKUP($A14,'5 A calc'!$A$2:$AR$203,14,FALSE)</f>
        <v>0.38443107902044549</v>
      </c>
      <c r="G14" s="488">
        <f>VLOOKUP($A14,'5 A calc'!$A$2:$AR$203,26,FALSE)*I14</f>
        <v>5.8801533048311483E-2</v>
      </c>
      <c r="H14" s="482">
        <f>VLOOKUP($A14,'5 A calc'!$A$2:$AR$203,40,FALSE)*J14</f>
        <v>8.8096333661025886E-2</v>
      </c>
      <c r="I14" s="55">
        <f>VLOOKUP($A14,'5 A calc'!$A$2:$AR$203,28,FALSE)</f>
        <v>2.3614547480172536</v>
      </c>
      <c r="J14" s="481">
        <f>VLOOKUP($A14,'5 A calc'!$A$2:$AR$203,42,FALSE)</f>
        <v>2.233875730124208</v>
      </c>
      <c r="L14" s="28">
        <f t="shared" si="2"/>
        <v>13.215767004919062</v>
      </c>
      <c r="M14" s="28">
        <f t="shared" si="1"/>
        <v>3.0285288656118432</v>
      </c>
      <c r="N14" s="4"/>
      <c r="AA14" s="14"/>
      <c r="AB14" s="4"/>
      <c r="AC14" s="4"/>
      <c r="AD14" s="4"/>
      <c r="AE14" s="4"/>
      <c r="AF14" s="4"/>
      <c r="AG14" s="4"/>
      <c r="AH14" s="4"/>
      <c r="AI14" s="4"/>
    </row>
    <row r="15" spans="1:35" x14ac:dyDescent="0.2">
      <c r="A15" s="97">
        <v>108</v>
      </c>
      <c r="C15" s="53">
        <f t="shared" si="3"/>
        <v>0</v>
      </c>
      <c r="D15" s="51">
        <f>VLOOKUP($A15,'5 A calc'!$A$2:$AR$203,4,FALSE)</f>
        <v>10</v>
      </c>
      <c r="E15" s="33">
        <f>VLOOKUP($A15,'5 A calc'!$A$2:$AR$203,13,FALSE)</f>
        <v>-0.18185012168088152</v>
      </c>
      <c r="F15" s="53">
        <f>VLOOKUP($A15,'5 A calc'!$A$2:$AR$203,14,FALSE)</f>
        <v>0.29414703270296477</v>
      </c>
      <c r="G15" s="33">
        <f>VLOOKUP($A15,'5 A calc'!$A$2:$AR$203,26,FALSE)*I15</f>
        <v>5.3591720708455512E-2</v>
      </c>
      <c r="H15" s="53">
        <f>VLOOKUP($A15,'5 A calc'!$A$2:$AR$203,40,FALSE)*J15</f>
        <v>7.7248253136287248E-2</v>
      </c>
      <c r="I15" s="56">
        <f>VLOOKUP($A15,'5 A calc'!$A$2:$AR$203,28,FALSE)</f>
        <v>2.4287735809592381</v>
      </c>
      <c r="J15" s="49">
        <f>VLOOKUP($A15,'5 A calc'!$A$2:$AR$203,42,FALSE)</f>
        <v>2.3497327600512357</v>
      </c>
      <c r="L15" s="28">
        <f t="shared" si="2"/>
        <v>10.11203011810589</v>
      </c>
      <c r="M15" s="28">
        <f t="shared" si="1"/>
        <v>2.6555993276804903</v>
      </c>
      <c r="N15" s="4"/>
      <c r="AA15" s="14"/>
      <c r="AB15" s="4"/>
      <c r="AC15" s="4"/>
      <c r="AD15" s="4"/>
      <c r="AE15" s="4"/>
      <c r="AF15" s="4"/>
      <c r="AG15" s="4"/>
      <c r="AH15" s="4"/>
      <c r="AI15" s="4"/>
    </row>
    <row r="16" spans="1:35" x14ac:dyDescent="0.2">
      <c r="A16" s="97">
        <v>109</v>
      </c>
      <c r="C16" s="53">
        <f t="shared" si="3"/>
        <v>0</v>
      </c>
      <c r="D16" s="51">
        <f>VLOOKUP($A16,'5 A calc'!$A$2:$AR$203,4,FALSE)</f>
        <v>20</v>
      </c>
      <c r="E16" s="33">
        <f>VLOOKUP($A16,'5 A calc'!$A$2:$AR$203,13,FALSE)</f>
        <v>-0.15287188563382736</v>
      </c>
      <c r="F16" s="53">
        <f>VLOOKUP($A16,'5 A calc'!$A$2:$AR$203,14,FALSE)</f>
        <v>0.2344463962186725</v>
      </c>
      <c r="G16" s="33">
        <f>VLOOKUP($A16,'5 A calc'!$A$2:$AR$203,26,FALSE)*I16</f>
        <v>5.0113061816513309E-2</v>
      </c>
      <c r="H16" s="53">
        <f>VLOOKUP($A16,'5 A calc'!$A$2:$AR$203,40,FALSE)*J16</f>
        <v>6.9923402218057304E-2</v>
      </c>
      <c r="I16" s="56">
        <f>VLOOKUP($A16,'5 A calc'!$A$2:$AR$203,28,FALSE)</f>
        <v>2.496536856353976</v>
      </c>
      <c r="J16" s="49">
        <f>VLOOKUP($A16,'5 A calc'!$A$2:$AR$203,42,FALSE)</f>
        <v>2.4544067824945084</v>
      </c>
      <c r="L16" s="28">
        <f t="shared" si="2"/>
        <v>8.0596734152290779</v>
      </c>
      <c r="M16" s="28">
        <f t="shared" si="1"/>
        <v>2.4037895017742295</v>
      </c>
      <c r="N16" s="4"/>
      <c r="AA16" s="14"/>
      <c r="AB16" s="4"/>
      <c r="AC16" s="4"/>
      <c r="AD16" s="4"/>
      <c r="AE16" s="4"/>
      <c r="AF16" s="4"/>
      <c r="AG16" s="4"/>
      <c r="AH16" s="4"/>
      <c r="AI16" s="4"/>
    </row>
    <row r="17" spans="1:14" x14ac:dyDescent="0.2">
      <c r="A17" s="97">
        <v>110</v>
      </c>
      <c r="C17" s="53">
        <f t="shared" si="3"/>
        <v>0</v>
      </c>
      <c r="D17" s="51">
        <f>VLOOKUP($A17,'5 A calc'!$A$2:$AR$203,4,FALSE)</f>
        <v>40</v>
      </c>
      <c r="E17" s="33">
        <f>VLOOKUP($A17,'5 A calc'!$A$2:$AR$203,13,FALSE)</f>
        <v>-0.1368880923984675</v>
      </c>
      <c r="F17" s="53">
        <f>VLOOKUP($A17,'5 A calc'!$A$2:$AR$203,14,FALSE)</f>
        <v>0.20386821720272824</v>
      </c>
      <c r="G17" s="33">
        <f>VLOOKUP($A17,'5 A calc'!$A$2:$AR$203,26,FALSE)*I17</f>
        <v>4.6340983732327146E-2</v>
      </c>
      <c r="H17" s="53">
        <f>VLOOKUP($A17,'5 A calc'!$A$2:$AR$203,40,FALSE)*J17</f>
        <v>6.3075851757177726E-2</v>
      </c>
      <c r="I17" s="56">
        <f>VLOOKUP($A17,'5 A calc'!$A$2:$AR$203,28,FALSE)</f>
        <v>2.5199744910451773</v>
      </c>
      <c r="J17" s="49">
        <f>VLOOKUP($A17,'5 A calc'!$A$2:$AR$203,42,FALSE)</f>
        <v>2.4782353790853668</v>
      </c>
      <c r="L17" s="28">
        <f t="shared" si="2"/>
        <v>7.008473053543617</v>
      </c>
      <c r="M17" s="28">
        <f t="shared" si="1"/>
        <v>2.1683880569274727</v>
      </c>
      <c r="N17" s="4"/>
    </row>
    <row r="18" spans="1:14" x14ac:dyDescent="0.2">
      <c r="A18" s="97">
        <v>111</v>
      </c>
      <c r="C18" s="53">
        <f t="shared" si="3"/>
        <v>0</v>
      </c>
      <c r="D18" s="51">
        <f>VLOOKUP($A18,'5 A calc'!$A$2:$AR$203,4,FALSE)</f>
        <v>60</v>
      </c>
      <c r="E18" s="33">
        <f>VLOOKUP($A18,'5 A calc'!$A$2:$AR$203,13,FALSE)</f>
        <v>-0.12889639949761247</v>
      </c>
      <c r="F18" s="53">
        <f>VLOOKUP($A18,'5 A calc'!$A$2:$AR$203,14,FALSE)</f>
        <v>0.1893064209470979</v>
      </c>
      <c r="G18" s="33">
        <f>VLOOKUP($A18,'5 A calc'!$A$2:$AR$203,26,FALSE)*I18</f>
        <v>4.6086884627656914E-2</v>
      </c>
      <c r="H18" s="53">
        <f>VLOOKUP($A18,'5 A calc'!$A$2:$AR$203,40,FALSE)*J18</f>
        <v>5.6430896089493532E-2</v>
      </c>
      <c r="I18" s="56">
        <f>VLOOKUP($A18,'5 A calc'!$A$2:$AR$203,28,FALSE)</f>
        <v>2.5198825849270703</v>
      </c>
      <c r="J18" s="49">
        <f>VLOOKUP($A18,'5 A calc'!$A$2:$AR$203,42,FALSE)</f>
        <v>2.4644138495907129</v>
      </c>
      <c r="L18" s="28">
        <f t="shared" si="2"/>
        <v>6.5078753729974022</v>
      </c>
      <c r="M18" s="28">
        <f t="shared" si="1"/>
        <v>1.9399513080415689</v>
      </c>
      <c r="N18" s="4"/>
    </row>
    <row r="19" spans="1:14" x14ac:dyDescent="0.2">
      <c r="A19" s="97">
        <v>112</v>
      </c>
      <c r="C19" s="53">
        <f t="shared" si="3"/>
        <v>0</v>
      </c>
      <c r="D19" s="51">
        <f>VLOOKUP($A19,'5 A calc'!$A$2:$AR$203,4,FALSE)</f>
        <v>100</v>
      </c>
      <c r="E19" s="33">
        <f>VLOOKUP($A19,'5 A calc'!$A$2:$AR$203,13,FALSE)</f>
        <v>-0.12090653758511721</v>
      </c>
      <c r="F19" s="53">
        <f>VLOOKUP($A19,'5 A calc'!$A$2:$AR$203,14,FALSE)</f>
        <v>0.17474662383870593</v>
      </c>
      <c r="G19" s="33">
        <f>VLOOKUP($A19,'5 A calc'!$A$2:$AR$203,26,FALSE)*I19</f>
        <v>4.4301011929202043E-2</v>
      </c>
      <c r="H19" s="53">
        <f>VLOOKUP($A19,'5 A calc'!$A$2:$AR$203,40,FALSE)*J19</f>
        <v>4.426450590609169E-2</v>
      </c>
      <c r="I19" s="56">
        <f>VLOOKUP($A19,'5 A calc'!$A$2:$AR$203,28,FALSE)</f>
        <v>2.515534121477363</v>
      </c>
      <c r="J19" s="49">
        <f>VLOOKUP($A19,'5 A calc'!$A$2:$AR$203,42,FALSE)</f>
        <v>2.4494902488501604</v>
      </c>
      <c r="L19" s="28">
        <f t="shared" si="2"/>
        <v>6.007346418070818</v>
      </c>
      <c r="M19" s="28">
        <f t="shared" si="1"/>
        <v>1.5217016223905757</v>
      </c>
      <c r="N19" s="4"/>
    </row>
    <row r="20" spans="1:14" x14ac:dyDescent="0.2">
      <c r="A20" s="97">
        <v>113</v>
      </c>
      <c r="C20" s="53">
        <f t="shared" si="3"/>
        <v>0</v>
      </c>
      <c r="D20" s="51">
        <f>VLOOKUP($A20,'5 A calc'!$A$2:$AR$203,4,FALSE)</f>
        <v>120</v>
      </c>
      <c r="E20" s="33">
        <f>VLOOKUP($A20,'5 A calc'!$A$2:$AR$203,13,FALSE)</f>
        <v>-0.11890947147813105</v>
      </c>
      <c r="F20" s="53">
        <f>VLOOKUP($A20,'5 A calc'!$A$2:$AR$203,14,FALSE)</f>
        <v>0.16892221110865976</v>
      </c>
      <c r="G20" s="33">
        <f>VLOOKUP($A20,'5 A calc'!$A$2:$AR$203,26,FALSE)*I20</f>
        <v>4.3059214718468589E-2</v>
      </c>
      <c r="H20" s="53">
        <f>VLOOKUP($A20,'5 A calc'!$A$2:$AR$203,40,FALSE)*J20</f>
        <v>3.9840178793490895E-2</v>
      </c>
      <c r="I20" s="56">
        <f>VLOOKUP($A20,'5 A calc'!$A$2:$AR$203,28,FALSE)</f>
        <v>2.5294889360287787</v>
      </c>
      <c r="J20" s="49">
        <f>VLOOKUP($A20,'5 A calc'!$A$2:$AR$203,42,FALSE)</f>
        <v>2.4663002623576085</v>
      </c>
      <c r="L20" s="28">
        <f t="shared" si="2"/>
        <v>5.8071178575264693</v>
      </c>
      <c r="M20" s="28">
        <f t="shared" si="1"/>
        <v>1.3696044599481794</v>
      </c>
      <c r="N20" s="4"/>
    </row>
    <row r="21" spans="1:14" x14ac:dyDescent="0.2">
      <c r="A21" s="97"/>
      <c r="C21" s="115"/>
      <c r="D21" s="113"/>
      <c r="E21" s="390"/>
      <c r="F21" s="391"/>
      <c r="G21" s="390"/>
      <c r="H21" s="391"/>
      <c r="I21" s="116"/>
      <c r="J21" s="117"/>
      <c r="L21" s="28"/>
      <c r="M21" s="4"/>
    </row>
    <row r="23" spans="1:14" ht="21.4" customHeight="1" x14ac:dyDescent="0.2">
      <c r="A23" s="97">
        <v>115</v>
      </c>
      <c r="C23" s="60" t="str">
        <f>"Table "&amp;L23&amp;". Ratio "&amp;LEFT(M23,FIND("/",M23)-1)&amp;":5."&amp;"  Secondary: "&amp;K23</f>
        <v>Table xxx. Ratio 200:5.  Secondary: S1 - S2</v>
      </c>
      <c r="D23" s="18"/>
      <c r="E23" s="18"/>
      <c r="F23" s="18"/>
      <c r="G23" s="18"/>
      <c r="H23" s="10"/>
      <c r="I23" s="10"/>
      <c r="J23" s="11"/>
      <c r="K23" s="95" t="str">
        <f>VLOOKUP($A23+1,'5 A data'!$A$2:$AP$259,2,FALSE)</f>
        <v>S1 - S2</v>
      </c>
      <c r="L23" s="483" t="s">
        <v>240</v>
      </c>
      <c r="M23" s="95" t="str">
        <f>VLOOKUP($A23,'5 A calc'!$A$2:$AR$172,4,FALSE)</f>
        <v>200/5 Range, 1 turns @ 5VA burden, vs 120 AT, 200 range, 2 Stage CT</v>
      </c>
    </row>
    <row r="24" spans="1:14" ht="21.4" customHeight="1" x14ac:dyDescent="0.2">
      <c r="A24" s="68"/>
      <c r="C24" s="12"/>
      <c r="D24" s="13"/>
      <c r="E24" s="645" t="s">
        <v>19</v>
      </c>
      <c r="F24" s="646"/>
      <c r="G24" s="645" t="s">
        <v>20</v>
      </c>
      <c r="H24" s="646"/>
      <c r="I24" s="645" t="s">
        <v>8</v>
      </c>
      <c r="J24" s="646"/>
      <c r="L24" s="67"/>
    </row>
    <row r="25" spans="1:14" ht="63" customHeight="1" x14ac:dyDescent="0.2">
      <c r="A25" s="68"/>
      <c r="C25" s="12" t="s">
        <v>169</v>
      </c>
      <c r="D25" s="54" t="s">
        <v>241</v>
      </c>
      <c r="E25" s="54" t="s">
        <v>294</v>
      </c>
      <c r="F25" s="13" t="s">
        <v>239</v>
      </c>
      <c r="G25" s="54" t="s">
        <v>294</v>
      </c>
      <c r="H25" s="13" t="s">
        <v>239</v>
      </c>
      <c r="I25" s="54" t="s">
        <v>158</v>
      </c>
      <c r="J25" s="13" t="s">
        <v>159</v>
      </c>
      <c r="L25" s="156" t="s">
        <v>59</v>
      </c>
      <c r="M25" s="498" t="s">
        <v>478</v>
      </c>
    </row>
    <row r="26" spans="1:14" ht="13.5" customHeight="1" x14ac:dyDescent="0.2">
      <c r="A26" s="97">
        <v>117</v>
      </c>
      <c r="C26" s="53">
        <f t="shared" ref="C26:C32" si="4">high_burden</f>
        <v>0.2</v>
      </c>
      <c r="D26" s="57">
        <f>VLOOKUP($A26,'5 A calc'!$A$2:$AR$203,4,FALSE)</f>
        <v>5</v>
      </c>
      <c r="E26" s="33">
        <f>VLOOKUP($A26,'5 A calc'!$A$2:$AR$203,13,FALSE)</f>
        <v>-0.67953282140120985</v>
      </c>
      <c r="F26" s="53">
        <f>VLOOKUP($A26,'5 A calc'!$A$2:$AR$203,14,FALSE)</f>
        <v>1.0426156429734734</v>
      </c>
      <c r="G26" s="33">
        <f>VLOOKUP($A26,'5 A calc'!$A$2:$AR$203,26,FALSE)*I26</f>
        <v>6.1750089473498068E-2</v>
      </c>
      <c r="H26" s="53">
        <f>VLOOKUP($A26,'5 A calc'!$A$2:$AR$203,40,FALSE)*J26</f>
        <v>9.9163366421158514E-2</v>
      </c>
      <c r="I26" s="56">
        <f>VLOOKUP($A26,'5 A calc'!$A$2:$AR$203,28,FALSE)</f>
        <v>2.2261268727832428</v>
      </c>
      <c r="J26" s="49">
        <f>VLOOKUP($A26,'5 A calc'!$A$2:$AR$203,42,FALSE)</f>
        <v>2.1699476977689418</v>
      </c>
      <c r="L26" s="28">
        <f t="shared" ref="L26:L32" si="5">DEGREES(F26/100)*60</f>
        <v>35.842485598019216</v>
      </c>
      <c r="M26" s="4">
        <f>DEGREES(H26/100)*60</f>
        <v>3.4089854269450135</v>
      </c>
    </row>
    <row r="27" spans="1:14" ht="13.5" customHeight="1" x14ac:dyDescent="0.2">
      <c r="A27" s="97">
        <v>118</v>
      </c>
      <c r="C27" s="53">
        <f t="shared" si="4"/>
        <v>0.2</v>
      </c>
      <c r="D27" s="57">
        <f>VLOOKUP($A27,'5 A calc'!$A$2:$AR$203,4,FALSE)</f>
        <v>10</v>
      </c>
      <c r="E27" s="33">
        <f>VLOOKUP($A27,'5 A calc'!$A$2:$AR$203,13,FALSE)</f>
        <v>-0.60358303746751041</v>
      </c>
      <c r="F27" s="53">
        <f>VLOOKUP($A27,'5 A calc'!$A$2:$AR$203,14,FALSE)</f>
        <v>0.89699749614666746</v>
      </c>
      <c r="G27" s="33">
        <f>VLOOKUP($A27,'5 A calc'!$A$2:$AR$203,26,FALSE)*I27</f>
        <v>5.508951027153354E-2</v>
      </c>
      <c r="H27" s="53">
        <f>VLOOKUP($A27,'5 A calc'!$A$2:$AR$203,40,FALSE)*J27</f>
        <v>8.4585465047835595E-2</v>
      </c>
      <c r="I27" s="56">
        <f>VLOOKUP($A27,'5 A calc'!$A$2:$AR$203,28,FALSE)</f>
        <v>2.2861400214380208</v>
      </c>
      <c r="J27" s="49">
        <f>VLOOKUP($A27,'5 A calc'!$A$2:$AR$203,42,FALSE)</f>
        <v>2.2100014908642089</v>
      </c>
      <c r="L27" s="28">
        <f t="shared" si="5"/>
        <v>30.836502457803817</v>
      </c>
      <c r="M27" s="4">
        <f t="shared" ref="M27:M32" si="6">DEGREES(H27/100)*60</f>
        <v>2.9078340932353917</v>
      </c>
    </row>
    <row r="28" spans="1:14" ht="13.5" customHeight="1" x14ac:dyDescent="0.2">
      <c r="A28" s="97">
        <v>119</v>
      </c>
      <c r="C28" s="53">
        <f t="shared" si="4"/>
        <v>0.2</v>
      </c>
      <c r="D28" s="57">
        <f>VLOOKUP($A28,'5 A calc'!$A$2:$AR$203,4,FALSE)</f>
        <v>20</v>
      </c>
      <c r="E28" s="33">
        <f>VLOOKUP($A28,'5 A calc'!$A$2:$AR$203,13,FALSE)</f>
        <v>-0.54762188974690429</v>
      </c>
      <c r="F28" s="53">
        <f>VLOOKUP($A28,'5 A calc'!$A$2:$AR$203,14,FALSE)</f>
        <v>0.78633124077220728</v>
      </c>
      <c r="G28" s="33">
        <f>VLOOKUP($A28,'5 A calc'!$A$2:$AR$203,26,FALSE)*I28</f>
        <v>5.0669598595585508E-2</v>
      </c>
      <c r="H28" s="53">
        <f>VLOOKUP($A28,'5 A calc'!$A$2:$AR$203,40,FALSE)*J28</f>
        <v>7.365026326822087E-2</v>
      </c>
      <c r="I28" s="56">
        <f>VLOOKUP($A28,'5 A calc'!$A$2:$AR$203,28,FALSE)</f>
        <v>2.3202628724858463</v>
      </c>
      <c r="J28" s="49">
        <f>VLOOKUP($A28,'5 A calc'!$A$2:$AR$203,42,FALSE)</f>
        <v>2.2382748055208714</v>
      </c>
      <c r="L28" s="28">
        <f t="shared" si="5"/>
        <v>27.0320768373197</v>
      </c>
      <c r="M28" s="4">
        <f t="shared" si="6"/>
        <v>2.5319095471778694</v>
      </c>
    </row>
    <row r="29" spans="1:14" ht="13.7" customHeight="1" x14ac:dyDescent="0.2">
      <c r="A29" s="97">
        <v>120</v>
      </c>
      <c r="C29" s="53">
        <f t="shared" si="4"/>
        <v>0.2</v>
      </c>
      <c r="D29" s="57">
        <f>VLOOKUP($A29,'5 A calc'!$A$2:$AR$203,4,FALSE)</f>
        <v>40</v>
      </c>
      <c r="E29" s="33">
        <f>VLOOKUP($A29,'5 A calc'!$A$2:$AR$203,13,FALSE)</f>
        <v>-0.50165708354093086</v>
      </c>
      <c r="F29" s="53">
        <f>VLOOKUP($A29,'5 A calc'!$A$2:$AR$203,14,FALSE)</f>
        <v>0.70187512178665656</v>
      </c>
      <c r="G29" s="33">
        <f>VLOOKUP($A29,'5 A calc'!$A$2:$AR$203,26,FALSE)*I29</f>
        <v>4.6165590547974263E-2</v>
      </c>
      <c r="H29" s="53">
        <f>VLOOKUP($A29,'5 A calc'!$A$2:$AR$203,40,FALSE)*J29</f>
        <v>6.5914738672370937E-2</v>
      </c>
      <c r="I29" s="56">
        <f>VLOOKUP($A29,'5 A calc'!$A$2:$AR$203,28,FALSE)</f>
        <v>2.4872095906479617</v>
      </c>
      <c r="J29" s="49">
        <f>VLOOKUP($A29,'5 A calc'!$A$2:$AR$203,42,FALSE)</f>
        <v>2.2521994446141971</v>
      </c>
      <c r="L29" s="28">
        <f t="shared" si="5"/>
        <v>24.128689334163646</v>
      </c>
      <c r="M29" s="4">
        <f t="shared" si="6"/>
        <v>2.2659818001807635</v>
      </c>
    </row>
    <row r="30" spans="1:14" ht="13.7" customHeight="1" x14ac:dyDescent="0.2">
      <c r="A30" s="97">
        <v>121</v>
      </c>
      <c r="C30" s="53">
        <f t="shared" si="4"/>
        <v>0.2</v>
      </c>
      <c r="D30" s="51">
        <f>VLOOKUP($A30,'5 A calc'!$A$2:$AR$203,4,FALSE)</f>
        <v>60</v>
      </c>
      <c r="E30" s="33">
        <f>VLOOKUP($A30,'5 A calc'!$A$2:$AR$203,13,FALSE)</f>
        <v>-0.49166665644203494</v>
      </c>
      <c r="F30" s="53">
        <f>VLOOKUP($A30,'5 A calc'!$A$2:$AR$203,14,FALSE)</f>
        <v>0.63489154610113918</v>
      </c>
      <c r="G30" s="33">
        <f>VLOOKUP($A30,'5 A calc'!$A$2:$AR$203,26,FALSE)*I30</f>
        <v>4.5943027204758603E-2</v>
      </c>
      <c r="H30" s="53">
        <f>VLOOKUP($A30,'5 A calc'!$A$2:$AR$203,40,FALSE)*J30</f>
        <v>6.9669109070933988E-2</v>
      </c>
      <c r="I30" s="56">
        <f>VLOOKUP($A30,'5 A calc'!$A$2:$AR$203,28,FALSE)</f>
        <v>2.4346704296351667</v>
      </c>
      <c r="J30" s="49">
        <f>VLOOKUP($A30,'5 A calc'!$A$2:$AR$203,42,FALSE)</f>
        <v>2.1853531255805554</v>
      </c>
      <c r="L30" s="28">
        <f t="shared" si="5"/>
        <v>21.825963624078486</v>
      </c>
      <c r="M30" s="4">
        <f t="shared" si="6"/>
        <v>2.3950475473206705</v>
      </c>
    </row>
    <row r="31" spans="1:14" ht="13.7" customHeight="1" x14ac:dyDescent="0.2">
      <c r="A31" s="97">
        <v>122</v>
      </c>
      <c r="C31" s="53">
        <f t="shared" si="4"/>
        <v>0.2</v>
      </c>
      <c r="D31" s="51">
        <f>VLOOKUP($A31,'5 A calc'!$A$2:$AR$203,4,FALSE)</f>
        <v>100</v>
      </c>
      <c r="E31" s="33">
        <f>VLOOKUP($A31,'5 A calc'!$A$2:$AR$203,13,FALSE)</f>
        <v>-0.46968565514325344</v>
      </c>
      <c r="F31" s="53">
        <f>VLOOKUP($A31,'5 A calc'!$A$2:$AR$203,14,FALSE)</f>
        <v>0.52713747445072545</v>
      </c>
      <c r="G31" s="33">
        <f>VLOOKUP($A31,'5 A calc'!$A$2:$AR$203,26,FALSE)*I31</f>
        <v>4.4251819465193937E-2</v>
      </c>
      <c r="H31" s="53">
        <f>VLOOKUP($A31,'5 A calc'!$A$2:$AR$203,40,FALSE)*J31</f>
        <v>4.7007676288047015E-2</v>
      </c>
      <c r="I31" s="56">
        <f>VLOOKUP($A31,'5 A calc'!$A$2:$AR$203,28,FALSE)</f>
        <v>2.4694206880533858</v>
      </c>
      <c r="J31" s="49">
        <f>VLOOKUP($A31,'5 A calc'!$A$2:$AR$203,42,FALSE)</f>
        <v>2.2290177189748839</v>
      </c>
      <c r="L31" s="28">
        <f t="shared" si="5"/>
        <v>18.121651505527097</v>
      </c>
      <c r="M31" s="4">
        <f t="shared" si="6"/>
        <v>1.6160048736133739</v>
      </c>
    </row>
    <row r="32" spans="1:14" ht="13.7" customHeight="1" x14ac:dyDescent="0.2">
      <c r="A32" s="97">
        <v>123</v>
      </c>
      <c r="C32" s="53">
        <f t="shared" si="4"/>
        <v>0.2</v>
      </c>
      <c r="D32" s="51">
        <f>VLOOKUP($A32,'5 A calc'!$A$2:$AR$203,4,FALSE)</f>
        <v>120</v>
      </c>
      <c r="E32" s="33">
        <f>VLOOKUP($A32,'5 A calc'!$A$2:$AR$203,13,FALSE)</f>
        <v>-0.45869428514508326</v>
      </c>
      <c r="F32" s="53">
        <f>VLOOKUP($A32,'5 A calc'!$A$2:$AR$203,14,FALSE)</f>
        <v>0.483452887687983</v>
      </c>
      <c r="G32" s="33">
        <f>VLOOKUP($A32,'5 A calc'!$A$2:$AR$203,26,FALSE)*I32</f>
        <v>4.3073073361170035E-2</v>
      </c>
      <c r="H32" s="53">
        <f>VLOOKUP($A32,'5 A calc'!$A$2:$AR$203,40,FALSE)*J32</f>
        <v>3.9993472938487692E-2</v>
      </c>
      <c r="I32" s="56">
        <f>VLOOKUP($A32,'5 A calc'!$A$2:$AR$203,28,FALSE)</f>
        <v>2.5003286844777652</v>
      </c>
      <c r="J32" s="49">
        <f>VLOOKUP($A32,'5 A calc'!$A$2:$AR$203,42,FALSE)</f>
        <v>2.332604978505266</v>
      </c>
      <c r="L32" s="28">
        <f t="shared" si="5"/>
        <v>16.619886034760178</v>
      </c>
      <c r="M32" s="4">
        <f t="shared" si="6"/>
        <v>1.3748743244676094</v>
      </c>
    </row>
    <row r="33" spans="1:36" ht="13.7" customHeight="1" x14ac:dyDescent="0.2">
      <c r="A33" s="68"/>
      <c r="C33" s="119"/>
      <c r="D33" s="113"/>
      <c r="E33" s="114"/>
      <c r="F33" s="115"/>
      <c r="G33" s="114"/>
      <c r="H33" s="115"/>
      <c r="I33" s="116"/>
      <c r="J33" s="117"/>
      <c r="L33" s="28"/>
      <c r="M33" s="4"/>
      <c r="N33" s="4"/>
    </row>
    <row r="34" spans="1:36" ht="13.7" customHeight="1" x14ac:dyDescent="0.2">
      <c r="A34" s="97">
        <v>125</v>
      </c>
      <c r="C34" s="53">
        <f t="shared" ref="C34:C40" si="7">low__burden</f>
        <v>0</v>
      </c>
      <c r="D34" s="51">
        <f>VLOOKUP($A34,'5 A calc'!$A$2:$AR$203,4,FALSE)</f>
        <v>5</v>
      </c>
      <c r="E34" s="33">
        <f>VLOOKUP($A34,'5 A calc'!$A$2:$AR$203,13,FALSE)</f>
        <v>-0.23181636104004924</v>
      </c>
      <c r="F34" s="53">
        <f>VLOOKUP($A34,'5 A calc'!$A$2:$AR$203,14,FALSE)</f>
        <v>0.39608036333819824</v>
      </c>
      <c r="G34" s="33">
        <f>VLOOKUP($A34,'5 A calc'!$A$2:$AR$203,26,FALSE)*I34</f>
        <v>5.7768635939342283E-2</v>
      </c>
      <c r="H34" s="53">
        <f>VLOOKUP($A34,'5 A calc'!$A$2:$AR$203,40,FALSE)*J34</f>
        <v>8.8165860681470337E-2</v>
      </c>
      <c r="I34" s="56">
        <f>VLOOKUP($A34,'5 A calc'!$A$2:$AR$203,28,FALSE)</f>
        <v>2.3252440090506048</v>
      </c>
      <c r="J34" s="49">
        <f>VLOOKUP($A34,'5 A calc'!$A$2:$AR$203,42,FALSE)</f>
        <v>2.2156081004011443</v>
      </c>
      <c r="L34" s="28">
        <f t="shared" ref="L34:L40" si="8">DEGREES(F34/100)*60</f>
        <v>13.616239900372163</v>
      </c>
      <c r="M34" s="28">
        <f t="shared" ref="M34:M40" si="9">DEGREES(H34/100)*60</f>
        <v>3.0309190285119949</v>
      </c>
      <c r="N34" s="4"/>
    </row>
    <row r="35" spans="1:36" ht="13.7" customHeight="1" x14ac:dyDescent="0.2">
      <c r="A35" s="97">
        <v>126</v>
      </c>
      <c r="C35" s="53">
        <f t="shared" si="7"/>
        <v>0</v>
      </c>
      <c r="D35" s="51">
        <f>VLOOKUP($A35,'5 A calc'!$A$2:$AR$203,4,FALSE)</f>
        <v>10</v>
      </c>
      <c r="E35" s="33">
        <f>VLOOKUP($A35,'5 A calc'!$A$2:$AR$203,13,FALSE)</f>
        <v>-0.18484822297794287</v>
      </c>
      <c r="F35" s="53">
        <f>VLOOKUP($A35,'5 A calc'!$A$2:$AR$203,14,FALSE)</f>
        <v>0.29705935378240289</v>
      </c>
      <c r="G35" s="33">
        <f>VLOOKUP($A35,'5 A calc'!$A$2:$AR$203,26,FALSE)*I35</f>
        <v>5.3198227572415269E-2</v>
      </c>
      <c r="H35" s="53">
        <f>VLOOKUP($A35,'5 A calc'!$A$2:$AR$203,40,FALSE)*J35</f>
        <v>7.6647817162633886E-2</v>
      </c>
      <c r="I35" s="56">
        <f>VLOOKUP($A35,'5 A calc'!$A$2:$AR$203,28,FALSE)</f>
        <v>2.4324431005541975</v>
      </c>
      <c r="J35" s="49">
        <f>VLOOKUP($A35,'5 A calc'!$A$2:$AR$203,42,FALSE)</f>
        <v>2.36312359730467</v>
      </c>
      <c r="L35" s="28">
        <f t="shared" si="8"/>
        <v>10.212148341969165</v>
      </c>
      <c r="M35" s="28">
        <f t="shared" si="9"/>
        <v>2.6349578593855907</v>
      </c>
      <c r="N35" s="4"/>
    </row>
    <row r="36" spans="1:36" ht="13.7" customHeight="1" x14ac:dyDescent="0.2">
      <c r="A36" s="97">
        <v>127</v>
      </c>
      <c r="C36" s="53">
        <f t="shared" si="7"/>
        <v>0</v>
      </c>
      <c r="D36" s="51">
        <f>VLOOKUP($A36,'5 A calc'!$A$2:$AR$203,4,FALSE)</f>
        <v>20</v>
      </c>
      <c r="E36" s="33">
        <f>VLOOKUP($A36,'5 A calc'!$A$2:$AR$203,13,FALSE)</f>
        <v>-0.15686935402990917</v>
      </c>
      <c r="F36" s="53">
        <f>VLOOKUP($A36,'5 A calc'!$A$2:$AR$203,14,FALSE)</f>
        <v>0.24172719891726796</v>
      </c>
      <c r="G36" s="33">
        <f>VLOOKUP($A36,'5 A calc'!$A$2:$AR$203,26,FALSE)*I36</f>
        <v>4.959672391422363E-2</v>
      </c>
      <c r="H36" s="53">
        <f>VLOOKUP($A36,'5 A calc'!$A$2:$AR$203,40,FALSE)*J36</f>
        <v>6.9067600398855705E-2</v>
      </c>
      <c r="I36" s="56">
        <f>VLOOKUP($A36,'5 A calc'!$A$2:$AR$203,28,FALSE)</f>
        <v>2.4820511936165244</v>
      </c>
      <c r="J36" s="49">
        <f>VLOOKUP($A36,'5 A calc'!$A$2:$AR$203,42,FALSE)</f>
        <v>2.4307885451690012</v>
      </c>
      <c r="L36" s="28">
        <f t="shared" si="8"/>
        <v>8.3099689748872656</v>
      </c>
      <c r="M36" s="28">
        <f t="shared" si="9"/>
        <v>2.3743692023703082</v>
      </c>
      <c r="N36" s="4"/>
    </row>
    <row r="37" spans="1:36" ht="13.7" customHeight="1" x14ac:dyDescent="0.2">
      <c r="A37" s="97">
        <v>128</v>
      </c>
      <c r="C37" s="53">
        <f t="shared" si="7"/>
        <v>0</v>
      </c>
      <c r="D37" s="51">
        <f>VLOOKUP($A37,'5 A calc'!$A$2:$AR$203,4,FALSE)</f>
        <v>40</v>
      </c>
      <c r="E37" s="33">
        <f>VLOOKUP($A37,'5 A calc'!$A$2:$AR$203,13,FALSE)</f>
        <v>-0.13788745949748793</v>
      </c>
      <c r="F37" s="53">
        <f>VLOOKUP($A37,'5 A calc'!$A$2:$AR$203,14,FALSE)</f>
        <v>0.20532437774244733</v>
      </c>
      <c r="G37" s="33">
        <f>VLOOKUP($A37,'5 A calc'!$A$2:$AR$203,26,FALSE)*I37</f>
        <v>4.6213745439915542E-2</v>
      </c>
      <c r="H37" s="53">
        <f>VLOOKUP($A37,'5 A calc'!$A$2:$AR$203,40,FALSE)*J37</f>
        <v>6.2891126005978237E-2</v>
      </c>
      <c r="I37" s="56">
        <f>VLOOKUP($A37,'5 A calc'!$A$2:$AR$203,28,FALSE)</f>
        <v>2.5198381930923803</v>
      </c>
      <c r="J37" s="49">
        <f>VLOOKUP($A37,'5 A calc'!$A$2:$AR$203,42,FALSE)</f>
        <v>2.4778757989793108</v>
      </c>
      <c r="L37" s="28">
        <f t="shared" si="8"/>
        <v>7.0585321654752544</v>
      </c>
      <c r="M37" s="28">
        <f t="shared" si="9"/>
        <v>2.1620376533808043</v>
      </c>
      <c r="N37" s="4"/>
    </row>
    <row r="38" spans="1:36" ht="13.7" customHeight="1" x14ac:dyDescent="0.2">
      <c r="A38" s="97">
        <v>129</v>
      </c>
      <c r="C38" s="53">
        <f t="shared" si="7"/>
        <v>0</v>
      </c>
      <c r="D38" s="51">
        <f>VLOOKUP($A38,'5 A calc'!$A$2:$AR$203,4,FALSE)</f>
        <v>60</v>
      </c>
      <c r="E38" s="33">
        <f>VLOOKUP($A38,'5 A calc'!$A$2:$AR$203,13,FALSE)</f>
        <v>-0.12989576659663293</v>
      </c>
      <c r="F38" s="53">
        <f>VLOOKUP($A38,'5 A calc'!$A$2:$AR$203,14,FALSE)</f>
        <v>0.19076258148681702</v>
      </c>
      <c r="G38" s="33">
        <f>VLOOKUP($A38,'5 A calc'!$A$2:$AR$203,26,FALSE)*I38</f>
        <v>4.5954208349317564E-2</v>
      </c>
      <c r="H38" s="53">
        <f>VLOOKUP($A38,'5 A calc'!$A$2:$AR$203,40,FALSE)*J38</f>
        <v>5.6247407640636772E-2</v>
      </c>
      <c r="I38" s="56">
        <f>VLOOKUP($A38,'5 A calc'!$A$2:$AR$203,28,FALSE)</f>
        <v>2.5168769373669506</v>
      </c>
      <c r="J38" s="49">
        <f>VLOOKUP($A38,'5 A calc'!$A$2:$AR$203,42,FALSE)</f>
        <v>2.4597921441410406</v>
      </c>
      <c r="L38" s="28">
        <f t="shared" si="8"/>
        <v>6.5579344849290404</v>
      </c>
      <c r="M38" s="28">
        <f t="shared" si="9"/>
        <v>1.9336434398162321</v>
      </c>
      <c r="N38" s="4"/>
    </row>
    <row r="39" spans="1:36" ht="13.7" customHeight="1" x14ac:dyDescent="0.2">
      <c r="A39" s="97">
        <v>130</v>
      </c>
      <c r="C39" s="53">
        <f t="shared" si="7"/>
        <v>0</v>
      </c>
      <c r="D39" s="51">
        <f>VLOOKUP($A39,'5 A calc'!$A$2:$AR$203,4,FALSE)</f>
        <v>100</v>
      </c>
      <c r="E39" s="33">
        <f>VLOOKUP($A39,'5 A calc'!$A$2:$AR$203,13,FALSE)</f>
        <v>-0.12090653758511721</v>
      </c>
      <c r="F39" s="53">
        <f>VLOOKUP($A39,'5 A calc'!$A$2:$AR$203,14,FALSE)</f>
        <v>0.17474662383870593</v>
      </c>
      <c r="G39" s="33">
        <f>VLOOKUP($A39,'5 A calc'!$A$2:$AR$203,26,FALSE)*I39</f>
        <v>4.4301613191414763E-2</v>
      </c>
      <c r="H39" s="53">
        <f>VLOOKUP($A39,'5 A calc'!$A$2:$AR$203,40,FALSE)*J39</f>
        <v>4.463183765063658E-2</v>
      </c>
      <c r="I39" s="56">
        <f>VLOOKUP($A39,'5 A calc'!$A$2:$AR$203,28,FALSE)</f>
        <v>2.5158521924992119</v>
      </c>
      <c r="J39" s="49">
        <f>VLOOKUP($A39,'5 A calc'!$A$2:$AR$203,42,FALSE)</f>
        <v>2.4545215790794752</v>
      </c>
      <c r="L39" s="28">
        <f t="shared" si="8"/>
        <v>6.007346418070818</v>
      </c>
      <c r="M39" s="28">
        <f t="shared" si="9"/>
        <v>1.5343295575767359</v>
      </c>
      <c r="N39" s="4"/>
      <c r="AB39" s="14"/>
      <c r="AC39" s="4"/>
      <c r="AD39" s="4"/>
      <c r="AE39" s="4"/>
      <c r="AF39" s="4"/>
      <c r="AG39" s="118"/>
      <c r="AH39" s="4"/>
      <c r="AI39" s="4"/>
      <c r="AJ39" s="4"/>
    </row>
    <row r="40" spans="1:36" ht="13.7" customHeight="1" x14ac:dyDescent="0.2">
      <c r="A40" s="97">
        <v>131</v>
      </c>
      <c r="C40" s="53">
        <f t="shared" si="7"/>
        <v>0</v>
      </c>
      <c r="D40" s="51">
        <f>VLOOKUP($A40,'5 A calc'!$A$2:$AR$203,4,FALSE)</f>
        <v>120</v>
      </c>
      <c r="E40" s="33">
        <f>VLOOKUP($A40,'5 A calc'!$A$2:$AR$203,13,FALSE)</f>
        <v>-0.11940915502764127</v>
      </c>
      <c r="F40" s="53">
        <f>VLOOKUP($A40,'5 A calc'!$A$2:$AR$203,14,FALSE)</f>
        <v>0.17183453218809797</v>
      </c>
      <c r="G40" s="33">
        <f>VLOOKUP($A40,'5 A calc'!$A$2:$AR$203,26,FALSE)*I40</f>
        <v>4.312278240802872E-2</v>
      </c>
      <c r="H40" s="53">
        <f>VLOOKUP($A40,'5 A calc'!$A$2:$AR$203,40,FALSE)*J40</f>
        <v>3.9471413508775893E-2</v>
      </c>
      <c r="I40" s="56">
        <f>VLOOKUP($A40,'5 A calc'!$A$2:$AR$203,28,FALSE)</f>
        <v>2.5295158861546496</v>
      </c>
      <c r="J40" s="49">
        <f>VLOOKUP($A40,'5 A calc'!$A$2:$AR$203,42,FALSE)</f>
        <v>2.4649667671133018</v>
      </c>
      <c r="L40" s="28">
        <f t="shared" si="8"/>
        <v>5.9072360813897449</v>
      </c>
      <c r="M40" s="28">
        <f t="shared" si="9"/>
        <v>1.3569272432811135</v>
      </c>
      <c r="N40" s="4"/>
      <c r="AB40" s="14"/>
      <c r="AC40" s="4"/>
      <c r="AD40" s="4"/>
      <c r="AE40" s="4"/>
      <c r="AF40" s="4"/>
      <c r="AG40" s="118"/>
      <c r="AH40" s="4"/>
      <c r="AI40" s="4"/>
      <c r="AJ40" s="4"/>
    </row>
    <row r="41" spans="1:36" ht="13.7" customHeight="1" x14ac:dyDescent="0.2">
      <c r="C41" s="39"/>
      <c r="D41" s="52"/>
      <c r="E41" s="38"/>
      <c r="F41" s="52"/>
      <c r="G41" s="38"/>
      <c r="H41" s="52"/>
      <c r="I41" s="52"/>
      <c r="J41" s="40"/>
      <c r="AB41" s="14"/>
      <c r="AC41" s="4"/>
      <c r="AD41" s="4"/>
      <c r="AE41" s="4"/>
      <c r="AF41" s="4"/>
      <c r="AG41" s="118"/>
      <c r="AH41" s="4"/>
      <c r="AI41" s="4"/>
      <c r="AJ41" s="4"/>
    </row>
    <row r="42" spans="1:36" x14ac:dyDescent="0.2">
      <c r="AB42" s="14"/>
      <c r="AC42" s="4"/>
      <c r="AD42" s="4"/>
      <c r="AE42" s="4"/>
      <c r="AF42" s="4"/>
      <c r="AG42" s="118"/>
      <c r="AH42" s="4"/>
      <c r="AI42" s="4"/>
      <c r="AJ42" s="4"/>
    </row>
    <row r="43" spans="1:36" ht="21.4" customHeight="1" x14ac:dyDescent="0.2">
      <c r="A43" s="97">
        <v>133</v>
      </c>
      <c r="C43" s="60" t="str">
        <f>"Table "&amp;L43&amp;". Ratio "&amp;LEFT(M43,FIND("/",M43)-1)&amp;":5."&amp;"  Secondary: "&amp;K43</f>
        <v>Table xxx. Ratio 200:5.  Secondary: S1 - S2</v>
      </c>
      <c r="D43" s="132"/>
      <c r="E43" s="132"/>
      <c r="F43" s="132"/>
      <c r="G43" s="132"/>
      <c r="H43" s="76"/>
      <c r="I43" s="76"/>
      <c r="J43" s="77"/>
      <c r="K43" s="95" t="str">
        <f>VLOOKUP($A43+1,'5 A data'!$A$2:$AP$259,2,FALSE)</f>
        <v>S1 - S2</v>
      </c>
      <c r="L43" s="483" t="s">
        <v>240</v>
      </c>
      <c r="M43" s="525" t="str">
        <f>VLOOKUP($A43,'5 A calc'!$A$2:$AR$172,4,FALSE)</f>
        <v>200/5 Range, 1 turns @ 6VA burden, vs 120 AT, 200 range, 2 Stage CT</v>
      </c>
      <c r="N43" s="526"/>
      <c r="O43" s="526"/>
      <c r="P43" s="526"/>
      <c r="Q43" s="526"/>
      <c r="R43" s="526"/>
      <c r="AC43" s="4"/>
      <c r="AD43" s="4"/>
      <c r="AE43" s="4"/>
      <c r="AF43" s="4"/>
      <c r="AG43" s="118"/>
      <c r="AH43" s="4"/>
      <c r="AI43" s="4"/>
      <c r="AJ43" s="4"/>
    </row>
    <row r="44" spans="1:36" ht="21.4" customHeight="1" x14ac:dyDescent="0.2">
      <c r="A44" s="68"/>
      <c r="C44" s="128"/>
      <c r="D44" s="129"/>
      <c r="E44" s="647" t="s">
        <v>19</v>
      </c>
      <c r="F44" s="648"/>
      <c r="G44" s="647" t="s">
        <v>20</v>
      </c>
      <c r="H44" s="648"/>
      <c r="I44" s="649" t="s">
        <v>8</v>
      </c>
      <c r="J44" s="650"/>
      <c r="L44" s="67"/>
      <c r="AB44" s="14"/>
      <c r="AC44" s="4"/>
      <c r="AD44" s="4"/>
      <c r="AE44" s="4"/>
      <c r="AF44" s="4"/>
      <c r="AG44" s="118"/>
      <c r="AH44" s="4"/>
      <c r="AI44" s="4"/>
      <c r="AJ44" s="4"/>
    </row>
    <row r="45" spans="1:36" ht="63" customHeight="1" x14ac:dyDescent="0.2">
      <c r="A45" s="68"/>
      <c r="C45" s="12" t="s">
        <v>169</v>
      </c>
      <c r="D45" s="54" t="s">
        <v>241</v>
      </c>
      <c r="E45" s="54" t="s">
        <v>294</v>
      </c>
      <c r="F45" s="13" t="s">
        <v>239</v>
      </c>
      <c r="G45" s="54" t="s">
        <v>294</v>
      </c>
      <c r="H45" s="13" t="s">
        <v>239</v>
      </c>
      <c r="I45" s="54" t="s">
        <v>158</v>
      </c>
      <c r="J45" s="13" t="s">
        <v>159</v>
      </c>
      <c r="K45" t="s">
        <v>153</v>
      </c>
      <c r="L45" s="156" t="s">
        <v>59</v>
      </c>
      <c r="M45" s="498" t="s">
        <v>478</v>
      </c>
      <c r="AB45" s="14"/>
      <c r="AC45" s="4"/>
      <c r="AD45" s="4"/>
      <c r="AE45" s="4"/>
      <c r="AF45" s="4"/>
      <c r="AG45" s="118"/>
      <c r="AH45" s="4"/>
      <c r="AI45" s="4"/>
      <c r="AJ45" s="4"/>
    </row>
    <row r="46" spans="1:36" x14ac:dyDescent="0.2">
      <c r="A46" s="97">
        <v>135</v>
      </c>
      <c r="C46" s="131">
        <f t="shared" ref="C46:C52" si="10">high_burden</f>
        <v>0.2</v>
      </c>
      <c r="D46" s="130">
        <f>VLOOKUP($A46,'5 A calc'!$A$2:$AR$203,4,FALSE)</f>
        <v>5</v>
      </c>
      <c r="E46" s="33">
        <f>VLOOKUP($A46,'5 A calc'!$A$2:$AR$203,13,FALSE)</f>
        <v>-0.77547206290717274</v>
      </c>
      <c r="F46" s="53">
        <f>VLOOKUP($A46,'5 A calc'!$A$2:$AR$203,14,FALSE)</f>
        <v>1.1707577704687537</v>
      </c>
      <c r="G46" s="33">
        <f>VLOOKUP($A46,'5 A calc'!$A$2:$AR$203,26,FALSE)*I46</f>
        <v>7.3620380633479282E-2</v>
      </c>
      <c r="H46" s="53">
        <f>VLOOKUP($A46,'5 A calc'!$A$2:$AR$203,40,FALSE)*J46</f>
        <v>0.11558110631183929</v>
      </c>
      <c r="I46" s="133">
        <f>VLOOKUP($A46,'5 A calc'!$A$2:$AR$203,28,FALSE)</f>
        <v>2.2458650587795654</v>
      </c>
      <c r="J46" s="134">
        <f>VLOOKUP($A46,'5 A calc'!$A$2:$AR$203,42,FALSE)</f>
        <v>2.1839137321948257</v>
      </c>
      <c r="L46" s="28">
        <f>DEGREES(F46/100)*60</f>
        <v>40.247687448003333</v>
      </c>
      <c r="M46" s="4">
        <f>DEGREES(H46/100)*60</f>
        <v>3.9733857498727634</v>
      </c>
      <c r="N46" s="4"/>
      <c r="AB46" s="14"/>
      <c r="AC46" s="4"/>
      <c r="AD46" s="4"/>
      <c r="AE46" s="4"/>
      <c r="AF46" s="4"/>
      <c r="AG46" s="118"/>
      <c r="AH46" s="4"/>
      <c r="AI46" s="4"/>
      <c r="AJ46" s="4"/>
    </row>
    <row r="47" spans="1:36" x14ac:dyDescent="0.2">
      <c r="A47" s="97">
        <v>136</v>
      </c>
      <c r="C47" s="131">
        <f t="shared" si="10"/>
        <v>0.2</v>
      </c>
      <c r="D47" s="130">
        <f>VLOOKUP($A47,'5 A calc'!$A$2:$AR$203,4,FALSE)</f>
        <v>10</v>
      </c>
      <c r="E47" s="33">
        <f>VLOOKUP($A47,'5 A calc'!$A$2:$AR$203,13,FALSE)</f>
        <v>-0.68952860798326887</v>
      </c>
      <c r="F47" s="53">
        <f>VLOOKUP($A47,'5 A calc'!$A$2:$AR$203,14,FALSE)</f>
        <v>1.00475337608588</v>
      </c>
      <c r="G47" s="33">
        <f>VLOOKUP($A47,'5 A calc'!$A$2:$AR$203,26,FALSE)*I47</f>
        <v>6.6142163024365999E-2</v>
      </c>
      <c r="H47" s="53">
        <f>VLOOKUP($A47,'5 A calc'!$A$2:$AR$203,40,FALSE)*J47</f>
        <v>9.6143445939248007E-2</v>
      </c>
      <c r="I47" s="133">
        <f>VLOOKUP($A47,'5 A calc'!$A$2:$AR$203,28,FALSE)</f>
        <v>2.2959489038759981</v>
      </c>
      <c r="J47" s="134">
        <f>VLOOKUP($A47,'5 A calc'!$A$2:$AR$203,42,FALSE)</f>
        <v>2.2377750279667672</v>
      </c>
      <c r="L47" s="28">
        <f t="shared" ref="L47:L52" si="11">DEGREES(F47/100)*60</f>
        <v>34.540876740744999</v>
      </c>
      <c r="M47" s="4">
        <f t="shared" ref="M47:M52" si="12">DEGREES(H47/100)*60</f>
        <v>3.3051682080978626</v>
      </c>
      <c r="N47" s="4"/>
      <c r="AB47" s="14"/>
      <c r="AC47" s="4"/>
      <c r="AD47" s="4"/>
      <c r="AE47" s="4"/>
      <c r="AF47" s="4"/>
      <c r="AG47" s="118"/>
      <c r="AH47" s="4"/>
      <c r="AI47" s="4"/>
      <c r="AJ47" s="4"/>
    </row>
    <row r="48" spans="1:36" x14ac:dyDescent="0.2">
      <c r="A48" s="97">
        <v>137</v>
      </c>
      <c r="C48" s="131">
        <f t="shared" si="10"/>
        <v>0.2</v>
      </c>
      <c r="D48" s="130">
        <f>VLOOKUP($A48,'5 A calc'!$A$2:$AR$203,4,FALSE)</f>
        <v>20</v>
      </c>
      <c r="E48" s="33">
        <f>VLOOKUP($A48,'5 A calc'!$A$2:$AR$203,13,FALSE)</f>
        <v>-0.62357378927245821</v>
      </c>
      <c r="F48" s="53">
        <f>VLOOKUP($A48,'5 A calc'!$A$2:$AR$203,14,FALSE)</f>
        <v>0.89117479963198143</v>
      </c>
      <c r="G48" s="33">
        <f>VLOOKUP($A48,'5 A calc'!$A$2:$AR$203,26,FALSE)*I48</f>
        <v>5.9820302231665567E-2</v>
      </c>
      <c r="H48" s="53">
        <f>VLOOKUP($A48,'5 A calc'!$A$2:$AR$203,40,FALSE)*J48</f>
        <v>8.8242382151929866E-2</v>
      </c>
      <c r="I48" s="133">
        <f>VLOOKUP($A48,'5 A calc'!$A$2:$AR$203,28,FALSE)</f>
        <v>2.3621401917515916</v>
      </c>
      <c r="J48" s="134">
        <f>VLOOKUP($A48,'5 A calc'!$A$2:$AR$203,42,FALSE)</f>
        <v>2.2399310056442729</v>
      </c>
      <c r="L48" s="28">
        <f t="shared" si="11"/>
        <v>30.636332896397597</v>
      </c>
      <c r="M48" s="4">
        <f t="shared" si="12"/>
        <v>3.0335496428916748</v>
      </c>
      <c r="N48" s="4"/>
      <c r="AB48" s="14"/>
      <c r="AC48" s="4"/>
      <c r="AD48" s="4"/>
      <c r="AE48" s="4"/>
      <c r="AF48" s="4"/>
      <c r="AG48" s="118"/>
      <c r="AH48" s="4"/>
      <c r="AI48" s="4"/>
      <c r="AJ48" s="4"/>
    </row>
    <row r="49" spans="1:18" x14ac:dyDescent="0.2">
      <c r="A49" s="97">
        <v>138</v>
      </c>
      <c r="C49" s="131">
        <f t="shared" si="10"/>
        <v>0.2</v>
      </c>
      <c r="D49" s="130">
        <f>VLOOKUP($A49,'5 A calc'!$A$2:$AR$203,4,FALSE)</f>
        <v>40</v>
      </c>
      <c r="E49" s="33">
        <f>VLOOKUP($A49,'5 A calc'!$A$2:$AR$203,13,FALSE)</f>
        <v>-0.57760898306648478</v>
      </c>
      <c r="F49" s="53">
        <f>VLOOKUP($A49,'5 A calc'!$A$2:$AR$203,14,FALSE)</f>
        <v>0.78633243309036394</v>
      </c>
      <c r="G49" s="33">
        <f>VLOOKUP($A49,'5 A calc'!$A$2:$AR$203,26,FALSE)*I49</f>
        <v>5.5802811664395872E-2</v>
      </c>
      <c r="H49" s="53">
        <f>VLOOKUP($A49,'5 A calc'!$A$2:$AR$203,40,FALSE)*J49</f>
        <v>7.7250088759784882E-2</v>
      </c>
      <c r="I49" s="133">
        <f>VLOOKUP($A49,'5 A calc'!$A$2:$AR$203,28,FALSE)</f>
        <v>2.4836102648222287</v>
      </c>
      <c r="J49" s="134">
        <f>VLOOKUP($A49,'5 A calc'!$A$2:$AR$203,42,FALSE)</f>
        <v>2.2565106976088196</v>
      </c>
      <c r="L49" s="28">
        <f t="shared" si="11"/>
        <v>27.032117826198629</v>
      </c>
      <c r="M49" s="4">
        <f t="shared" si="12"/>
        <v>2.655662431768004</v>
      </c>
      <c r="N49" s="4"/>
    </row>
    <row r="50" spans="1:18" x14ac:dyDescent="0.2">
      <c r="A50" s="97">
        <v>139</v>
      </c>
      <c r="C50" s="131">
        <f t="shared" si="10"/>
        <v>0.2</v>
      </c>
      <c r="D50" s="135">
        <f>VLOOKUP($A50,'5 A calc'!$A$2:$AR$203,4,FALSE)</f>
        <v>60</v>
      </c>
      <c r="E50" s="33">
        <f>VLOOKUP($A50,'5 A calc'!$A$2:$AR$203,13,FALSE)</f>
        <v>-0.56162235337346633</v>
      </c>
      <c r="F50" s="53">
        <f>VLOOKUP($A50,'5 A calc'!$A$2:$AR$203,14,FALSE)</f>
        <v>0.70478725200765535</v>
      </c>
      <c r="G50" s="33">
        <f>VLOOKUP($A50,'5 A calc'!$A$2:$AR$203,26,FALSE)*I50</f>
        <v>5.4817369316688361E-2</v>
      </c>
      <c r="H50" s="53">
        <f>VLOOKUP($A50,'5 A calc'!$A$2:$AR$203,40,FALSE)*J50</f>
        <v>8.5099455353105175E-2</v>
      </c>
      <c r="I50" s="133">
        <f>VLOOKUP($A50,'5 A calc'!$A$2:$AR$203,28,FALSE)</f>
        <v>2.4420053116831153</v>
      </c>
      <c r="J50" s="134">
        <f>VLOOKUP($A50,'5 A calc'!$A$2:$AR$203,42,FALSE)</f>
        <v>2.1962094854719667</v>
      </c>
      <c r="L50" s="28">
        <f t="shared" si="11"/>
        <v>24.228800996797084</v>
      </c>
      <c r="M50" s="4">
        <f t="shared" si="12"/>
        <v>2.9255037783569446</v>
      </c>
      <c r="N50" s="4"/>
    </row>
    <row r="51" spans="1:18" x14ac:dyDescent="0.2">
      <c r="A51" s="97">
        <v>140</v>
      </c>
      <c r="C51" s="131">
        <f t="shared" si="10"/>
        <v>0.2</v>
      </c>
      <c r="D51" s="135">
        <f>VLOOKUP($A51,'5 A calc'!$A$2:$AR$203,4,FALSE)</f>
        <v>100</v>
      </c>
      <c r="E51" s="33">
        <f>VLOOKUP($A51,'5 A calc'!$A$2:$AR$203,13,FALSE)</f>
        <v>-0.53564388367860305</v>
      </c>
      <c r="F51" s="53">
        <f>VLOOKUP($A51,'5 A calc'!$A$2:$AR$203,14,FALSE)</f>
        <v>0.56499764848342171</v>
      </c>
      <c r="G51" s="33">
        <f>VLOOKUP($A51,'5 A calc'!$A$2:$AR$203,26,FALSE)*I51</f>
        <v>5.2623332668030667E-2</v>
      </c>
      <c r="H51" s="53">
        <f>VLOOKUP($A51,'5 A calc'!$A$2:$AR$203,40,FALSE)*J51</f>
        <v>5.1553515996373339E-2</v>
      </c>
      <c r="I51" s="133">
        <f>VLOOKUP($A51,'5 A calc'!$A$2:$AR$203,28,FALSE)</f>
        <v>2.4707019040876927</v>
      </c>
      <c r="J51" s="134">
        <f>VLOOKUP($A51,'5 A calc'!$A$2:$AR$203,42,FALSE)</f>
        <v>2.2476913763104749</v>
      </c>
      <c r="L51" s="28">
        <f t="shared" si="11"/>
        <v>19.423188415749671</v>
      </c>
      <c r="M51" s="4">
        <f t="shared" si="12"/>
        <v>1.7722793313914216</v>
      </c>
      <c r="N51" s="4"/>
    </row>
    <row r="52" spans="1:18" x14ac:dyDescent="0.2">
      <c r="A52" s="97">
        <v>141</v>
      </c>
      <c r="C52" s="131">
        <f t="shared" si="10"/>
        <v>0.2</v>
      </c>
      <c r="D52" s="135">
        <f>VLOOKUP($A52,'5 A calc'!$A$2:$AR$203,4,FALSE)</f>
        <v>120</v>
      </c>
      <c r="E52" s="33">
        <f>VLOOKUP($A52,'5 A calc'!$A$2:$AR$203,13,FALSE)</f>
        <v>-0.51965567818533065</v>
      </c>
      <c r="F52" s="53">
        <f>VLOOKUP($A52,'5 A calc'!$A$2:$AR$203,14,FALSE)</f>
        <v>0.51840074064124109</v>
      </c>
      <c r="G52" s="33">
        <f>VLOOKUP($A52,'5 A calc'!$A$2:$AR$203,26,FALSE)*I52</f>
        <v>5.0825200157702234E-2</v>
      </c>
      <c r="H52" s="53">
        <f>VLOOKUP($A52,'5 A calc'!$A$2:$AR$203,40,FALSE)*J52</f>
        <v>4.4250110778607653E-2</v>
      </c>
      <c r="I52" s="133">
        <f>VLOOKUP($A52,'5 A calc'!$A$2:$AR$203,28,FALSE)</f>
        <v>2.5083257840046107</v>
      </c>
      <c r="J52" s="134">
        <f>VLOOKUP($A52,'5 A calc'!$A$2:$AR$203,42,FALSE)</f>
        <v>2.3587609449262015</v>
      </c>
      <c r="L52" s="28">
        <f t="shared" si="11"/>
        <v>17.821304721119475</v>
      </c>
      <c r="M52" s="4">
        <f t="shared" si="12"/>
        <v>1.5212067543603429</v>
      </c>
      <c r="N52" s="4"/>
    </row>
    <row r="53" spans="1:18" x14ac:dyDescent="0.2">
      <c r="A53" s="68">
        <v>142</v>
      </c>
      <c r="C53" s="136"/>
      <c r="D53" s="137"/>
      <c r="E53" s="114"/>
      <c r="F53" s="115"/>
      <c r="G53" s="114"/>
      <c r="H53" s="115"/>
      <c r="I53" s="138"/>
      <c r="J53" s="139"/>
      <c r="L53" s="4"/>
      <c r="M53" s="4"/>
    </row>
    <row r="54" spans="1:18" x14ac:dyDescent="0.2">
      <c r="A54" s="97">
        <v>143</v>
      </c>
      <c r="C54" s="131">
        <f t="shared" ref="C54:C60" si="13">low__burden</f>
        <v>0</v>
      </c>
      <c r="D54" s="135">
        <f>VLOOKUP($A54,'5 A calc'!$A$2:$AR$203,4,FALSE)</f>
        <v>5</v>
      </c>
      <c r="E54" s="33">
        <f>VLOOKUP($A54,'5 A calc'!$A$2:$AR$203,13,FALSE)</f>
        <v>-0.23181636104004924</v>
      </c>
      <c r="F54" s="53">
        <f>VLOOKUP($A54,'5 A calc'!$A$2:$AR$203,14,FALSE)</f>
        <v>0.39608036333819824</v>
      </c>
      <c r="G54" s="33">
        <f>VLOOKUP($A54,'5 A calc'!$A$2:$AR$203,26,FALSE)*I54</f>
        <v>6.9440803915504085E-2</v>
      </c>
      <c r="H54" s="53">
        <f>VLOOKUP($A54,'5 A calc'!$A$2:$AR$203,40,FALSE)*J54</f>
        <v>0.10212261323926987</v>
      </c>
      <c r="I54" s="133">
        <f>VLOOKUP($A54,'5 A calc'!$A$2:$AR$203,28,FALSE)</f>
        <v>2.3743947200723996</v>
      </c>
      <c r="J54" s="134">
        <f>VLOOKUP($A54,'5 A calc'!$A$2:$AR$203,42,FALSE)</f>
        <v>2.2623042965957096</v>
      </c>
      <c r="L54" s="28">
        <f t="shared" ref="L54:L60" si="14">DEGREES(F54/100)*60</f>
        <v>13.616239900372163</v>
      </c>
      <c r="M54" s="28">
        <f t="shared" ref="M54:M60" si="15">DEGREES(H54/100)*60</f>
        <v>3.5107168388741927</v>
      </c>
    </row>
    <row r="55" spans="1:18" x14ac:dyDescent="0.2">
      <c r="A55" s="97">
        <v>144</v>
      </c>
      <c r="C55" s="131">
        <f t="shared" si="13"/>
        <v>0</v>
      </c>
      <c r="D55" s="135">
        <f>VLOOKUP($A55,'5 A calc'!$A$2:$AR$203,4,FALSE)</f>
        <v>10</v>
      </c>
      <c r="E55" s="33">
        <f>VLOOKUP($A55,'5 A calc'!$A$2:$AR$203,13,FALSE)</f>
        <v>-0.18484822297794287</v>
      </c>
      <c r="F55" s="53">
        <f>VLOOKUP($A55,'5 A calc'!$A$2:$AR$203,14,FALSE)</f>
        <v>0.29705935378240289</v>
      </c>
      <c r="G55" s="33">
        <f>VLOOKUP($A55,'5 A calc'!$A$2:$AR$203,26,FALSE)*I55</f>
        <v>6.4057825037762375E-2</v>
      </c>
      <c r="H55" s="53">
        <f>VLOOKUP($A55,'5 A calc'!$A$2:$AR$203,40,FALSE)*J55</f>
        <v>8.9951578566079063E-2</v>
      </c>
      <c r="I55" s="133">
        <f>VLOOKUP($A55,'5 A calc'!$A$2:$AR$203,28,FALSE)</f>
        <v>2.4619977925850054</v>
      </c>
      <c r="J55" s="134">
        <f>VLOOKUP($A55,'5 A calc'!$A$2:$AR$203,42,FALSE)</f>
        <v>2.4010937400341632</v>
      </c>
      <c r="L55" s="28">
        <f t="shared" si="14"/>
        <v>10.212148341969165</v>
      </c>
      <c r="M55" s="28">
        <f t="shared" si="15"/>
        <v>3.0923074874254604</v>
      </c>
    </row>
    <row r="56" spans="1:18" x14ac:dyDescent="0.2">
      <c r="A56" s="97">
        <v>145</v>
      </c>
      <c r="C56" s="131">
        <f t="shared" si="13"/>
        <v>0</v>
      </c>
      <c r="D56" s="135">
        <f>VLOOKUP($A56,'5 A calc'!$A$2:$AR$203,4,FALSE)</f>
        <v>20</v>
      </c>
      <c r="E56" s="33">
        <f>VLOOKUP($A56,'5 A calc'!$A$2:$AR$203,13,FALSE)</f>
        <v>-0.15686935402990917</v>
      </c>
      <c r="F56" s="53">
        <f>VLOOKUP($A56,'5 A calc'!$A$2:$AR$203,14,FALSE)</f>
        <v>0.24172719891726796</v>
      </c>
      <c r="G56" s="33">
        <f>VLOOKUP($A56,'5 A calc'!$A$2:$AR$203,26,FALSE)*I56</f>
        <v>5.9251663381928721E-2</v>
      </c>
      <c r="H56" s="53">
        <f>VLOOKUP($A56,'5 A calc'!$A$2:$AR$203,40,FALSE)*J56</f>
        <v>8.2285484370507256E-2</v>
      </c>
      <c r="I56" s="133">
        <f>VLOOKUP($A56,'5 A calc'!$A$2:$AR$203,28,FALSE)</f>
        <v>2.4986995355549775</v>
      </c>
      <c r="J56" s="134">
        <f>VLOOKUP($A56,'5 A calc'!$A$2:$AR$203,42,FALSE)</f>
        <v>2.4592224002034411</v>
      </c>
      <c r="L56" s="28">
        <f t="shared" si="14"/>
        <v>8.3099689748872656</v>
      </c>
      <c r="M56" s="28">
        <f t="shared" si="15"/>
        <v>2.828766581771859</v>
      </c>
    </row>
    <row r="57" spans="1:18" x14ac:dyDescent="0.2">
      <c r="A57" s="97">
        <v>146</v>
      </c>
      <c r="C57" s="131">
        <f t="shared" si="13"/>
        <v>0</v>
      </c>
      <c r="D57" s="135">
        <f>VLOOKUP($A57,'5 A calc'!$A$2:$AR$203,4,FALSE)</f>
        <v>40</v>
      </c>
      <c r="E57" s="33">
        <f>VLOOKUP($A57,'5 A calc'!$A$2:$AR$203,13,FALSE)</f>
        <v>-0.13788745949748793</v>
      </c>
      <c r="F57" s="53">
        <f>VLOOKUP($A57,'5 A calc'!$A$2:$AR$203,14,FALSE)</f>
        <v>0.20532437774244733</v>
      </c>
      <c r="G57" s="33">
        <f>VLOOKUP($A57,'5 A calc'!$A$2:$AR$203,26,FALSE)*I57</f>
        <v>5.5880451529138252E-2</v>
      </c>
      <c r="H57" s="53">
        <f>VLOOKUP($A57,'5 A calc'!$A$2:$AR$203,40,FALSE)*J57</f>
        <v>7.3610824125165661E-2</v>
      </c>
      <c r="I57" s="133">
        <f>VLOOKUP($A57,'5 A calc'!$A$2:$AR$203,28,FALSE)</f>
        <v>2.5267060007129425</v>
      </c>
      <c r="J57" s="134">
        <f>VLOOKUP($A57,'5 A calc'!$A$2:$AR$203,42,FALSE)</f>
        <v>2.4939488919104207</v>
      </c>
      <c r="L57" s="28">
        <f t="shared" si="14"/>
        <v>7.0585321654752544</v>
      </c>
      <c r="M57" s="28">
        <f t="shared" si="15"/>
        <v>2.5305537293110638</v>
      </c>
    </row>
    <row r="58" spans="1:18" x14ac:dyDescent="0.2">
      <c r="A58" s="97">
        <v>147</v>
      </c>
      <c r="C58" s="131">
        <f t="shared" si="13"/>
        <v>0</v>
      </c>
      <c r="D58" s="135">
        <f>VLOOKUP($A58,'5 A calc'!$A$2:$AR$203,4,FALSE)</f>
        <v>60</v>
      </c>
      <c r="E58" s="33">
        <f>VLOOKUP($A58,'5 A calc'!$A$2:$AR$203,13,FALSE)</f>
        <v>-0.12989576659663293</v>
      </c>
      <c r="F58" s="53">
        <f>VLOOKUP($A58,'5 A calc'!$A$2:$AR$203,14,FALSE)</f>
        <v>0.19076258148681702</v>
      </c>
      <c r="G58" s="33">
        <f>VLOOKUP($A58,'5 A calc'!$A$2:$AR$203,26,FALSE)*I58</f>
        <v>5.4857979102647829E-2</v>
      </c>
      <c r="H58" s="53">
        <f>VLOOKUP($A58,'5 A calc'!$A$2:$AR$203,40,FALSE)*J58</f>
        <v>6.5105414950028612E-2</v>
      </c>
      <c r="I58" s="133">
        <f>VLOOKUP($A58,'5 A calc'!$A$2:$AR$203,28,FALSE)</f>
        <v>2.5241874399175446</v>
      </c>
      <c r="J58" s="134">
        <f>VLOOKUP($A58,'5 A calc'!$A$2:$AR$203,42,FALSE)</f>
        <v>2.4786657123147542</v>
      </c>
      <c r="L58" s="28">
        <f t="shared" si="14"/>
        <v>6.5579344849290404</v>
      </c>
      <c r="M58" s="28">
        <f t="shared" si="15"/>
        <v>2.2381593000507438</v>
      </c>
    </row>
    <row r="59" spans="1:18" x14ac:dyDescent="0.2">
      <c r="A59" s="97">
        <v>148</v>
      </c>
      <c r="C59" s="131">
        <f t="shared" si="13"/>
        <v>0</v>
      </c>
      <c r="D59" s="135">
        <f>VLOOKUP($A59,'5 A calc'!$A$2:$AR$203,4,FALSE)</f>
        <v>100</v>
      </c>
      <c r="E59" s="33">
        <f>VLOOKUP($A59,'5 A calc'!$A$2:$AR$203,13,FALSE)</f>
        <v>-0.12090653758511721</v>
      </c>
      <c r="F59" s="53">
        <f>VLOOKUP($A59,'5 A calc'!$A$2:$AR$203,14,FALSE)</f>
        <v>0.17474662383870593</v>
      </c>
      <c r="G59" s="33">
        <f>VLOOKUP($A59,'5 A calc'!$A$2:$AR$203,26,FALSE)*I59</f>
        <v>5.2696853711115564E-2</v>
      </c>
      <c r="H59" s="53">
        <f>VLOOKUP($A59,'5 A calc'!$A$2:$AR$203,40,FALSE)*J59</f>
        <v>4.9425156230515382E-2</v>
      </c>
      <c r="I59" s="133">
        <f>VLOOKUP($A59,'5 A calc'!$A$2:$AR$203,28,FALSE)</f>
        <v>2.5233266537226249</v>
      </c>
      <c r="J59" s="134">
        <f>VLOOKUP($A59,'5 A calc'!$A$2:$AR$203,42,FALSE)</f>
        <v>2.4688955902234913</v>
      </c>
      <c r="L59" s="28">
        <f t="shared" si="14"/>
        <v>6.007346418070818</v>
      </c>
      <c r="M59" s="28">
        <f t="shared" si="15"/>
        <v>1.6991117122699539</v>
      </c>
    </row>
    <row r="60" spans="1:18" x14ac:dyDescent="0.2">
      <c r="A60" s="97">
        <v>149</v>
      </c>
      <c r="C60" s="131">
        <f t="shared" si="13"/>
        <v>0</v>
      </c>
      <c r="D60" s="135">
        <f>VLOOKUP($A60,'5 A calc'!$A$2:$AR$203,4,FALSE)</f>
        <v>120</v>
      </c>
      <c r="E60" s="33">
        <f>VLOOKUP($A60,'5 A calc'!$A$2:$AR$203,13,FALSE)</f>
        <v>-0.11940915502764127</v>
      </c>
      <c r="F60" s="53">
        <f>VLOOKUP($A60,'5 A calc'!$A$2:$AR$203,14,FALSE)</f>
        <v>0.17183453218809797</v>
      </c>
      <c r="G60" s="33">
        <f>VLOOKUP($A60,'5 A calc'!$A$2:$AR$203,26,FALSE)*I60</f>
        <v>5.0880107144565874E-2</v>
      </c>
      <c r="H60" s="53">
        <f>VLOOKUP($A60,'5 A calc'!$A$2:$AR$203,40,FALSE)*J60</f>
        <v>4.3899754485472293E-2</v>
      </c>
      <c r="I60" s="133">
        <f>VLOOKUP($A60,'5 A calc'!$A$2:$AR$203,28,FALSE)</f>
        <v>2.5330142239362976</v>
      </c>
      <c r="J60" s="134">
        <f>VLOOKUP($A60,'5 A calc'!$A$2:$AR$203,42,FALSE)</f>
        <v>2.4782570661211127</v>
      </c>
      <c r="L60" s="28">
        <f t="shared" si="14"/>
        <v>5.9072360813897449</v>
      </c>
      <c r="M60" s="28">
        <f t="shared" si="15"/>
        <v>1.5091623922068402</v>
      </c>
    </row>
    <row r="61" spans="1:18" x14ac:dyDescent="0.2">
      <c r="C61" s="92"/>
      <c r="D61" s="140"/>
      <c r="E61" s="38"/>
      <c r="F61" s="52"/>
      <c r="G61" s="82"/>
      <c r="H61" s="140"/>
      <c r="I61" s="140"/>
      <c r="J61" s="141"/>
    </row>
    <row r="63" spans="1:18" ht="21.4" customHeight="1" x14ac:dyDescent="0.2">
      <c r="A63" s="97">
        <v>151</v>
      </c>
      <c r="C63" s="60" t="str">
        <f>"Table "&amp;L63&amp;". Ratio "&amp;LEFT(M63,FIND("/",M63)-1)&amp;":5."&amp;"  Secondary: "&amp;K63</f>
        <v>Table xxx. Ratio 200:5.  Secondary: S1 - S2</v>
      </c>
      <c r="D63" s="18"/>
      <c r="E63" s="18"/>
      <c r="F63" s="18"/>
      <c r="G63" s="18"/>
      <c r="H63" s="10"/>
      <c r="I63" s="10"/>
      <c r="J63" s="11"/>
      <c r="K63" s="95" t="str">
        <f>VLOOKUP($A63+1,'5 A data'!$A$2:$AP$259,2,FALSE)</f>
        <v>S1 - S2</v>
      </c>
      <c r="L63" s="483" t="s">
        <v>240</v>
      </c>
      <c r="M63" s="525" t="str">
        <f>VLOOKUP($A63,'5 A calc'!$A$2:$AR$172,4,FALSE)</f>
        <v>200/5 Range, 1 turns @ 4VA burden, vs 120 AT, 200 range, 2 Stage CT</v>
      </c>
      <c r="N63" s="526"/>
      <c r="O63" s="526"/>
      <c r="P63" s="526"/>
      <c r="Q63" s="526"/>
      <c r="R63" s="534"/>
    </row>
    <row r="64" spans="1:18" ht="21.4" customHeight="1" x14ac:dyDescent="0.2">
      <c r="A64" s="68"/>
      <c r="C64" s="12"/>
      <c r="D64" s="13"/>
      <c r="E64" s="643" t="s">
        <v>19</v>
      </c>
      <c r="F64" s="644"/>
      <c r="G64" s="643" t="s">
        <v>20</v>
      </c>
      <c r="H64" s="644"/>
      <c r="I64" s="645" t="s">
        <v>8</v>
      </c>
      <c r="J64" s="646"/>
      <c r="L64" s="67"/>
    </row>
    <row r="65" spans="1:13" ht="63" customHeight="1" x14ac:dyDescent="0.2">
      <c r="A65" s="68"/>
      <c r="C65" s="12" t="s">
        <v>169</v>
      </c>
      <c r="D65" s="54" t="s">
        <v>241</v>
      </c>
      <c r="E65" s="54" t="s">
        <v>294</v>
      </c>
      <c r="F65" s="13" t="s">
        <v>239</v>
      </c>
      <c r="G65" s="54" t="s">
        <v>294</v>
      </c>
      <c r="H65" s="13" t="s">
        <v>239</v>
      </c>
      <c r="I65" s="54" t="s">
        <v>158</v>
      </c>
      <c r="J65" s="13" t="s">
        <v>159</v>
      </c>
      <c r="L65" s="156"/>
      <c r="M65" s="498" t="s">
        <v>478</v>
      </c>
    </row>
    <row r="66" spans="1:13" ht="13.7" customHeight="1" x14ac:dyDescent="0.2">
      <c r="A66" s="97">
        <v>153</v>
      </c>
      <c r="C66" s="53">
        <f t="shared" ref="C66:C72" si="16">twentyfivepercent__burden</f>
        <v>0.05</v>
      </c>
      <c r="D66" s="57">
        <f>VLOOKUP($A66,'5 A calc'!$A$2:$AR$203,4,FALSE)</f>
        <v>5</v>
      </c>
      <c r="E66" s="33">
        <f>VLOOKUP($A66,'5 A calc'!$A$2:$AR$203,13,FALSE)</f>
        <v>-0.59958345347957398</v>
      </c>
      <c r="F66" s="53">
        <f>VLOOKUP($A66,'5 A calc'!$A$2:$AR$203,14,FALSE)</f>
        <v>0.92612279979594658</v>
      </c>
      <c r="G66" s="33">
        <f>VLOOKUP($A66,'5 A calc'!$A$2:$AR$203,26,FALSE)*I66</f>
        <v>5.447392852291464E-2</v>
      </c>
      <c r="H66" s="53">
        <f>VLOOKUP($A66,'5 A calc'!$A$2:$AR$203,40,FALSE)*J66</f>
        <v>8.8371500985716944E-2</v>
      </c>
      <c r="I66" s="56">
        <f>VLOOKUP($A66,'5 A calc'!$A$2:$AR$203,28,FALSE)</f>
        <v>2.1931724882733556</v>
      </c>
      <c r="J66" s="49">
        <f>VLOOKUP($A66,'5 A calc'!$A$2:$AR$203,42,FALSE)</f>
        <v>2.1584588705384009</v>
      </c>
      <c r="L66" s="28">
        <f>DEGREES(F66/100)*60</f>
        <v>31.837756643488223</v>
      </c>
      <c r="M66" s="4">
        <f>DEGREES(H66/100)*60</f>
        <v>3.0379884214306649</v>
      </c>
    </row>
    <row r="67" spans="1:13" ht="13.7" customHeight="1" x14ac:dyDescent="0.2">
      <c r="A67" s="97">
        <v>154</v>
      </c>
      <c r="C67" s="53">
        <f t="shared" si="16"/>
        <v>0.05</v>
      </c>
      <c r="D67" s="57">
        <f>VLOOKUP($A67,'5 A calc'!$A$2:$AR$203,4,FALSE)</f>
        <v>10</v>
      </c>
      <c r="E67" s="33">
        <f>VLOOKUP($A67,'5 A calc'!$A$2:$AR$203,13,FALSE)</f>
        <v>-0.52163493534783378</v>
      </c>
      <c r="F67" s="53">
        <f>VLOOKUP($A67,'5 A calc'!$A$2:$AR$203,14,FALSE)</f>
        <v>0.78632929512801697</v>
      </c>
      <c r="G67" s="33">
        <f>VLOOKUP($A67,'5 A calc'!$A$2:$AR$203,26,FALSE)*I67</f>
        <v>4.4790899633427819E-2</v>
      </c>
      <c r="H67" s="53">
        <f>VLOOKUP($A67,'5 A calc'!$A$2:$AR$203,40,FALSE)*J67</f>
        <v>7.2140702621745614E-2</v>
      </c>
      <c r="I67" s="56">
        <f>VLOOKUP($A67,'5 A calc'!$A$2:$AR$203,28,FALSE)</f>
        <v>2.2653533168195614</v>
      </c>
      <c r="J67" s="49">
        <f>VLOOKUP($A67,'5 A calc'!$A$2:$AR$203,42,FALSE)</f>
        <v>2.1881488115156484</v>
      </c>
      <c r="L67" s="28">
        <f t="shared" ref="L67:L72" si="17">DEGREES(F67/100)*60</f>
        <v>27.032009950999381</v>
      </c>
      <c r="M67" s="4">
        <f t="shared" ref="M67:M72" si="18">DEGREES(H67/100)*60</f>
        <v>2.4800146748006258</v>
      </c>
    </row>
    <row r="68" spans="1:13" ht="13.7" customHeight="1" x14ac:dyDescent="0.2">
      <c r="A68" s="97">
        <v>155</v>
      </c>
      <c r="C68" s="53">
        <f t="shared" si="16"/>
        <v>0.05</v>
      </c>
      <c r="D68" s="57">
        <f>VLOOKUP($A68,'5 A calc'!$A$2:$AR$203,4,FALSE)</f>
        <v>20</v>
      </c>
      <c r="E68" s="33">
        <f>VLOOKUP($A68,'5 A calc'!$A$2:$AR$203,13,FALSE)</f>
        <v>-0.47366872441939106</v>
      </c>
      <c r="F68" s="53">
        <f>VLOOKUP($A68,'5 A calc'!$A$2:$AR$203,14,FALSE)</f>
        <v>0.68440000299187098</v>
      </c>
      <c r="G68" s="33">
        <f>VLOOKUP($A68,'5 A calc'!$A$2:$AR$203,26,FALSE)*I68</f>
        <v>4.1395481614549326E-2</v>
      </c>
      <c r="H68" s="53">
        <f>VLOOKUP($A68,'5 A calc'!$A$2:$AR$203,40,FALSE)*J68</f>
        <v>6.1482856063662703E-2</v>
      </c>
      <c r="I68" s="56">
        <f>VLOOKUP($A68,'5 A calc'!$A$2:$AR$203,28,FALSE)</f>
        <v>2.2995230776952673</v>
      </c>
      <c r="J68" s="49">
        <f>VLOOKUP($A68,'5 A calc'!$A$2:$AR$203,42,FALSE)</f>
        <v>2.2109114084129922</v>
      </c>
      <c r="L68" s="28">
        <f t="shared" si="17"/>
        <v>23.527939002105075</v>
      </c>
      <c r="M68" s="4">
        <f t="shared" si="18"/>
        <v>2.1136248989149173</v>
      </c>
    </row>
    <row r="69" spans="1:13" ht="13.7" customHeight="1" x14ac:dyDescent="0.2">
      <c r="A69" s="97">
        <v>156</v>
      </c>
      <c r="C69" s="53">
        <f t="shared" si="16"/>
        <v>0.05</v>
      </c>
      <c r="D69" s="57">
        <f>VLOOKUP($A69,'5 A calc'!$A$2:$AR$203,4,FALSE)</f>
        <v>40</v>
      </c>
      <c r="E69" s="33">
        <f>VLOOKUP($A69,'5 A calc'!$A$2:$AR$203,13,FALSE)</f>
        <v>-0.43370012080754039</v>
      </c>
      <c r="F69" s="53">
        <f>VLOOKUP($A69,'5 A calc'!$A$2:$AR$203,14,FALSE)</f>
        <v>0.608680847244635</v>
      </c>
      <c r="G69" s="33">
        <f>VLOOKUP($A69,'5 A calc'!$A$2:$AR$203,26,FALSE)*I69</f>
        <v>3.7555268747781471E-2</v>
      </c>
      <c r="H69" s="53">
        <f>VLOOKUP($A69,'5 A calc'!$A$2:$AR$203,40,FALSE)*J69</f>
        <v>5.3362226789078392E-2</v>
      </c>
      <c r="I69" s="56">
        <f>VLOOKUP($A69,'5 A calc'!$A$2:$AR$203,28,FALSE)</f>
        <v>2.4366989678236743</v>
      </c>
      <c r="J69" s="49">
        <f>VLOOKUP($A69,'5 A calc'!$A$2:$AR$203,42,FALSE)</f>
        <v>2.2468434253996361</v>
      </c>
      <c r="L69" s="28">
        <f t="shared" si="17"/>
        <v>20.924906170538851</v>
      </c>
      <c r="M69" s="4">
        <f t="shared" si="18"/>
        <v>1.8344582282604782</v>
      </c>
    </row>
    <row r="70" spans="1:13" ht="13.7" customHeight="1" x14ac:dyDescent="0.2">
      <c r="A70" s="97">
        <v>157</v>
      </c>
      <c r="C70" s="53">
        <f t="shared" si="16"/>
        <v>0.05</v>
      </c>
      <c r="D70" s="51">
        <f>VLOOKUP($A70,'5 A calc'!$A$2:$AR$203,4,FALSE)</f>
        <v>60</v>
      </c>
      <c r="E70" s="33">
        <f>VLOOKUP($A70,'5 A calc'!$A$2:$AR$203,13,FALSE)</f>
        <v>-0.41771349111452177</v>
      </c>
      <c r="F70" s="53">
        <f>VLOOKUP($A70,'5 A calc'!$A$2:$AR$203,14,FALSE)</f>
        <v>0.55917119803574655</v>
      </c>
      <c r="G70" s="33">
        <f>VLOOKUP($A70,'5 A calc'!$A$2:$AR$203,26,FALSE)*I70</f>
        <v>3.6529518661738043E-2</v>
      </c>
      <c r="H70" s="53">
        <f>VLOOKUP($A70,'5 A calc'!$A$2:$AR$203,40,FALSE)*J70</f>
        <v>5.6001004820170827E-2</v>
      </c>
      <c r="I70" s="56">
        <f>VLOOKUP($A70,'5 A calc'!$A$2:$AR$203,28,FALSE)</f>
        <v>2.4448668225172141</v>
      </c>
      <c r="J70" s="49">
        <f>VLOOKUP($A70,'5 A calc'!$A$2:$AR$203,42,FALSE)</f>
        <v>2.1743465123469718</v>
      </c>
      <c r="L70" s="28">
        <f t="shared" si="17"/>
        <v>19.222889803633336</v>
      </c>
      <c r="M70" s="4">
        <f t="shared" si="18"/>
        <v>1.9251727348125409</v>
      </c>
    </row>
    <row r="71" spans="1:13" ht="13.7" customHeight="1" x14ac:dyDescent="0.2">
      <c r="A71" s="97">
        <v>158</v>
      </c>
      <c r="C71" s="53">
        <f t="shared" si="16"/>
        <v>0.05</v>
      </c>
      <c r="D71" s="51">
        <f>VLOOKUP($A71,'5 A calc'!$A$2:$AR$203,4,FALSE)</f>
        <v>100</v>
      </c>
      <c r="E71" s="33">
        <f>VLOOKUP($A71,'5 A calc'!$A$2:$AR$203,13,FALSE)</f>
        <v>-0.40372742660790395</v>
      </c>
      <c r="F71" s="53">
        <f>VLOOKUP($A71,'5 A calc'!$A$2:$AR$203,14,FALSE)</f>
        <v>0.47762801610027644</v>
      </c>
      <c r="G71" s="33">
        <f>VLOOKUP($A71,'5 A calc'!$A$2:$AR$203,26,FALSE)*I71</f>
        <v>3.5882619943914756E-2</v>
      </c>
      <c r="H71" s="53">
        <f>VLOOKUP($A71,'5 A calc'!$A$2:$AR$203,40,FALSE)*J71</f>
        <v>4.058905027649997E-2</v>
      </c>
      <c r="I71" s="56">
        <f>VLOOKUP($A71,'5 A calc'!$A$2:$AR$203,28,FALSE)</f>
        <v>2.4614033653646521</v>
      </c>
      <c r="J71" s="49">
        <f>VLOOKUP($A71,'5 A calc'!$A$2:$AR$203,42,FALSE)</f>
        <v>2.2157526633229043</v>
      </c>
      <c r="L71" s="28">
        <f>DEGREES(F71/100)*60</f>
        <v>16.419641699851422</v>
      </c>
      <c r="M71" s="4">
        <f t="shared" si="18"/>
        <v>1.3953487651726533</v>
      </c>
    </row>
    <row r="72" spans="1:13" ht="13.7" customHeight="1" x14ac:dyDescent="0.2">
      <c r="A72" s="97">
        <v>159</v>
      </c>
      <c r="C72" s="53">
        <f t="shared" si="16"/>
        <v>0.05</v>
      </c>
      <c r="D72" s="51">
        <f>VLOOKUP($A72,'5 A calc'!$A$2:$AR$203,4,FALSE)</f>
        <v>120</v>
      </c>
      <c r="E72" s="33">
        <f>VLOOKUP($A72,'5 A calc'!$A$2:$AR$203,13,FALSE)</f>
        <v>-0.39773289210483592</v>
      </c>
      <c r="F72" s="53">
        <f>VLOOKUP($A72,'5 A calc'!$A$2:$AR$203,14,FALSE)</f>
        <v>0.4426803925758484</v>
      </c>
      <c r="G72" s="33">
        <f>VLOOKUP($A72,'5 A calc'!$A$2:$AR$203,26,FALSE)*I72</f>
        <v>3.5323243371386398E-2</v>
      </c>
      <c r="H72" s="53">
        <f>VLOOKUP($A72,'5 A calc'!$A$2:$AR$203,40,FALSE)*J72</f>
        <v>3.5128495529559114E-2</v>
      </c>
      <c r="I72" s="56">
        <f>VLOOKUP($A72,'5 A calc'!$A$2:$AR$203,28,FALSE)</f>
        <v>2.4872585078390519</v>
      </c>
      <c r="J72" s="49">
        <f>VLOOKUP($A72,'5 A calc'!$A$2:$AR$203,42,FALSE)</f>
        <v>2.2959898117145858</v>
      </c>
      <c r="L72" s="28">
        <f t="shared" si="17"/>
        <v>15.218230900674319</v>
      </c>
      <c r="M72" s="4">
        <f t="shared" si="18"/>
        <v>1.2076287206927503</v>
      </c>
    </row>
    <row r="73" spans="1:13" ht="13.7" customHeight="1" x14ac:dyDescent="0.2">
      <c r="A73" s="68"/>
      <c r="C73" s="119"/>
      <c r="D73" s="113"/>
      <c r="E73" s="114"/>
      <c r="F73" s="115"/>
      <c r="G73" s="114"/>
      <c r="H73" s="115"/>
      <c r="I73" s="116"/>
      <c r="J73" s="117"/>
      <c r="L73" s="4"/>
      <c r="M73" s="4"/>
    </row>
    <row r="74" spans="1:13" ht="13.7" customHeight="1" x14ac:dyDescent="0.2">
      <c r="A74" s="97">
        <v>161</v>
      </c>
      <c r="C74" s="53">
        <f t="shared" ref="C74:C80" si="19">low__burden</f>
        <v>0</v>
      </c>
      <c r="D74" s="51">
        <f>VLOOKUP($A74,'5 A calc'!$A$2:$AR$203,4,FALSE)</f>
        <v>5</v>
      </c>
      <c r="E74" s="33">
        <f>VLOOKUP($A74,'5 A calc'!$A$2:$AR$203,13,FALSE)</f>
        <v>-0.23181636104004924</v>
      </c>
      <c r="F74" s="53">
        <f>VLOOKUP($A74,'5 A calc'!$A$2:$AR$203,14,FALSE)</f>
        <v>0.39608036333819824</v>
      </c>
      <c r="G74" s="33">
        <f>VLOOKUP($A74,'5 A calc'!$A$2:$AR$203,26,FALSE)*I74</f>
        <v>4.841899722713712E-2</v>
      </c>
      <c r="H74" s="53">
        <f>VLOOKUP($A74,'5 A calc'!$A$2:$AR$203,40,FALSE)*J74</f>
        <v>7.6600080802905743E-2</v>
      </c>
      <c r="I74" s="56">
        <f>VLOOKUP($A74,'5 A calc'!$A$2:$AR$203,28,FALSE)</f>
        <v>2.2723405931698961</v>
      </c>
      <c r="J74" s="49">
        <f>VLOOKUP($A74,'5 A calc'!$A$2:$AR$203,42,FALSE)</f>
        <v>2.1738586669206414</v>
      </c>
      <c r="L74" s="28">
        <f t="shared" ref="L74:L80" si="20">DEGREES(F74/100)*60</f>
        <v>13.616239900372163</v>
      </c>
      <c r="M74" s="28">
        <f t="shared" ref="M74:M80" si="21">DEGREES(H74/100)*60</f>
        <v>2.6333168042205468</v>
      </c>
    </row>
    <row r="75" spans="1:13" ht="13.7" customHeight="1" x14ac:dyDescent="0.2">
      <c r="A75" s="97">
        <v>162</v>
      </c>
      <c r="C75" s="53">
        <f t="shared" si="19"/>
        <v>0</v>
      </c>
      <c r="D75" s="51">
        <f>VLOOKUP($A75,'5 A calc'!$A$2:$AR$203,4,FALSE)</f>
        <v>10</v>
      </c>
      <c r="E75" s="33">
        <f>VLOOKUP($A75,'5 A calc'!$A$2:$AR$203,13,FALSE)</f>
        <v>-0.18484822297794287</v>
      </c>
      <c r="F75" s="53">
        <f>VLOOKUP($A75,'5 A calc'!$A$2:$AR$203,14,FALSE)</f>
        <v>0.29705935378240289</v>
      </c>
      <c r="G75" s="33">
        <f>VLOOKUP($A75,'5 A calc'!$A$2:$AR$203,26,FALSE)*I75</f>
        <v>4.2946823030079573E-2</v>
      </c>
      <c r="H75" s="53">
        <f>VLOOKUP($A75,'5 A calc'!$A$2:$AR$203,40,FALSE)*J75</f>
        <v>6.3334902826830838E-2</v>
      </c>
      <c r="I75" s="56">
        <f>VLOOKUP($A75,'5 A calc'!$A$2:$AR$203,28,FALSE)</f>
        <v>2.3884074788408243</v>
      </c>
      <c r="J75" s="49">
        <f>VLOOKUP($A75,'5 A calc'!$A$2:$AR$203,42,FALSE)</f>
        <v>2.3105295660525003</v>
      </c>
      <c r="L75" s="28">
        <f t="shared" si="20"/>
        <v>10.212148341969165</v>
      </c>
      <c r="M75" s="28">
        <f t="shared" si="21"/>
        <v>2.1772935767091561</v>
      </c>
    </row>
    <row r="76" spans="1:13" ht="13.7" customHeight="1" x14ac:dyDescent="0.2">
      <c r="A76" s="97">
        <v>163</v>
      </c>
      <c r="C76" s="53">
        <f t="shared" si="19"/>
        <v>0</v>
      </c>
      <c r="D76" s="51">
        <f>VLOOKUP($A76,'5 A calc'!$A$2:$AR$203,4,FALSE)</f>
        <v>20</v>
      </c>
      <c r="E76" s="33">
        <f>VLOOKUP($A76,'5 A calc'!$A$2:$AR$203,13,FALSE)</f>
        <v>-0.15686935402990917</v>
      </c>
      <c r="F76" s="53">
        <f>VLOOKUP($A76,'5 A calc'!$A$2:$AR$203,14,FALSE)</f>
        <v>0.24172719891726796</v>
      </c>
      <c r="G76" s="33">
        <f>VLOOKUP($A76,'5 A calc'!$A$2:$AR$203,26,FALSE)*I76</f>
        <v>4.0218839883212405E-2</v>
      </c>
      <c r="H76" s="53">
        <f>VLOOKUP($A76,'5 A calc'!$A$2:$AR$203,40,FALSE)*J76</f>
        <v>5.6341104636333628E-2</v>
      </c>
      <c r="I76" s="56">
        <f>VLOOKUP($A76,'5 A calc'!$A$2:$AR$203,28,FALSE)</f>
        <v>2.4553535082283644</v>
      </c>
      <c r="J76" s="49">
        <f>VLOOKUP($A76,'5 A calc'!$A$2:$AR$203,42,FALSE)</f>
        <v>2.3886561538343387</v>
      </c>
      <c r="L76" s="28">
        <f t="shared" si="20"/>
        <v>8.3099689748872656</v>
      </c>
      <c r="M76" s="28">
        <f t="shared" si="21"/>
        <v>1.9368645052601228</v>
      </c>
    </row>
    <row r="77" spans="1:13" ht="13.7" customHeight="1" x14ac:dyDescent="0.2">
      <c r="A77" s="97">
        <v>164</v>
      </c>
      <c r="C77" s="53">
        <f t="shared" si="19"/>
        <v>0</v>
      </c>
      <c r="D77" s="51">
        <f>VLOOKUP($A77,'5 A calc'!$A$2:$AR$203,4,FALSE)</f>
        <v>40</v>
      </c>
      <c r="E77" s="33">
        <f>VLOOKUP($A77,'5 A calc'!$A$2:$AR$203,13,FALSE)</f>
        <v>-0.13788745949748793</v>
      </c>
      <c r="F77" s="53">
        <f>VLOOKUP($A77,'5 A calc'!$A$2:$AR$203,14,FALSE)</f>
        <v>0.20532437774244733</v>
      </c>
      <c r="G77" s="33">
        <f>VLOOKUP($A77,'5 A calc'!$A$2:$AR$203,26,FALSE)*I77</f>
        <v>3.7564198439203625E-2</v>
      </c>
      <c r="H77" s="53">
        <f>VLOOKUP($A77,'5 A calc'!$A$2:$AR$203,40,FALSE)*J77</f>
        <v>5.108743058179533E-2</v>
      </c>
      <c r="I77" s="56">
        <f>VLOOKUP($A77,'5 A calc'!$A$2:$AR$203,28,FALSE)</f>
        <v>2.5089993953735985</v>
      </c>
      <c r="J77" s="49">
        <f>VLOOKUP($A77,'5 A calc'!$A$2:$AR$203,42,FALSE)</f>
        <v>2.4493764969932159</v>
      </c>
      <c r="L77" s="28">
        <f t="shared" si="20"/>
        <v>7.0585321654752544</v>
      </c>
      <c r="M77" s="28">
        <f t="shared" si="21"/>
        <v>1.7562564951026667</v>
      </c>
    </row>
    <row r="78" spans="1:13" ht="13.7" customHeight="1" x14ac:dyDescent="0.2">
      <c r="A78" s="97">
        <v>165</v>
      </c>
      <c r="C78" s="53">
        <f t="shared" si="19"/>
        <v>0</v>
      </c>
      <c r="D78" s="51">
        <f>VLOOKUP($A78,'5 A calc'!$A$2:$AR$203,4,FALSE)</f>
        <v>60</v>
      </c>
      <c r="E78" s="33">
        <f>VLOOKUP($A78,'5 A calc'!$A$2:$AR$203,13,FALSE)</f>
        <v>-0.12989576659663293</v>
      </c>
      <c r="F78" s="53">
        <f>VLOOKUP($A78,'5 A calc'!$A$2:$AR$203,14,FALSE)</f>
        <v>0.19076258148681702</v>
      </c>
      <c r="G78" s="33">
        <f>VLOOKUP($A78,'5 A calc'!$A$2:$AR$203,26,FALSE)*I78</f>
        <v>3.6542095291900507E-2</v>
      </c>
      <c r="H78" s="53">
        <f>VLOOKUP($A78,'5 A calc'!$A$2:$AR$203,40,FALSE)*J78</f>
        <v>4.6684833744760179E-2</v>
      </c>
      <c r="I78" s="56">
        <f>VLOOKUP($A78,'5 A calc'!$A$2:$AR$203,28,FALSE)</f>
        <v>2.5031176560767143</v>
      </c>
      <c r="J78" s="49">
        <f>VLOOKUP($A78,'5 A calc'!$A$2:$AR$203,42,FALSE)</f>
        <v>2.4288795121607496</v>
      </c>
      <c r="L78" s="28">
        <f t="shared" si="20"/>
        <v>6.5579344849290404</v>
      </c>
      <c r="M78" s="28">
        <f t="shared" si="21"/>
        <v>1.6049063645068107</v>
      </c>
    </row>
    <row r="79" spans="1:13" ht="13.7" customHeight="1" x14ac:dyDescent="0.2">
      <c r="A79" s="97">
        <v>166</v>
      </c>
      <c r="C79" s="53">
        <f t="shared" si="19"/>
        <v>0</v>
      </c>
      <c r="D79" s="51">
        <f>VLOOKUP($A79,'5 A calc'!$A$2:$AR$203,4,FALSE)</f>
        <v>100</v>
      </c>
      <c r="E79" s="33">
        <f>VLOOKUP($A79,'5 A calc'!$A$2:$AR$203,13,FALSE)</f>
        <v>-0.12090653758511721</v>
      </c>
      <c r="F79" s="53">
        <f>VLOOKUP($A79,'5 A calc'!$A$2:$AR$203,14,FALSE)</f>
        <v>0.17474662383870593</v>
      </c>
      <c r="G79" s="33">
        <f>VLOOKUP($A79,'5 A calc'!$A$2:$AR$203,26,FALSE)*I79</f>
        <v>3.5906677892109266E-2</v>
      </c>
      <c r="H79" s="53">
        <f>VLOOKUP($A79,'5 A calc'!$A$2:$AR$203,40,FALSE)*J79</f>
        <v>3.8383260691008544E-2</v>
      </c>
      <c r="I79" s="56">
        <f>VLOOKUP($A79,'5 A calc'!$A$2:$AR$203,28,FALSE)</f>
        <v>2.5029734685947393</v>
      </c>
      <c r="J79" s="49">
        <f>VLOOKUP($A79,'5 A calc'!$A$2:$AR$203,42,FALSE)</f>
        <v>2.4289003559340276</v>
      </c>
      <c r="L79" s="28">
        <f t="shared" si="20"/>
        <v>6.007346418070818</v>
      </c>
      <c r="M79" s="28">
        <f t="shared" si="21"/>
        <v>1.3195193049271112</v>
      </c>
    </row>
    <row r="80" spans="1:13" ht="13.7" customHeight="1" x14ac:dyDescent="0.2">
      <c r="A80" s="97">
        <v>167</v>
      </c>
      <c r="C80" s="53">
        <f t="shared" si="19"/>
        <v>0</v>
      </c>
      <c r="D80" s="51">
        <f>VLOOKUP($A80,'5 A calc'!$A$2:$AR$203,4,FALSE)</f>
        <v>120</v>
      </c>
      <c r="E80" s="33">
        <f>VLOOKUP($A80,'5 A calc'!$A$2:$AR$203,13,FALSE)</f>
        <v>-0.11940915502764127</v>
      </c>
      <c r="F80" s="53">
        <f>VLOOKUP($A80,'5 A calc'!$A$2:$AR$203,14,FALSE)</f>
        <v>0.17183453218809797</v>
      </c>
      <c r="G80" s="33">
        <f>VLOOKUP($A80,'5 A calc'!$A$2:$AR$203,26,FALSE)*I80</f>
        <v>3.5364424024174002E-2</v>
      </c>
      <c r="H80" s="53">
        <f>VLOOKUP($A80,'5 A calc'!$A$2:$AR$203,40,FALSE)*J80</f>
        <v>3.4317424053615674E-2</v>
      </c>
      <c r="I80" s="56">
        <f>VLOOKUP($A80,'5 A calc'!$A$2:$AR$203,28,FALSE)</f>
        <v>2.5235603848920243</v>
      </c>
      <c r="J80" s="49">
        <f>VLOOKUP($A80,'5 A calc'!$A$2:$AR$203,42,FALSE)</f>
        <v>2.443875967382577</v>
      </c>
      <c r="L80" s="28">
        <f t="shared" si="20"/>
        <v>5.9072360813897449</v>
      </c>
      <c r="M80" s="28">
        <f t="shared" si="21"/>
        <v>1.1797461372197469</v>
      </c>
    </row>
    <row r="81" spans="1:18" ht="13.7" customHeight="1" x14ac:dyDescent="0.2">
      <c r="C81" s="39"/>
      <c r="D81" s="52"/>
      <c r="E81" s="38"/>
      <c r="F81" s="52"/>
      <c r="G81" s="38"/>
      <c r="H81" s="281"/>
      <c r="I81" s="52"/>
      <c r="J81" s="40"/>
    </row>
    <row r="83" spans="1:18" ht="21.4" customHeight="1" x14ac:dyDescent="0.2">
      <c r="A83" s="97">
        <v>169</v>
      </c>
      <c r="C83" s="60" t="str">
        <f>"Table "&amp;L83&amp;". Ratio "&amp;LEFT(M83,FIND("/",M83)-1)&amp;":5."&amp;"  Secondary: "&amp;K83</f>
        <v>Table . Ratio 200:5.  Secondary: S1 - S2</v>
      </c>
      <c r="D83" s="132"/>
      <c r="E83" s="132"/>
      <c r="F83" s="132"/>
      <c r="G83" s="132"/>
      <c r="H83" s="76"/>
      <c r="I83" s="76"/>
      <c r="J83" s="77"/>
      <c r="K83" s="95" t="str">
        <f>VLOOKUP($A83+1,'5 A data'!$A$2:$AP$259,2,FALSE)</f>
        <v>S1 - S2</v>
      </c>
      <c r="L83" s="97"/>
      <c r="M83" s="525" t="str">
        <f>VLOOKUP($A83,'5 A calc'!$A$2:$AR$172,4,FALSE)</f>
        <v>200/5 Range, 1 turns @ 2VA burden, vs 120 AT, 200 range, 2 Stage CT</v>
      </c>
      <c r="N83" s="526"/>
      <c r="O83" s="526"/>
      <c r="P83" s="526"/>
      <c r="Q83" s="526"/>
      <c r="R83" s="526"/>
    </row>
    <row r="84" spans="1:18" ht="21.4" customHeight="1" x14ac:dyDescent="0.2">
      <c r="A84" s="68"/>
      <c r="C84" s="128"/>
      <c r="D84" s="129"/>
      <c r="E84" s="647" t="s">
        <v>19</v>
      </c>
      <c r="F84" s="648"/>
      <c r="G84" s="647" t="s">
        <v>20</v>
      </c>
      <c r="H84" s="648"/>
      <c r="I84" s="649" t="s">
        <v>8</v>
      </c>
      <c r="J84" s="650"/>
      <c r="L84" s="527" t="s">
        <v>451</v>
      </c>
      <c r="M84" s="522"/>
      <c r="N84" s="523"/>
      <c r="O84" s="523"/>
    </row>
    <row r="85" spans="1:18" ht="63" customHeight="1" x14ac:dyDescent="0.2">
      <c r="A85" s="68"/>
      <c r="C85" s="12" t="s">
        <v>169</v>
      </c>
      <c r="D85" s="54" t="s">
        <v>241</v>
      </c>
      <c r="E85" s="54" t="s">
        <v>294</v>
      </c>
      <c r="F85" s="13" t="s">
        <v>239</v>
      </c>
      <c r="G85" s="54" t="s">
        <v>294</v>
      </c>
      <c r="H85" s="13" t="s">
        <v>239</v>
      </c>
      <c r="I85" s="54" t="s">
        <v>158</v>
      </c>
      <c r="J85" s="13" t="s">
        <v>159</v>
      </c>
      <c r="L85" s="498" t="s">
        <v>59</v>
      </c>
      <c r="M85" s="498" t="s">
        <v>478</v>
      </c>
    </row>
    <row r="86" spans="1:18" x14ac:dyDescent="0.2">
      <c r="A86" s="97">
        <v>171</v>
      </c>
      <c r="C86" s="533">
        <v>0.05</v>
      </c>
      <c r="D86" s="130">
        <f>VLOOKUP($A86,'5 A calc'!$A$2:$AR$203,4,FALSE)</f>
        <v>5</v>
      </c>
      <c r="E86" s="33">
        <f>VLOOKUP($A86,'5 A calc'!$A$2:$AR$203,13,FALSE)</f>
        <v>-0.41969737565589338</v>
      </c>
      <c r="F86" s="53">
        <f>VLOOKUP($A86,'5 A calc'!$A$2:$AR$203,14,FALSE)</f>
        <v>0.68440015020257783</v>
      </c>
      <c r="G86" s="33">
        <f>VLOOKUP($A86,'5 A calc'!$A$2:$AR$203,26,FALSE)*I86</f>
        <v>3.5138342630728958E-2</v>
      </c>
      <c r="H86" s="53">
        <f>VLOOKUP($A86,'5 A calc'!$A$2:$AR$203,40,FALSE)*J86</f>
        <v>7.3763024359606591E-2</v>
      </c>
      <c r="I86" s="133">
        <f>VLOOKUP($A86,'5 A calc'!$A$2:$AR$203,28,FALSE)</f>
        <v>2.1732216852400801</v>
      </c>
      <c r="J86" s="134">
        <f>VLOOKUP($A86,'5 A calc'!$A$2:$AR$203,42,FALSE)</f>
        <v>2.2140004986692539</v>
      </c>
      <c r="L86" s="4">
        <f t="shared" ref="L86:L92" si="22">DEGREES(F86/100)*60</f>
        <v>23.527944062836397</v>
      </c>
      <c r="M86" s="4">
        <f>DEGREES(H86/100)*60</f>
        <v>2.5357859879556841</v>
      </c>
    </row>
    <row r="87" spans="1:18" x14ac:dyDescent="0.2">
      <c r="A87" s="97">
        <v>172</v>
      </c>
      <c r="C87" s="533">
        <v>0.05</v>
      </c>
      <c r="D87" s="130">
        <f>VLOOKUP($A87,'5 A calc'!$A$2:$AR$203,4,FALSE)</f>
        <v>10</v>
      </c>
      <c r="E87" s="33">
        <f>VLOOKUP($A87,'5 A calc'!$A$2:$AR$203,13,FALSE)</f>
        <v>-0.35973746530652123</v>
      </c>
      <c r="F87" s="53">
        <f>VLOOKUP($A87,'5 A calc'!$A$2:$AR$203,14,FALSE)</f>
        <v>0.54751896661408628</v>
      </c>
      <c r="G87" s="33">
        <f>VLOOKUP($A87,'5 A calc'!$A$2:$AR$203,26,FALSE)*I87</f>
        <v>2.6771800007875372E-2</v>
      </c>
      <c r="H87" s="53">
        <f>VLOOKUP($A87,'5 A calc'!$A$2:$AR$203,40,FALSE)*J87</f>
        <v>4.4743038593651134E-2</v>
      </c>
      <c r="I87" s="133">
        <f>VLOOKUP($A87,'5 A calc'!$A$2:$AR$203,28,FALSE)</f>
        <v>2.1849334630479444</v>
      </c>
      <c r="J87" s="134">
        <f>VLOOKUP($A87,'5 A calc'!$A$2:$AR$203,42,FALSE)</f>
        <v>2.1805760545570347</v>
      </c>
      <c r="L87" s="4">
        <f t="shared" si="22"/>
        <v>18.822315594210824</v>
      </c>
      <c r="M87" s="4">
        <f t="shared" ref="M87:M92" si="23">DEGREES(H87/100)*60</f>
        <v>1.5381523644043011</v>
      </c>
    </row>
    <row r="88" spans="1:18" x14ac:dyDescent="0.2">
      <c r="A88" s="97">
        <v>173</v>
      </c>
      <c r="C88" s="533">
        <v>0.05</v>
      </c>
      <c r="D88" s="130">
        <f>VLOOKUP($A88,'5 A calc'!$A$2:$AR$203,4,FALSE)</f>
        <v>20</v>
      </c>
      <c r="E88" s="33">
        <f>VLOOKUP($A88,'5 A calc'!$A$2:$AR$203,13,FALSE)</f>
        <v>-0.31976619117024219</v>
      </c>
      <c r="F88" s="53">
        <f>VLOOKUP($A88,'5 A calc'!$A$2:$AR$203,14,FALSE)</f>
        <v>0.47180056419288391</v>
      </c>
      <c r="G88" s="33">
        <f>VLOOKUP($A88,'5 A calc'!$A$2:$AR$203,26,FALSE)*I88</f>
        <v>2.2681828103570948E-2</v>
      </c>
      <c r="H88" s="53">
        <f>VLOOKUP($A88,'5 A calc'!$A$2:$AR$203,40,FALSE)*J88</f>
        <v>3.5988112716330269E-2</v>
      </c>
      <c r="I88" s="133">
        <f>VLOOKUP($A88,'5 A calc'!$A$2:$AR$203,28,FALSE)</f>
        <v>2.224680277665438</v>
      </c>
      <c r="J88" s="134">
        <f>VLOOKUP($A88,'5 A calc'!$A$2:$AR$203,42,FALSE)</f>
        <v>2.18317119904358</v>
      </c>
      <c r="L88" s="4">
        <f t="shared" si="22"/>
        <v>16.219308660085993</v>
      </c>
      <c r="M88" s="4">
        <f t="shared" si="23"/>
        <v>1.2371801827720881</v>
      </c>
    </row>
    <row r="89" spans="1:18" x14ac:dyDescent="0.2">
      <c r="A89" s="97">
        <v>174</v>
      </c>
      <c r="C89" s="533">
        <v>0.05</v>
      </c>
      <c r="D89" s="130">
        <f>VLOOKUP($A89,'5 A calc'!$A$2:$AR$203,4,FALSE)</f>
        <v>40</v>
      </c>
      <c r="E89" s="33">
        <f>VLOOKUP($A89,'5 A calc'!$A$2:$AR$203,13,FALSE)</f>
        <v>-0.29079062564761637</v>
      </c>
      <c r="F89" s="53">
        <f>VLOOKUP($A89,'5 A calc'!$A$2:$AR$203,14,FALSE)</f>
        <v>0.41646765600171526</v>
      </c>
      <c r="G89" s="33">
        <f>VLOOKUP($A89,'5 A calc'!$A$2:$AR$203,26,FALSE)*I89</f>
        <v>1.9671729004182303E-2</v>
      </c>
      <c r="H89" s="53">
        <f>VLOOKUP($A89,'5 A calc'!$A$2:$AR$203,40,FALSE)*J89</f>
        <v>2.8233162360136167E-2</v>
      </c>
      <c r="I89" s="133">
        <f>VLOOKUP($A89,'5 A calc'!$A$2:$AR$203,28,FALSE)</f>
        <v>2.3325364480420787</v>
      </c>
      <c r="J89" s="134">
        <f>VLOOKUP($A89,'5 A calc'!$A$2:$AR$203,42,FALSE)</f>
        <v>2.2206944136376001</v>
      </c>
      <c r="L89" s="4">
        <f t="shared" si="22"/>
        <v>14.317103395562695</v>
      </c>
      <c r="M89" s="4">
        <f t="shared" si="23"/>
        <v>0.97058462732605011</v>
      </c>
    </row>
    <row r="90" spans="1:18" ht="13.9" customHeight="1" x14ac:dyDescent="0.2">
      <c r="A90" s="97">
        <v>175</v>
      </c>
      <c r="C90" s="533">
        <v>0.05</v>
      </c>
      <c r="D90" s="135">
        <f>VLOOKUP($A90,'5 A calc'!$A$2:$AR$203,4,FALSE)</f>
        <v>60</v>
      </c>
      <c r="E90" s="33">
        <f>VLOOKUP($A90,'5 A calc'!$A$2:$AR$203,13,FALSE)</f>
        <v>-0.27580336305361824</v>
      </c>
      <c r="F90" s="53">
        <f>VLOOKUP($A90,'5 A calc'!$A$2:$AR$203,14,FALSE)</f>
        <v>0.39025657542833214</v>
      </c>
      <c r="G90" s="33">
        <f>VLOOKUP($A90,'5 A calc'!$A$2:$AR$203,26,FALSE)*I90</f>
        <v>1.8654366256736932E-2</v>
      </c>
      <c r="H90" s="53">
        <f>VLOOKUP($A90,'5 A calc'!$A$2:$AR$203,40,FALSE)*J90</f>
        <v>2.9021650106999506E-2</v>
      </c>
      <c r="I90" s="133">
        <f>VLOOKUP($A90,'5 A calc'!$A$2:$AR$203,28,FALSE)</f>
        <v>2.3592802676548534</v>
      </c>
      <c r="J90" s="134">
        <f>VLOOKUP($A90,'5 A calc'!$A$2:$AR$203,42,FALSE)</f>
        <v>2.1683957879400748</v>
      </c>
      <c r="L90" s="4">
        <f t="shared" si="22"/>
        <v>13.41603281956338</v>
      </c>
      <c r="M90" s="4">
        <f t="shared" si="23"/>
        <v>0.99769083938187941</v>
      </c>
    </row>
    <row r="91" spans="1:18" ht="13.9" customHeight="1" x14ac:dyDescent="0.2">
      <c r="A91" s="97">
        <v>176</v>
      </c>
      <c r="C91" s="533">
        <v>0.05</v>
      </c>
      <c r="D91" s="135">
        <f>VLOOKUP($A91,'5 A calc'!$A$2:$AR$203,4,FALSE)</f>
        <v>100</v>
      </c>
      <c r="E91" s="33">
        <f>VLOOKUP($A91,'5 A calc'!$A$2:$AR$203,13,FALSE)</f>
        <v>-0.26381603274504128</v>
      </c>
      <c r="F91" s="53">
        <f>VLOOKUP($A91,'5 A calc'!$A$2:$AR$203,14,FALSE)</f>
        <v>0.35239820968443469</v>
      </c>
      <c r="G91" s="33">
        <f>VLOOKUP($A91,'5 A calc'!$A$2:$AR$203,26,FALSE)*I91</f>
        <v>1.8180537239875016E-2</v>
      </c>
      <c r="H91" s="53">
        <f>VLOOKUP($A91,'5 A calc'!$A$2:$AR$203,40,FALSE)*J91</f>
        <v>2.3606113285164872E-2</v>
      </c>
      <c r="I91" s="133">
        <f>VLOOKUP($A91,'5 A calc'!$A$2:$AR$203,28,FALSE)</f>
        <v>2.390386578194069</v>
      </c>
      <c r="J91" s="134">
        <f>VLOOKUP($A91,'5 A calc'!$A$2:$AR$203,42,FALSE)</f>
        <v>2.219821676465338</v>
      </c>
      <c r="L91" s="4">
        <f t="shared" si="22"/>
        <v>12.114558073730592</v>
      </c>
      <c r="M91" s="4">
        <f t="shared" si="23"/>
        <v>0.81151839716858998</v>
      </c>
    </row>
    <row r="92" spans="1:18" ht="13.9" customHeight="1" x14ac:dyDescent="0.2">
      <c r="A92" s="97">
        <v>177</v>
      </c>
      <c r="C92" s="533">
        <v>0.05</v>
      </c>
      <c r="D92" s="135">
        <f>VLOOKUP($A92,'5 A calc'!$A$2:$AR$203,4,FALSE)</f>
        <v>120</v>
      </c>
      <c r="E92" s="33">
        <f>VLOOKUP($A92,'5 A calc'!$A$2:$AR$203,13,FALSE)</f>
        <v>-0.26081959953903461</v>
      </c>
      <c r="F92" s="53">
        <f>VLOOKUP($A92,'5 A calc'!$A$2:$AR$203,14,FALSE)</f>
        <v>0.33492451263663592</v>
      </c>
      <c r="G92" s="33">
        <f>VLOOKUP($A92,'5 A calc'!$A$2:$AR$203,26,FALSE)*I92</f>
        <v>1.7942395452820163E-2</v>
      </c>
      <c r="H92" s="53">
        <f>VLOOKUP($A92,'5 A calc'!$A$2:$AR$203,40,FALSE)*J92</f>
        <v>2.0971679995363948E-2</v>
      </c>
      <c r="I92" s="133">
        <f>VLOOKUP($A92,'5 A calc'!$A$2:$AR$203,28,FALSE)</f>
        <v>2.455456733547436</v>
      </c>
      <c r="J92" s="134">
        <f>VLOOKUP($A92,'5 A calc'!$A$2:$AR$203,42,FALSE)</f>
        <v>2.3162792434748365</v>
      </c>
      <c r="L92" s="4">
        <f t="shared" si="22"/>
        <v>11.513856617733147</v>
      </c>
      <c r="M92" s="4">
        <f t="shared" si="23"/>
        <v>0.72095325181997527</v>
      </c>
    </row>
    <row r="93" spans="1:18" ht="13.9" customHeight="1" x14ac:dyDescent="0.2">
      <c r="C93" s="142"/>
      <c r="D93" s="137"/>
      <c r="E93" s="114"/>
      <c r="F93" s="115"/>
      <c r="G93" s="114"/>
      <c r="H93" s="115"/>
      <c r="I93" s="138"/>
      <c r="J93" s="139"/>
      <c r="L93" s="4"/>
      <c r="M93" s="4"/>
    </row>
    <row r="94" spans="1:18" ht="13.9" customHeight="1" x14ac:dyDescent="0.2">
      <c r="A94" s="97">
        <v>179</v>
      </c>
      <c r="C94" s="131">
        <f t="shared" ref="C94:C100" si="24">low__burden</f>
        <v>0</v>
      </c>
      <c r="D94" s="135">
        <f>VLOOKUP($A94,'5 A calc'!$A$2:$AR$203,4,FALSE)</f>
        <v>5</v>
      </c>
      <c r="E94" s="33">
        <f>VLOOKUP($A94,'5 A calc'!$A$2:$AR$203,13,FALSE)</f>
        <v>-0.23181636104004924</v>
      </c>
      <c r="F94" s="53">
        <f>VLOOKUP($A94,'5 A calc'!$A$2:$AR$203,14,FALSE)</f>
        <v>0.39608036333819824</v>
      </c>
      <c r="G94" s="33">
        <f>VLOOKUP($A94,'5 A calc'!$A$2:$AR$203,26,FALSE)*I94</f>
        <v>3.0720586570420993E-2</v>
      </c>
      <c r="H94" s="53">
        <f>VLOOKUP($A94,'5 A calc'!$A$2:$AR$203,40,FALSE)*J94</f>
        <v>5.8589723266710768E-2</v>
      </c>
      <c r="I94" s="133">
        <f>VLOOKUP($A94,'5 A calc'!$A$2:$AR$203,28,FALSE)</f>
        <v>2.1517670503648931</v>
      </c>
      <c r="J94" s="134">
        <f>VLOOKUP($A94,'5 A calc'!$A$2:$AR$203,42,FALSE)</f>
        <v>2.1418716707076353</v>
      </c>
      <c r="L94" s="28">
        <f t="shared" ref="L94:L100" si="25">DEGREES(F94/100)*60</f>
        <v>13.616239900372163</v>
      </c>
      <c r="M94" s="28">
        <f t="shared" ref="M94:M100" si="26">DEGREES(H94/100)*60</f>
        <v>2.0141663196131816</v>
      </c>
    </row>
    <row r="95" spans="1:18" ht="13.9" customHeight="1" x14ac:dyDescent="0.2">
      <c r="A95" s="97">
        <v>180</v>
      </c>
      <c r="C95" s="131">
        <f t="shared" si="24"/>
        <v>0</v>
      </c>
      <c r="D95" s="135">
        <f>VLOOKUP($A95,'5 A calc'!$A$2:$AR$203,4,FALSE)</f>
        <v>10</v>
      </c>
      <c r="E95" s="33">
        <f>VLOOKUP($A95,'5 A calc'!$A$2:$AR$203,13,FALSE)</f>
        <v>-0.18484822297794287</v>
      </c>
      <c r="F95" s="53">
        <f>VLOOKUP($A95,'5 A calc'!$A$2:$AR$203,14,FALSE)</f>
        <v>0.29705935378240289</v>
      </c>
      <c r="G95" s="33">
        <f>VLOOKUP($A95,'5 A calc'!$A$2:$AR$203,26,FALSE)*I95</f>
        <v>2.3937850539182168E-2</v>
      </c>
      <c r="H95" s="53">
        <f>VLOOKUP($A95,'5 A calc'!$A$2:$AR$203,40,FALSE)*J95</f>
        <v>3.8205473909661822E-2</v>
      </c>
      <c r="I95" s="133">
        <f>VLOOKUP($A95,'5 A calc'!$A$2:$AR$203,28,FALSE)</f>
        <v>2.2228665188081842</v>
      </c>
      <c r="J95" s="134">
        <f>VLOOKUP($A95,'5 A calc'!$A$2:$AR$203,42,FALSE)</f>
        <v>2.167162514181181</v>
      </c>
      <c r="L95" s="28">
        <f t="shared" si="25"/>
        <v>10.212148341969165</v>
      </c>
      <c r="M95" s="28">
        <f t="shared" si="26"/>
        <v>1.3134074455924818</v>
      </c>
    </row>
    <row r="96" spans="1:18" x14ac:dyDescent="0.2">
      <c r="A96" s="97">
        <v>181</v>
      </c>
      <c r="C96" s="131">
        <f t="shared" si="24"/>
        <v>0</v>
      </c>
      <c r="D96" s="135">
        <f>VLOOKUP($A96,'5 A calc'!$A$2:$AR$203,4,FALSE)</f>
        <v>20</v>
      </c>
      <c r="E96" s="33">
        <f>VLOOKUP($A96,'5 A calc'!$A$2:$AR$203,13,FALSE)</f>
        <v>-0.15686935402990917</v>
      </c>
      <c r="F96" s="53">
        <f>VLOOKUP($A96,'5 A calc'!$A$2:$AR$203,14,FALSE)</f>
        <v>0.24172719891726796</v>
      </c>
      <c r="G96" s="33">
        <f>VLOOKUP($A96,'5 A calc'!$A$2:$AR$203,26,FALSE)*I96</f>
        <v>2.1139890928631416E-2</v>
      </c>
      <c r="H96" s="53">
        <f>VLOOKUP($A96,'5 A calc'!$A$2:$AR$203,40,FALSE)*J96</f>
        <v>3.1401711136020159E-2</v>
      </c>
      <c r="I96" s="133">
        <f>VLOOKUP($A96,'5 A calc'!$A$2:$AR$203,28,FALSE)</f>
        <v>2.3133581687070883</v>
      </c>
      <c r="J96" s="134">
        <f>VLOOKUP($A96,'5 A calc'!$A$2:$AR$203,42,FALSE)</f>
        <v>2.2225245040842543</v>
      </c>
      <c r="L96" s="28">
        <f t="shared" si="25"/>
        <v>8.3099689748872656</v>
      </c>
      <c r="M96" s="28">
        <f t="shared" si="26"/>
        <v>1.0795113105497478</v>
      </c>
    </row>
    <row r="97" spans="1:18" x14ac:dyDescent="0.2">
      <c r="A97" s="97">
        <v>182</v>
      </c>
      <c r="C97" s="131">
        <f t="shared" si="24"/>
        <v>0</v>
      </c>
      <c r="D97" s="135">
        <f>VLOOKUP($A97,'5 A calc'!$A$2:$AR$203,4,FALSE)</f>
        <v>40</v>
      </c>
      <c r="E97" s="33">
        <f>VLOOKUP($A97,'5 A calc'!$A$2:$AR$203,13,FALSE)</f>
        <v>-0.13788745949748793</v>
      </c>
      <c r="F97" s="53">
        <f>VLOOKUP($A97,'5 A calc'!$A$2:$AR$203,14,FALSE)</f>
        <v>0.20532437774244733</v>
      </c>
      <c r="G97" s="33">
        <f>VLOOKUP($A97,'5 A calc'!$A$2:$AR$203,26,FALSE)*I97</f>
        <v>1.9411562711508974E-2</v>
      </c>
      <c r="H97" s="53">
        <f>VLOOKUP($A97,'5 A calc'!$A$2:$AR$203,40,FALSE)*J97</f>
        <v>2.722025513818099E-2</v>
      </c>
      <c r="I97" s="133">
        <f>VLOOKUP($A97,'5 A calc'!$A$2:$AR$203,28,FALSE)</f>
        <v>2.4333591851212653</v>
      </c>
      <c r="J97" s="134">
        <f>VLOOKUP($A97,'5 A calc'!$A$2:$AR$203,42,FALSE)</f>
        <v>2.2969461827716873</v>
      </c>
      <c r="L97" s="28">
        <f t="shared" si="25"/>
        <v>7.0585321654752544</v>
      </c>
      <c r="M97" s="28">
        <f t="shared" si="26"/>
        <v>0.93576344201223838</v>
      </c>
    </row>
    <row r="98" spans="1:18" x14ac:dyDescent="0.2">
      <c r="A98" s="97">
        <v>183</v>
      </c>
      <c r="C98" s="131">
        <f t="shared" si="24"/>
        <v>0</v>
      </c>
      <c r="D98" s="135">
        <f>VLOOKUP($A98,'5 A calc'!$A$2:$AR$203,4,FALSE)</f>
        <v>60</v>
      </c>
      <c r="E98" s="33">
        <f>VLOOKUP($A98,'5 A calc'!$A$2:$AR$203,13,FALSE)</f>
        <v>-0.12989576659663293</v>
      </c>
      <c r="F98" s="53">
        <f>VLOOKUP($A98,'5 A calc'!$A$2:$AR$203,14,FALSE)</f>
        <v>0.19076258148681702</v>
      </c>
      <c r="G98" s="33">
        <f>VLOOKUP($A98,'5 A calc'!$A$2:$AR$203,26,FALSE)*I98</f>
        <v>1.8543529936429225E-2</v>
      </c>
      <c r="H98" s="53">
        <f>VLOOKUP($A98,'5 A calc'!$A$2:$AR$203,40,FALSE)*J98</f>
        <v>2.5919079878866526E-2</v>
      </c>
      <c r="I98" s="133">
        <f>VLOOKUP($A98,'5 A calc'!$A$2:$AR$203,28,FALSE)</f>
        <v>2.4131380943081009</v>
      </c>
      <c r="J98" s="134">
        <f>VLOOKUP($A98,'5 A calc'!$A$2:$AR$203,42,FALSE)</f>
        <v>2.2716395875786599</v>
      </c>
      <c r="L98" s="28">
        <f t="shared" si="25"/>
        <v>6.5579344849290404</v>
      </c>
      <c r="M98" s="28">
        <f t="shared" si="26"/>
        <v>0.89103233155290296</v>
      </c>
    </row>
    <row r="99" spans="1:18" x14ac:dyDescent="0.2">
      <c r="A99" s="97">
        <v>184</v>
      </c>
      <c r="C99" s="131">
        <f t="shared" si="24"/>
        <v>0</v>
      </c>
      <c r="D99" s="135">
        <f>VLOOKUP($A99,'5 A calc'!$A$2:$AR$203,4,FALSE)</f>
        <v>100</v>
      </c>
      <c r="E99" s="33">
        <f>VLOOKUP($A99,'5 A calc'!$A$2:$AR$203,13,FALSE)</f>
        <v>-0.12090653758511721</v>
      </c>
      <c r="F99" s="53">
        <f>VLOOKUP($A99,'5 A calc'!$A$2:$AR$203,14,FALSE)</f>
        <v>0.17474662383870593</v>
      </c>
      <c r="G99" s="33">
        <f>VLOOKUP($A99,'5 A calc'!$A$2:$AR$203,26,FALSE)*I99</f>
        <v>1.8157619380952093E-2</v>
      </c>
      <c r="H99" s="53">
        <f>VLOOKUP($A99,'5 A calc'!$A$2:$AR$203,40,FALSE)*J99</f>
        <v>2.2922157666056042E-2</v>
      </c>
      <c r="I99" s="133">
        <f>VLOOKUP($A99,'5 A calc'!$A$2:$AR$203,28,FALSE)</f>
        <v>2.4114642552882022</v>
      </c>
      <c r="J99" s="134">
        <f>VLOOKUP($A99,'5 A calc'!$A$2:$AR$203,42,FALSE)</f>
        <v>2.2963668892551894</v>
      </c>
      <c r="L99" s="28">
        <f t="shared" si="25"/>
        <v>6.007346418070818</v>
      </c>
      <c r="M99" s="28">
        <f t="shared" si="26"/>
        <v>0.788005734959074</v>
      </c>
    </row>
    <row r="100" spans="1:18" x14ac:dyDescent="0.2">
      <c r="A100" s="97">
        <v>185</v>
      </c>
      <c r="C100" s="131">
        <f t="shared" si="24"/>
        <v>0</v>
      </c>
      <c r="D100" s="135">
        <f>VLOOKUP($A100,'5 A calc'!$A$2:$AR$203,4,FALSE)</f>
        <v>120</v>
      </c>
      <c r="E100" s="33">
        <f>VLOOKUP($A100,'5 A calc'!$A$2:$AR$203,13,FALSE)</f>
        <v>-0.11940915502764127</v>
      </c>
      <c r="F100" s="53">
        <f>VLOOKUP($A100,'5 A calc'!$A$2:$AR$203,14,FALSE)</f>
        <v>0.17183453218809797</v>
      </c>
      <c r="G100" s="33">
        <f>VLOOKUP($A100,'5 A calc'!$A$2:$AR$203,26,FALSE)*I100</f>
        <v>1.7942918896663398E-2</v>
      </c>
      <c r="H100" s="53">
        <f>VLOOKUP($A100,'5 A calc'!$A$2:$AR$203,40,FALSE)*J100</f>
        <v>2.0919402420112743E-2</v>
      </c>
      <c r="I100" s="133">
        <f>VLOOKUP($A100,'5 A calc'!$A$2:$AR$203,28,FALSE)</f>
        <v>2.47556006318269</v>
      </c>
      <c r="J100" s="134">
        <f>VLOOKUP($A100,'5 A calc'!$A$2:$AR$203,42,FALSE)</f>
        <v>2.3306912542051319</v>
      </c>
      <c r="L100" s="28">
        <f t="shared" si="25"/>
        <v>5.9072360813897449</v>
      </c>
      <c r="M100" s="28">
        <f t="shared" si="26"/>
        <v>0.71915608116493235</v>
      </c>
    </row>
    <row r="101" spans="1:18" x14ac:dyDescent="0.2">
      <c r="C101" s="92"/>
      <c r="D101" s="140"/>
      <c r="E101" s="38"/>
      <c r="F101" s="52"/>
      <c r="G101" s="82"/>
      <c r="H101" s="140"/>
      <c r="I101" s="140"/>
      <c r="J101" s="141"/>
    </row>
    <row r="103" spans="1:18" ht="20.45" customHeight="1" x14ac:dyDescent="0.2">
      <c r="A103" s="97">
        <v>187</v>
      </c>
      <c r="C103" s="60" t="str">
        <f>"Table "&amp;L103&amp;". Ratio "&amp;LEFT(M103,FIND("/",M103)-1)&amp;":5."&amp;"  Secondary: "&amp;K103</f>
        <v>Table . Ratio 200:5.  Secondary: S1 - S2</v>
      </c>
      <c r="D103" s="18"/>
      <c r="E103" s="18"/>
      <c r="F103" s="18"/>
      <c r="G103" s="18"/>
      <c r="H103" s="10"/>
      <c r="I103" s="10"/>
      <c r="J103" s="11"/>
      <c r="K103" s="95" t="str">
        <f>VLOOKUP($A103+1,'5 A data'!$A$2:$AP$259,2,FALSE)</f>
        <v>S1 - S2</v>
      </c>
      <c r="L103" s="97"/>
      <c r="M103" s="535" t="str">
        <f>VLOOKUP($A103,'5 A calc'!$A$2:$AR$172,4,FALSE)</f>
        <v>200/5 Range, 1 turns @ 1VA burden, vs 120 AT, 200 range, 2 Stage CT</v>
      </c>
      <c r="N103" s="534"/>
      <c r="O103" s="534"/>
      <c r="P103" s="534"/>
      <c r="Q103" s="534"/>
      <c r="R103" s="534"/>
    </row>
    <row r="104" spans="1:18" ht="20.45" customHeight="1" x14ac:dyDescent="0.2">
      <c r="A104" s="68"/>
      <c r="C104" s="12"/>
      <c r="D104" s="13"/>
      <c r="E104" s="643" t="s">
        <v>19</v>
      </c>
      <c r="F104" s="644"/>
      <c r="G104" s="643" t="s">
        <v>20</v>
      </c>
      <c r="H104" s="644"/>
      <c r="I104" s="645" t="s">
        <v>8</v>
      </c>
      <c r="J104" s="646"/>
      <c r="L104" s="523" t="s">
        <v>451</v>
      </c>
      <c r="M104" s="522"/>
      <c r="N104" s="522"/>
      <c r="O104" s="523"/>
    </row>
    <row r="105" spans="1:18" ht="51" x14ac:dyDescent="0.2">
      <c r="A105" s="68"/>
      <c r="C105" s="12" t="s">
        <v>169</v>
      </c>
      <c r="D105" s="54" t="s">
        <v>241</v>
      </c>
      <c r="E105" s="54" t="s">
        <v>294</v>
      </c>
      <c r="F105" s="13" t="s">
        <v>239</v>
      </c>
      <c r="G105" s="54" t="s">
        <v>294</v>
      </c>
      <c r="H105" s="13" t="s">
        <v>239</v>
      </c>
      <c r="I105" s="54" t="s">
        <v>158</v>
      </c>
      <c r="J105" s="13" t="s">
        <v>159</v>
      </c>
      <c r="L105" s="498" t="s">
        <v>59</v>
      </c>
      <c r="M105" s="498" t="s">
        <v>478</v>
      </c>
    </row>
    <row r="106" spans="1:18" ht="13.9" customHeight="1" x14ac:dyDescent="0.2">
      <c r="A106" s="97">
        <v>189</v>
      </c>
      <c r="C106" s="533">
        <v>0.05</v>
      </c>
      <c r="D106" s="57">
        <f>VLOOKUP($A106,'5 A calc'!$A$2:$AR$203,4,FALSE)</f>
        <v>5</v>
      </c>
      <c r="E106" s="33">
        <f>VLOOKUP($A106,'5 A calc'!$A$2:$AR$203,13,FALSE)</f>
        <v>-0.3257568683479713</v>
      </c>
      <c r="F106" s="53">
        <f>VLOOKUP($A106,'5 A calc'!$A$2:$AR$203,14,FALSE)</f>
        <v>0.53587177515123063</v>
      </c>
      <c r="G106" s="33">
        <f>VLOOKUP($A106,'5 A calc'!$A$2:$AR$203,26,FALSE)*I106</f>
        <v>2.8302403414120752E-2</v>
      </c>
      <c r="H106" s="53">
        <f>VLOOKUP($A106,'5 A calc'!$A$2:$AR$203,40,FALSE)*J106</f>
        <v>5.8559349378821041E-2</v>
      </c>
      <c r="I106" s="56">
        <f>VLOOKUP($A106,'5 A calc'!$A$2:$AR$203,28,FALSE)</f>
        <v>2.2209164886078239</v>
      </c>
      <c r="J106" s="49">
        <f>VLOOKUP($A106,'5 A calc'!$A$2:$AR$203,42,FALSE)</f>
        <v>2.2303173711823927</v>
      </c>
      <c r="L106" s="4">
        <f t="shared" ref="L106:L112" si="27">DEGREES(F106/100)*60</f>
        <v>18.421914645809359</v>
      </c>
      <c r="M106" s="4">
        <f>DEGREES(H106/100)*60</f>
        <v>2.0131221422630912</v>
      </c>
    </row>
    <row r="107" spans="1:18" ht="13.9" customHeight="1" x14ac:dyDescent="0.2">
      <c r="A107" s="97">
        <v>190</v>
      </c>
      <c r="C107" s="533">
        <v>0.05</v>
      </c>
      <c r="D107" s="57">
        <f>VLOOKUP($A107,'5 A calc'!$A$2:$AR$203,4,FALSE)</f>
        <v>10</v>
      </c>
      <c r="E107" s="33">
        <f>VLOOKUP($A107,'5 A calc'!$A$2:$AR$203,13,FALSE)</f>
        <v>-0.27279252769174228</v>
      </c>
      <c r="F107" s="53">
        <f>VLOOKUP($A107,'5 A calc'!$A$2:$AR$203,14,FALSE)</f>
        <v>0.4252014812776827</v>
      </c>
      <c r="G107" s="33">
        <f>VLOOKUP($A107,'5 A calc'!$A$2:$AR$203,26,FALSE)*I107</f>
        <v>1.8507993071688295E-2</v>
      </c>
      <c r="H107" s="53">
        <f>VLOOKUP($A107,'5 A calc'!$A$2:$AR$203,40,FALSE)*J107</f>
        <v>3.4285944043279927E-2</v>
      </c>
      <c r="I107" s="56">
        <f>VLOOKUP($A107,'5 A calc'!$A$2:$AR$203,28,FALSE)</f>
        <v>2.1871022047232778</v>
      </c>
      <c r="J107" s="49">
        <f>VLOOKUP($A107,'5 A calc'!$A$2:$AR$203,42,FALSE)</f>
        <v>2.2200764504175963</v>
      </c>
      <c r="L107" s="4">
        <f t="shared" si="27"/>
        <v>14.617350191953264</v>
      </c>
      <c r="M107" s="4">
        <f t="shared" ref="M107:M112" si="28">DEGREES(H107/100)*60</f>
        <v>1.178663934180987</v>
      </c>
    </row>
    <row r="108" spans="1:18" ht="13.9" customHeight="1" x14ac:dyDescent="0.2">
      <c r="A108" s="97">
        <v>191</v>
      </c>
      <c r="C108" s="533">
        <v>0.05</v>
      </c>
      <c r="D108" s="57">
        <f>VLOOKUP($A108,'5 A calc'!$A$2:$AR$203,4,FALSE)</f>
        <v>20</v>
      </c>
      <c r="E108" s="33">
        <f>VLOOKUP($A108,'5 A calc'!$A$2:$AR$203,13,FALSE)</f>
        <v>-0.23981682324860631</v>
      </c>
      <c r="F108" s="53">
        <f>VLOOKUP($A108,'5 A calc'!$A$2:$AR$203,14,FALSE)</f>
        <v>0.36113236317423325</v>
      </c>
      <c r="G108" s="33">
        <f>VLOOKUP($A108,'5 A calc'!$A$2:$AR$203,26,FALSE)*I108</f>
        <v>1.4047910449361772E-2</v>
      </c>
      <c r="H108" s="53">
        <f>VLOOKUP($A108,'5 A calc'!$A$2:$AR$203,40,FALSE)*J108</f>
        <v>2.7020339359103376E-2</v>
      </c>
      <c r="I108" s="56">
        <f>VLOOKUP($A108,'5 A calc'!$A$2:$AR$203,28,FALSE)</f>
        <v>2.1792659703212536</v>
      </c>
      <c r="J108" s="49">
        <f>VLOOKUP($A108,'5 A calc'!$A$2:$AR$203,42,FALSE)</f>
        <v>2.2111848157804657</v>
      </c>
      <c r="L108" s="4">
        <f t="shared" si="27"/>
        <v>12.414816153281542</v>
      </c>
      <c r="M108" s="4">
        <f t="shared" si="28"/>
        <v>0.92889084377270836</v>
      </c>
    </row>
    <row r="109" spans="1:18" ht="13.9" customHeight="1" x14ac:dyDescent="0.2">
      <c r="A109" s="97">
        <v>192</v>
      </c>
      <c r="C109" s="533">
        <v>0.05</v>
      </c>
      <c r="D109" s="57">
        <f>VLOOKUP($A109,'5 A calc'!$A$2:$AR$203,4,FALSE)</f>
        <v>40</v>
      </c>
      <c r="E109" s="33">
        <f>VLOOKUP($A109,'5 A calc'!$A$2:$AR$203,13,FALSE)</f>
        <v>-0.21683746032010329</v>
      </c>
      <c r="F109" s="53">
        <f>VLOOKUP($A109,'5 A calc'!$A$2:$AR$203,14,FALSE)</f>
        <v>0.31162409714194078</v>
      </c>
      <c r="G109" s="33">
        <f>VLOOKUP($A109,'5 A calc'!$A$2:$AR$203,26,FALSE)*I109</f>
        <v>1.1031601850744302E-2</v>
      </c>
      <c r="H109" s="53">
        <f>VLOOKUP($A109,'5 A calc'!$A$2:$AR$203,40,FALSE)*J109</f>
        <v>1.705365552312783E-2</v>
      </c>
      <c r="I109" s="56">
        <f>VLOOKUP($A109,'5 A calc'!$A$2:$AR$203,28,FALSE)</f>
        <v>2.1903845700920246</v>
      </c>
      <c r="J109" s="49">
        <f>VLOOKUP($A109,'5 A calc'!$A$2:$AR$203,42,FALSE)</f>
        <v>2.0913743464279397</v>
      </c>
      <c r="L109" s="4">
        <f t="shared" si="27"/>
        <v>10.712847336484792</v>
      </c>
      <c r="M109" s="4">
        <f t="shared" si="28"/>
        <v>0.58626149204711442</v>
      </c>
    </row>
    <row r="110" spans="1:18" ht="13.9" customHeight="1" x14ac:dyDescent="0.2">
      <c r="A110" s="97">
        <v>193</v>
      </c>
      <c r="C110" s="533">
        <v>0.05</v>
      </c>
      <c r="D110" s="51">
        <f>VLOOKUP($A110,'5 A calc'!$A$2:$AR$203,4,FALSE)</f>
        <v>60</v>
      </c>
      <c r="E110" s="33">
        <f>VLOOKUP($A110,'5 A calc'!$A$2:$AR$203,13,FALSE)</f>
        <v>-0.20384893192414602</v>
      </c>
      <c r="F110" s="53">
        <f>VLOOKUP($A110,'5 A calc'!$A$2:$AR$203,14,FALSE)</f>
        <v>0.29123765872743412</v>
      </c>
      <c r="G110" s="33">
        <f>VLOOKUP($A110,'5 A calc'!$A$2:$AR$203,26,FALSE)*I110</f>
        <v>1.0528854749431382E-2</v>
      </c>
      <c r="H110" s="53">
        <f>VLOOKUP($A110,'5 A calc'!$A$2:$AR$203,40,FALSE)*J110</f>
        <v>1.8027920695054697E-2</v>
      </c>
      <c r="I110" s="56">
        <f>VLOOKUP($A110,'5 A calc'!$A$2:$AR$203,28,FALSE)</f>
        <v>2.1781964224631367</v>
      </c>
      <c r="J110" s="49">
        <f>VLOOKUP($A110,'5 A calc'!$A$2:$AR$203,42,FALSE)</f>
        <v>2.0941608895407637</v>
      </c>
      <c r="L110" s="4">
        <f t="shared" si="27"/>
        <v>10.012013208212029</v>
      </c>
      <c r="M110" s="4">
        <f t="shared" si="28"/>
        <v>0.61975426153391266</v>
      </c>
    </row>
    <row r="111" spans="1:18" ht="13.9" customHeight="1" x14ac:dyDescent="0.2">
      <c r="A111" s="97">
        <v>194</v>
      </c>
      <c r="C111" s="533">
        <v>0.05</v>
      </c>
      <c r="D111" s="51">
        <f>VLOOKUP($A111,'5 A calc'!$A$2:$AR$203,4,FALSE)</f>
        <v>100</v>
      </c>
      <c r="E111" s="33">
        <f>VLOOKUP($A111,'5 A calc'!$A$2:$AR$203,13,FALSE)</f>
        <v>-0.19086223451654855</v>
      </c>
      <c r="F111" s="53">
        <f>VLOOKUP($A111,'5 A calc'!$A$2:$AR$203,14,FALSE)</f>
        <v>0.26502857730128943</v>
      </c>
      <c r="G111" s="33">
        <f>VLOOKUP($A111,'5 A calc'!$A$2:$AR$203,26,FALSE)*I111</f>
        <v>9.3982633041804989E-3</v>
      </c>
      <c r="H111" s="53">
        <f>VLOOKUP($A111,'5 A calc'!$A$2:$AR$203,40,FALSE)*J111</f>
        <v>1.3765493087058555E-2</v>
      </c>
      <c r="I111" s="56">
        <f>VLOOKUP($A111,'5 A calc'!$A$2:$AR$203,28,FALSE)</f>
        <v>2.2046179812501898</v>
      </c>
      <c r="J111" s="49">
        <f>VLOOKUP($A111,'5 A calc'!$A$2:$AR$203,42,FALSE)</f>
        <v>2.1004793161197162</v>
      </c>
      <c r="L111" s="4">
        <f>DEGREES(F111/100)*60</f>
        <v>9.1110113578323428</v>
      </c>
      <c r="M111" s="4">
        <f t="shared" si="28"/>
        <v>0.47322279408297957</v>
      </c>
    </row>
    <row r="112" spans="1:18" ht="13.9" customHeight="1" x14ac:dyDescent="0.2">
      <c r="A112" s="97">
        <v>195</v>
      </c>
      <c r="C112" s="533">
        <v>0.05</v>
      </c>
      <c r="D112" s="51">
        <f>VLOOKUP($A112,'5 A calc'!$A$2:$AR$203,4,FALSE)</f>
        <v>120</v>
      </c>
      <c r="E112" s="33">
        <f>VLOOKUP($A112,'5 A calc'!$A$2:$AR$203,13,FALSE)</f>
        <v>-0.1893648519590726</v>
      </c>
      <c r="F112" s="53">
        <f>VLOOKUP($A112,'5 A calc'!$A$2:$AR$203,14,FALSE)</f>
        <v>0.25920416457124329</v>
      </c>
      <c r="G112" s="33">
        <f>VLOOKUP($A112,'5 A calc'!$A$2:$AR$203,26,FALSE)*I112</f>
        <v>8.9947943727919401E-3</v>
      </c>
      <c r="H112" s="53">
        <f>VLOOKUP($A112,'5 A calc'!$A$2:$AR$203,40,FALSE)*J112</f>
        <v>1.2547024571773447E-2</v>
      </c>
      <c r="I112" s="56">
        <f>VLOOKUP($A112,'5 A calc'!$A$2:$AR$203,28,FALSE)</f>
        <v>2.3167409555261709</v>
      </c>
      <c r="J112" s="49">
        <f>VLOOKUP($A112,'5 A calc'!$A$2:$AR$203,42,FALSE)</f>
        <v>2.1547873227884864</v>
      </c>
      <c r="L112" s="4">
        <f t="shared" si="27"/>
        <v>8.9107827972879967</v>
      </c>
      <c r="M112" s="4">
        <f t="shared" si="28"/>
        <v>0.43133493204573453</v>
      </c>
    </row>
    <row r="113" spans="1:13" ht="13.9" customHeight="1" x14ac:dyDescent="0.2">
      <c r="C113" s="115"/>
      <c r="D113" s="113"/>
      <c r="E113" s="114"/>
      <c r="F113" s="115"/>
      <c r="G113" s="114"/>
      <c r="H113" s="115"/>
      <c r="I113" s="116"/>
      <c r="J113" s="116"/>
      <c r="L113" s="4"/>
      <c r="M113" s="4"/>
    </row>
    <row r="114" spans="1:13" ht="13.9" customHeight="1" x14ac:dyDescent="0.2">
      <c r="A114" s="97">
        <v>197</v>
      </c>
      <c r="C114" s="53">
        <f t="shared" ref="C114:C120" si="29">low__burden</f>
        <v>0</v>
      </c>
      <c r="D114" s="51">
        <f>VLOOKUP($A114,'5 A calc'!$A$2:$AR$203,4,FALSE)</f>
        <v>5</v>
      </c>
      <c r="E114" s="33">
        <f>VLOOKUP($A114,'5 A calc'!$A$2:$AR$203,13,FALSE)</f>
        <v>-0.23181636104004924</v>
      </c>
      <c r="F114" s="53">
        <f>VLOOKUP($A114,'5 A calc'!$A$2:$AR$203,14,FALSE)</f>
        <v>0.39608036333819824</v>
      </c>
      <c r="G114" s="33">
        <f>VLOOKUP($A114,'5 A calc'!$A$2:$AR$203,26,FALSE)*I114</f>
        <v>2.568457278995483E-2</v>
      </c>
      <c r="H114" s="53">
        <f>VLOOKUP($A114,'5 A calc'!$A$2:$AR$203,40,FALSE)*J114</f>
        <v>5.3404585019973916E-2</v>
      </c>
      <c r="I114" s="56">
        <f>VLOOKUP($A114,'5 A calc'!$A$2:$AR$203,28,FALSE)</f>
        <v>2.1899084973402361</v>
      </c>
      <c r="J114" s="49">
        <f>VLOOKUP($A114,'5 A calc'!$A$2:$AR$203,42,FALSE)</f>
        <v>2.1992386436139277</v>
      </c>
      <c r="L114" s="28">
        <f t="shared" ref="L114:L120" si="30">DEGREES(F114/100)*60</f>
        <v>13.616239900372163</v>
      </c>
      <c r="M114" s="28">
        <f t="shared" ref="M114:M120" si="31">DEGREES(H114/100)*60</f>
        <v>1.8359143969752507</v>
      </c>
    </row>
    <row r="115" spans="1:13" ht="13.9" customHeight="1" x14ac:dyDescent="0.2">
      <c r="A115" s="97">
        <v>198</v>
      </c>
      <c r="C115" s="53">
        <f t="shared" si="29"/>
        <v>0</v>
      </c>
      <c r="D115" s="51">
        <f>VLOOKUP($A115,'5 A calc'!$A$2:$AR$203,4,FALSE)</f>
        <v>10</v>
      </c>
      <c r="E115" s="33">
        <f>VLOOKUP($A115,'5 A calc'!$A$2:$AR$203,13,FALSE)</f>
        <v>-0.18484822297794287</v>
      </c>
      <c r="F115" s="53">
        <f>VLOOKUP($A115,'5 A calc'!$A$2:$AR$203,14,FALSE)</f>
        <v>0.29705935378240289</v>
      </c>
      <c r="G115" s="33">
        <f>VLOOKUP($A115,'5 A calc'!$A$2:$AR$203,26,FALSE)*I115</f>
        <v>1.6562883376451811E-2</v>
      </c>
      <c r="H115" s="53">
        <f>VLOOKUP($A115,'5 A calc'!$A$2:$AR$203,40,FALSE)*J115</f>
        <v>3.0523365634863429E-2</v>
      </c>
      <c r="I115" s="56">
        <f>VLOOKUP($A115,'5 A calc'!$A$2:$AR$203,28,FALSE)</f>
        <v>2.1605754232517222</v>
      </c>
      <c r="J115" s="49">
        <f>VLOOKUP($A115,'5 A calc'!$A$2:$AR$203,42,FALSE)</f>
        <v>2.184199638243479</v>
      </c>
      <c r="L115" s="28">
        <f t="shared" si="30"/>
        <v>10.212148341969165</v>
      </c>
      <c r="M115" s="28">
        <f t="shared" si="31"/>
        <v>1.0493160164473976</v>
      </c>
    </row>
    <row r="116" spans="1:13" ht="13.9" customHeight="1" x14ac:dyDescent="0.2">
      <c r="A116" s="97">
        <v>199</v>
      </c>
      <c r="C116" s="53">
        <f t="shared" si="29"/>
        <v>0</v>
      </c>
      <c r="D116" s="51">
        <f>VLOOKUP($A116,'5 A calc'!$A$2:$AR$203,4,FALSE)</f>
        <v>20</v>
      </c>
      <c r="E116" s="33">
        <f>VLOOKUP($A116,'5 A calc'!$A$2:$AR$203,13,FALSE)</f>
        <v>-0.15686935402990917</v>
      </c>
      <c r="F116" s="53">
        <f>VLOOKUP($A116,'5 A calc'!$A$2:$AR$203,14,FALSE)</f>
        <v>0.24172719891726796</v>
      </c>
      <c r="G116" s="33">
        <f>VLOOKUP($A116,'5 A calc'!$A$2:$AR$203,26,FALSE)*I116</f>
        <v>1.2758296397314139E-2</v>
      </c>
      <c r="H116" s="53">
        <f>VLOOKUP($A116,'5 A calc'!$A$2:$AR$203,40,FALSE)*J116</f>
        <v>2.1896224367873949E-2</v>
      </c>
      <c r="I116" s="56">
        <f>VLOOKUP($A116,'5 A calc'!$A$2:$AR$203,28,FALSE)</f>
        <v>2.1782371186030947</v>
      </c>
      <c r="J116" s="49">
        <f>VLOOKUP($A116,'5 A calc'!$A$2:$AR$203,42,FALSE)</f>
        <v>2.1558026859399315</v>
      </c>
      <c r="L116" s="28">
        <f t="shared" si="30"/>
        <v>8.3099689748872656</v>
      </c>
      <c r="M116" s="28">
        <f t="shared" si="31"/>
        <v>0.75273674613041164</v>
      </c>
    </row>
    <row r="117" spans="1:13" ht="13.9" customHeight="1" x14ac:dyDescent="0.2">
      <c r="A117" s="97">
        <v>200</v>
      </c>
      <c r="C117" s="53">
        <f t="shared" si="29"/>
        <v>0</v>
      </c>
      <c r="D117" s="51">
        <f>VLOOKUP($A117,'5 A calc'!$A$2:$AR$203,4,FALSE)</f>
        <v>40</v>
      </c>
      <c r="E117" s="33">
        <f>VLOOKUP($A117,'5 A calc'!$A$2:$AR$203,13,FALSE)</f>
        <v>-0.13788745949748793</v>
      </c>
      <c r="F117" s="53">
        <f>VLOOKUP($A117,'5 A calc'!$A$2:$AR$203,14,FALSE)</f>
        <v>0.20532437774244733</v>
      </c>
      <c r="G117" s="33">
        <f>VLOOKUP($A117,'5 A calc'!$A$2:$AR$203,26,FALSE)*I117</f>
        <v>1.031831453790295E-2</v>
      </c>
      <c r="H117" s="53">
        <f>VLOOKUP($A117,'5 A calc'!$A$2:$AR$203,40,FALSE)*J117</f>
        <v>1.5960913971788008E-2</v>
      </c>
      <c r="I117" s="56">
        <f>VLOOKUP($A117,'5 A calc'!$A$2:$AR$203,28,FALSE)</f>
        <v>2.2669768075105834</v>
      </c>
      <c r="J117" s="49">
        <f>VLOOKUP($A117,'5 A calc'!$A$2:$AR$203,42,FALSE)</f>
        <v>2.1061611430584235</v>
      </c>
      <c r="L117" s="28">
        <f t="shared" si="30"/>
        <v>7.0585321654752544</v>
      </c>
      <c r="M117" s="28">
        <f t="shared" si="31"/>
        <v>0.54869580465290446</v>
      </c>
    </row>
    <row r="118" spans="1:13" ht="13.9" customHeight="1" x14ac:dyDescent="0.2">
      <c r="A118" s="97">
        <v>201</v>
      </c>
      <c r="C118" s="53">
        <f t="shared" si="29"/>
        <v>0</v>
      </c>
      <c r="D118" s="51">
        <f>VLOOKUP($A118,'5 A calc'!$A$2:$AR$203,4,FALSE)</f>
        <v>60</v>
      </c>
      <c r="E118" s="33">
        <f>VLOOKUP($A118,'5 A calc'!$A$2:$AR$203,13,FALSE)</f>
        <v>-0.12989576659663293</v>
      </c>
      <c r="F118" s="53">
        <f>VLOOKUP($A118,'5 A calc'!$A$2:$AR$203,14,FALSE)</f>
        <v>0.19076258148681702</v>
      </c>
      <c r="G118" s="33">
        <f>VLOOKUP($A118,'5 A calc'!$A$2:$AR$203,26,FALSE)*I118</f>
        <v>9.8462327970458043E-3</v>
      </c>
      <c r="H118" s="53">
        <f>VLOOKUP($A118,'5 A calc'!$A$2:$AR$203,40,FALSE)*J118</f>
        <v>1.567394165741726E-2</v>
      </c>
      <c r="I118" s="56">
        <f>VLOOKUP($A118,'5 A calc'!$A$2:$AR$203,28,FALSE)</f>
        <v>2.2325923745689442</v>
      </c>
      <c r="J118" s="49">
        <f>VLOOKUP($A118,'5 A calc'!$A$2:$AR$203,42,FALSE)</f>
        <v>2.0925848787009049</v>
      </c>
      <c r="L118" s="28">
        <f t="shared" si="30"/>
        <v>6.5579344849290404</v>
      </c>
      <c r="M118" s="28">
        <f t="shared" si="31"/>
        <v>0.53883042318257723</v>
      </c>
    </row>
    <row r="119" spans="1:13" ht="13.9" customHeight="1" x14ac:dyDescent="0.2">
      <c r="A119" s="97">
        <v>202</v>
      </c>
      <c r="C119" s="53">
        <f t="shared" si="29"/>
        <v>0</v>
      </c>
      <c r="D119" s="51">
        <f>VLOOKUP($A119,'5 A calc'!$A$2:$AR$203,4,FALSE)</f>
        <v>100</v>
      </c>
      <c r="E119" s="33">
        <f>VLOOKUP($A119,'5 A calc'!$A$2:$AR$203,13,FALSE)</f>
        <v>-0.12090653758511721</v>
      </c>
      <c r="F119" s="53">
        <f>VLOOKUP($A119,'5 A calc'!$A$2:$AR$203,14,FALSE)</f>
        <v>0.17474662383870593</v>
      </c>
      <c r="G119" s="33">
        <f>VLOOKUP($A119,'5 A calc'!$A$2:$AR$203,26,FALSE)*I119</f>
        <v>9.3504775117155183E-3</v>
      </c>
      <c r="H119" s="53">
        <f>VLOOKUP($A119,'5 A calc'!$A$2:$AR$203,40,FALSE)*J119</f>
        <v>1.3565384537862791E-2</v>
      </c>
      <c r="I119" s="56">
        <f>VLOOKUP($A119,'5 A calc'!$A$2:$AR$203,28,FALSE)</f>
        <v>2.2147838504190358</v>
      </c>
      <c r="J119" s="49">
        <f>VLOOKUP($A119,'5 A calc'!$A$2:$AR$203,42,FALSE)</f>
        <v>2.1120306630137144</v>
      </c>
      <c r="L119" s="28">
        <f t="shared" si="30"/>
        <v>6.007346418070818</v>
      </c>
      <c r="M119" s="28">
        <f t="shared" si="31"/>
        <v>0.46634356889493755</v>
      </c>
    </row>
    <row r="120" spans="1:13" x14ac:dyDescent="0.2">
      <c r="A120" s="97">
        <v>203</v>
      </c>
      <c r="C120" s="53">
        <f t="shared" si="29"/>
        <v>0</v>
      </c>
      <c r="D120" s="51">
        <f>VLOOKUP($A120,'5 A calc'!$A$2:$AR$203,4,FALSE)</f>
        <v>120</v>
      </c>
      <c r="E120" s="33">
        <f>VLOOKUP($A120,'5 A calc'!$A$2:$AR$203,13,FALSE)</f>
        <v>-0.11940915502764127</v>
      </c>
      <c r="F120" s="53">
        <f>VLOOKUP($A120,'5 A calc'!$A$2:$AR$203,14,FALSE)</f>
        <v>0.17183453218809797</v>
      </c>
      <c r="G120" s="33">
        <f>VLOOKUP($A120,'5 A calc'!$A$2:$AR$203,26,FALSE)*I120</f>
        <v>8.9639605862773183E-3</v>
      </c>
      <c r="H120" s="53">
        <f>VLOOKUP($A120,'5 A calc'!$A$2:$AR$203,40,FALSE)*J120</f>
        <v>1.2471847411473416E-2</v>
      </c>
      <c r="I120" s="56">
        <f>VLOOKUP($A120,'5 A calc'!$A$2:$AR$203,28,FALSE)</f>
        <v>2.3357410456693706</v>
      </c>
      <c r="J120" s="49">
        <f>VLOOKUP($A120,'5 A calc'!$A$2:$AR$203,42,FALSE)</f>
        <v>2.1625198646994983</v>
      </c>
      <c r="L120" s="28">
        <f t="shared" si="30"/>
        <v>5.9072360813897449</v>
      </c>
      <c r="M120" s="28">
        <f t="shared" si="31"/>
        <v>0.42875053164515242</v>
      </c>
    </row>
    <row r="121" spans="1:13" x14ac:dyDescent="0.2">
      <c r="C121" s="39"/>
      <c r="D121" s="52"/>
      <c r="E121" s="38"/>
      <c r="F121" s="52"/>
      <c r="G121" s="38"/>
      <c r="H121" s="52"/>
      <c r="I121" s="52"/>
      <c r="J121" s="40"/>
    </row>
    <row r="123" spans="1:13" ht="21.2" customHeight="1" x14ac:dyDescent="0.2">
      <c r="A123" s="97">
        <v>205</v>
      </c>
      <c r="C123" s="60" t="str">
        <f>"Table "&amp;L123&amp;". Ratio "&amp;LEFT(M123,FIND("/",M123)-1)&amp;":5."&amp;"  Secondary: "&amp;K123</f>
        <v>Table . Ratio 200:5.  Secondary: S1 - S2</v>
      </c>
      <c r="D123" s="18"/>
      <c r="E123" s="18"/>
      <c r="F123" s="18"/>
      <c r="G123" s="18"/>
      <c r="H123" s="10"/>
      <c r="I123" s="10"/>
      <c r="J123" s="11"/>
      <c r="K123" s="95" t="str">
        <f>VLOOKUP($A123+1,'5 A data'!$A$2:$AP$259,2,FALSE)</f>
        <v>S1 - S2</v>
      </c>
      <c r="L123" s="97"/>
      <c r="M123" s="95" t="str">
        <f>VLOOKUP($A123,'5 A calc'!$A$2:$AR$172,4,FALSE)</f>
        <v>200/5 Range, 1 turns @ 5VA burden, vs 120 AT, 200 range, 2 Stage CT</v>
      </c>
    </row>
    <row r="124" spans="1:13" ht="21.2" customHeight="1" x14ac:dyDescent="0.2">
      <c r="A124" s="68"/>
      <c r="C124" s="12"/>
      <c r="D124" s="13"/>
      <c r="E124" s="643" t="s">
        <v>19</v>
      </c>
      <c r="F124" s="644"/>
      <c r="G124" s="643" t="s">
        <v>20</v>
      </c>
      <c r="H124" s="644"/>
      <c r="I124" s="645" t="s">
        <v>8</v>
      </c>
      <c r="J124" s="646"/>
      <c r="L124" s="521" t="s">
        <v>497</v>
      </c>
      <c r="M124" s="522"/>
    </row>
    <row r="125" spans="1:13" ht="51" x14ac:dyDescent="0.2">
      <c r="A125" s="68"/>
      <c r="C125" s="12" t="s">
        <v>169</v>
      </c>
      <c r="D125" s="54" t="s">
        <v>241</v>
      </c>
      <c r="E125" s="54" t="s">
        <v>294</v>
      </c>
      <c r="F125" s="13" t="s">
        <v>239</v>
      </c>
      <c r="G125" s="54" t="s">
        <v>294</v>
      </c>
      <c r="H125" s="13" t="s">
        <v>239</v>
      </c>
      <c r="I125" s="54" t="s">
        <v>158</v>
      </c>
      <c r="J125" s="13" t="s">
        <v>159</v>
      </c>
      <c r="L125" s="498" t="s">
        <v>59</v>
      </c>
      <c r="M125" s="498" t="s">
        <v>478</v>
      </c>
    </row>
    <row r="126" spans="1:13" x14ac:dyDescent="0.2">
      <c r="A126" s="97">
        <v>207</v>
      </c>
      <c r="C126" s="53">
        <f t="shared" ref="C126:C132" si="32">high_burden</f>
        <v>0.2</v>
      </c>
      <c r="D126" s="57">
        <f>VLOOKUP($A126,'5 A calc'!$A$2:$AR$203,4,FALSE)</f>
        <v>5</v>
      </c>
      <c r="E126" s="33">
        <f>VLOOKUP($A126,'5 A calc'!$A$2:$AR$203,13,FALSE)</f>
        <v>-0.99733155888971214</v>
      </c>
      <c r="F126" s="53">
        <f>VLOOKUP($A126,'5 A calc'!$A$2:$AR$203,14,FALSE)</f>
        <v>0.40190500549707459</v>
      </c>
      <c r="G126" s="33">
        <f>VLOOKUP($A126,'5 A calc'!$A$2:$AR$203,26,FALSE)*I126</f>
        <v>0.1035287262193388</v>
      </c>
      <c r="H126" s="53">
        <f>VLOOKUP($A126,'5 A calc'!$A$2:$AR$203,40,FALSE)*J126</f>
        <v>3.7386481676572908E-2</v>
      </c>
      <c r="I126" s="56">
        <f>VLOOKUP($A126,'5 A calc'!$A$2:$AR$203,28,FALSE)</f>
        <v>2.2709890061586937</v>
      </c>
      <c r="J126" s="49">
        <f>VLOOKUP($A126,'5 A calc'!$A$2:$AR$203,42,FALSE)</f>
        <v>2.0892163275738196</v>
      </c>
      <c r="L126" s="4">
        <f t="shared" ref="L126:L132" si="33">DEGREES(F126/100)*60</f>
        <v>13.816476348098712</v>
      </c>
      <c r="M126" s="4">
        <f>DEGREES(H126/100)*60</f>
        <v>1.285252566546488</v>
      </c>
    </row>
    <row r="127" spans="1:13" x14ac:dyDescent="0.2">
      <c r="A127" s="97">
        <v>208</v>
      </c>
      <c r="C127" s="53">
        <f t="shared" si="32"/>
        <v>0.2</v>
      </c>
      <c r="D127" s="57">
        <f>VLOOKUP($A127,'5 A calc'!$A$2:$AR$203,4,FALSE)</f>
        <v>10</v>
      </c>
      <c r="E127" s="33">
        <f>VLOOKUP($A127,'5 A calc'!$A$2:$AR$203,13,FALSE)</f>
        <v>-0.88340582519323574</v>
      </c>
      <c r="F127" s="53">
        <f>VLOOKUP($A127,'5 A calc'!$A$2:$AR$203,14,FALSE)</f>
        <v>0.34365649105341384</v>
      </c>
      <c r="G127" s="33">
        <f>VLOOKUP($A127,'5 A calc'!$A$2:$AR$203,26,FALSE)*I127</f>
        <v>9.2487568773316708E-2</v>
      </c>
      <c r="H127" s="53">
        <f>VLOOKUP($A127,'5 A calc'!$A$2:$AR$203,40,FALSE)*J127</f>
        <v>3.4126889677619655E-2</v>
      </c>
      <c r="I127" s="56">
        <f>VLOOKUP($A127,'5 A calc'!$A$2:$AR$203,28,FALSE)</f>
        <v>2.2868500083178316</v>
      </c>
      <c r="J127" s="49">
        <f>VLOOKUP($A127,'5 A calc'!$A$2:$AR$203,42,FALSE)</f>
        <v>2.2217055123191569</v>
      </c>
      <c r="L127" s="4">
        <f t="shared" si="33"/>
        <v>11.814039923781568</v>
      </c>
      <c r="M127" s="4">
        <f t="shared" ref="M127:M132" si="34">DEGREES(H127/100)*60</f>
        <v>1.1731960478617085</v>
      </c>
    </row>
    <row r="128" spans="1:13" x14ac:dyDescent="0.2">
      <c r="A128" s="97">
        <v>209</v>
      </c>
      <c r="C128" s="53">
        <f t="shared" si="32"/>
        <v>0.2</v>
      </c>
      <c r="D128" s="57">
        <f>VLOOKUP($A128,'5 A calc'!$A$2:$AR$203,4,FALSE)</f>
        <v>20</v>
      </c>
      <c r="E128" s="33">
        <f>VLOOKUP($A128,'5 A calc'!$A$2:$AR$203,13,FALSE)</f>
        <v>-0.78547125931377082</v>
      </c>
      <c r="F128" s="53">
        <f>VLOOKUP($A128,'5 A calc'!$A$2:$AR$203,14,FALSE)</f>
        <v>0.27958737294996422</v>
      </c>
      <c r="G128" s="33">
        <f>VLOOKUP($A128,'5 A calc'!$A$2:$AR$203,26,FALSE)*I128</f>
        <v>8.1715070479345897E-2</v>
      </c>
      <c r="H128" s="53">
        <f>VLOOKUP($A128,'5 A calc'!$A$2:$AR$203,40,FALSE)*J128</f>
        <v>2.4773670869622608E-2</v>
      </c>
      <c r="I128" s="56">
        <f>VLOOKUP($A128,'5 A calc'!$A$2:$AR$203,28,FALSE)</f>
        <v>2.3220364207332023</v>
      </c>
      <c r="J128" s="49">
        <f>VLOOKUP($A128,'5 A calc'!$A$2:$AR$203,42,FALSE)</f>
        <v>2.172576819254763</v>
      </c>
      <c r="L128" s="4">
        <f t="shared" si="33"/>
        <v>9.6115058851098407</v>
      </c>
      <c r="M128" s="4">
        <f t="shared" si="34"/>
        <v>0.85165607032534041</v>
      </c>
    </row>
    <row r="129" spans="1:13" x14ac:dyDescent="0.2">
      <c r="A129" s="97">
        <v>210</v>
      </c>
      <c r="C129" s="53">
        <f t="shared" si="32"/>
        <v>0.2</v>
      </c>
      <c r="D129" s="57">
        <f>VLOOKUP($A129,'5 A calc'!$A$2:$AR$203,4,FALSE)</f>
        <v>40</v>
      </c>
      <c r="E129" s="33">
        <f>VLOOKUP($A129,'5 A calc'!$A$2:$AR$203,13,FALSE)</f>
        <v>-0.70952544013718388</v>
      </c>
      <c r="F129" s="53">
        <f>VLOOKUP($A129,'5 A calc'!$A$2:$AR$203,14,FALSE)</f>
        <v>0.23590374907654818</v>
      </c>
      <c r="G129" s="33">
        <f>VLOOKUP($A129,'5 A calc'!$A$2:$AR$203,26,FALSE)*I129</f>
        <v>7.2592171263027166E-2</v>
      </c>
      <c r="H129" s="53">
        <f>VLOOKUP($A129,'5 A calc'!$A$2:$AR$203,40,FALSE)*J129</f>
        <v>1.6178257148564773E-2</v>
      </c>
      <c r="I129" s="56">
        <f>VLOOKUP($A129,'5 A calc'!$A$2:$AR$203,28,FALSE)</f>
        <v>2.4427718710034294</v>
      </c>
      <c r="J129" s="49">
        <f>VLOOKUP($A129,'5 A calc'!$A$2:$AR$203,42,FALSE)</f>
        <v>2.0984891832039012</v>
      </c>
      <c r="L129" s="4">
        <f t="shared" si="33"/>
        <v>8.10977351603964</v>
      </c>
      <c r="M129" s="4">
        <f t="shared" si="34"/>
        <v>0.55616751269406906</v>
      </c>
    </row>
    <row r="130" spans="1:13" x14ac:dyDescent="0.2">
      <c r="A130" s="97">
        <v>211</v>
      </c>
      <c r="C130" s="53">
        <f t="shared" si="32"/>
        <v>0.2</v>
      </c>
      <c r="D130" s="51">
        <f>VLOOKUP($A130,'5 A calc'!$A$2:$AR$203,4,FALSE)</f>
        <v>60</v>
      </c>
      <c r="E130" s="33">
        <f>VLOOKUP($A130,'5 A calc'!$A$2:$AR$203,13,FALSE)</f>
        <v>-0.67355146846375646</v>
      </c>
      <c r="F130" s="53">
        <f>VLOOKUP($A130,'5 A calc'!$A$2:$AR$203,14,FALSE)</f>
        <v>0.20969266850316517</v>
      </c>
      <c r="G130" s="33">
        <f>VLOOKUP($A130,'5 A calc'!$A$2:$AR$203,26,FALSE)*I130</f>
        <v>7.0088488104255262E-2</v>
      </c>
      <c r="H130" s="53">
        <f>VLOOKUP($A130,'5 A calc'!$A$2:$AR$203,40,FALSE)*J130</f>
        <v>3.2717574133829024E-2</v>
      </c>
      <c r="I130" s="56">
        <f>VLOOKUP($A130,'5 A calc'!$A$2:$AR$203,28,FALSE)</f>
        <v>2.3410329178664004</v>
      </c>
      <c r="J130" s="49">
        <f>VLOOKUP($A130,'5 A calc'!$A$2:$AR$203,42,FALSE)</f>
        <v>2.3477829082704837</v>
      </c>
      <c r="L130" s="4">
        <f t="shared" si="33"/>
        <v>7.2087029400403289</v>
      </c>
      <c r="M130" s="4">
        <f t="shared" si="34"/>
        <v>1.124747348264876</v>
      </c>
    </row>
    <row r="131" spans="1:13" x14ac:dyDescent="0.2">
      <c r="A131" s="97">
        <v>212</v>
      </c>
      <c r="C131" s="53">
        <f t="shared" si="32"/>
        <v>0.2</v>
      </c>
      <c r="D131" s="51">
        <f>VLOOKUP($A131,'5 A calc'!$A$2:$AR$203,4,FALSE)</f>
        <v>100</v>
      </c>
      <c r="E131" s="33">
        <f>VLOOKUP($A131,'5 A calc'!$A$2:$AR$203,13,FALSE)</f>
        <v>-0.61359451740219795</v>
      </c>
      <c r="F131" s="53">
        <f>VLOOKUP($A131,'5 A calc'!$A$2:$AR$203,14,FALSE)</f>
        <v>0.14562341304432413</v>
      </c>
      <c r="G131" s="33">
        <f>VLOOKUP($A131,'5 A calc'!$A$2:$AR$203,26,FALSE)*I131</f>
        <v>6.2543117442745516E-2</v>
      </c>
      <c r="H131" s="53">
        <f>VLOOKUP($A131,'5 A calc'!$A$2:$AR$203,40,FALSE)*J131</f>
        <v>1.3600633131929836E-2</v>
      </c>
      <c r="I131" s="56">
        <f>VLOOKUP($A131,'5 A calc'!$A$2:$AR$203,28,FALSE)</f>
        <v>2.4470165620684692</v>
      </c>
      <c r="J131" s="49">
        <f>VLOOKUP($A131,'5 A calc'!$A$2:$AR$203,42,FALSE)</f>
        <v>2.059379662274671</v>
      </c>
      <c r="L131" s="4">
        <f t="shared" si="33"/>
        <v>5.0061641794380671</v>
      </c>
      <c r="M131" s="4">
        <f t="shared" si="34"/>
        <v>0.46755532629922453</v>
      </c>
    </row>
    <row r="132" spans="1:13" x14ac:dyDescent="0.2">
      <c r="A132" s="97">
        <v>213</v>
      </c>
      <c r="C132" s="53">
        <f t="shared" si="32"/>
        <v>0.2</v>
      </c>
      <c r="D132" s="51">
        <f>VLOOKUP($A132,'5 A calc'!$A$2:$AR$203,4,FALSE)</f>
        <v>120</v>
      </c>
      <c r="E132" s="33">
        <f>VLOOKUP($A132,'5 A calc'!$A$2:$AR$203,13,FALSE)</f>
        <v>-0.58561390672068003</v>
      </c>
      <c r="F132" s="53">
        <f>VLOOKUP($A132,'5 A calc'!$A$2:$AR$203,14,FALSE)</f>
        <v>0.12814971599652525</v>
      </c>
      <c r="G132" s="33">
        <f>VLOOKUP($A132,'5 A calc'!$A$2:$AR$203,26,FALSE)*I132</f>
        <v>5.9276811954849261E-2</v>
      </c>
      <c r="H132" s="53">
        <f>VLOOKUP($A132,'5 A calc'!$A$2:$AR$203,40,FALSE)*J132</f>
        <v>1.1057974629482253E-2</v>
      </c>
      <c r="I132" s="56">
        <f>VLOOKUP($A132,'5 A calc'!$A$2:$AR$203,28,FALSE)</f>
        <v>2.5139834449777325</v>
      </c>
      <c r="J132" s="49">
        <f>VLOOKUP($A132,'5 A calc'!$A$2:$AR$203,42,FALSE)</f>
        <v>2.1113369335740177</v>
      </c>
      <c r="L132" s="4">
        <f t="shared" si="33"/>
        <v>4.4054627234406176</v>
      </c>
      <c r="M132" s="4">
        <f t="shared" si="34"/>
        <v>0.38014516573924401</v>
      </c>
    </row>
    <row r="133" spans="1:13" x14ac:dyDescent="0.2">
      <c r="C133" s="119"/>
      <c r="D133" s="113"/>
      <c r="E133" s="114"/>
      <c r="F133" s="115"/>
      <c r="G133" s="114"/>
      <c r="H133" s="115"/>
      <c r="I133" s="116"/>
      <c r="J133" s="117"/>
      <c r="L133" s="4"/>
      <c r="M133" s="4"/>
    </row>
    <row r="134" spans="1:13" x14ac:dyDescent="0.2">
      <c r="A134" s="97">
        <v>215</v>
      </c>
      <c r="C134" s="53">
        <f t="shared" ref="C134:C140" si="35">low__burden</f>
        <v>0</v>
      </c>
      <c r="D134" s="51">
        <f>VLOOKUP($A134,'5 A calc'!$A$2:$AR$203,4,FALSE)</f>
        <v>5</v>
      </c>
      <c r="E134" s="33">
        <f>VLOOKUP($A134,'5 A calc'!$A$2:$AR$203,13,FALSE)</f>
        <v>-0.21982395585180386</v>
      </c>
      <c r="F134" s="53">
        <f>VLOOKUP($A134,'5 A calc'!$A$2:$AR$203,14,FALSE)</f>
        <v>0.38151875794100737</v>
      </c>
      <c r="G134" s="33">
        <f>VLOOKUP($A134,'5 A calc'!$A$2:$AR$203,26,FALSE)*I134</f>
        <v>9.8668001954898915E-2</v>
      </c>
      <c r="H134" s="53">
        <f>VLOOKUP($A134,'5 A calc'!$A$2:$AR$203,40,FALSE)*J134</f>
        <v>4.5861157649487873E-2</v>
      </c>
      <c r="I134" s="56">
        <f>VLOOKUP($A134,'5 A calc'!$A$2:$AR$203,28,FALSE)</f>
        <v>2.4705683635742353</v>
      </c>
      <c r="J134" s="49">
        <f>VLOOKUP($A134,'5 A calc'!$A$2:$AR$203,42,FALSE)</f>
        <v>2.1984636216999887</v>
      </c>
      <c r="L134" s="28">
        <f t="shared" ref="L134:L140" si="36">DEGREES(F134/100)*60</f>
        <v>13.115648781055789</v>
      </c>
      <c r="M134" s="28">
        <f t="shared" ref="M134:M140" si="37">DEGREES(H134/100)*60</f>
        <v>1.5765904661398595</v>
      </c>
    </row>
    <row r="135" spans="1:13" x14ac:dyDescent="0.2">
      <c r="A135" s="97">
        <v>216</v>
      </c>
      <c r="C135" s="53">
        <f t="shared" si="35"/>
        <v>0</v>
      </c>
      <c r="D135" s="51">
        <f>VLOOKUP($A135,'5 A calc'!$A$2:$AR$203,4,FALSE)</f>
        <v>10</v>
      </c>
      <c r="E135" s="33">
        <f>VLOOKUP($A135,'5 A calc'!$A$2:$AR$203,13,FALSE)</f>
        <v>-0.18284948877990198</v>
      </c>
      <c r="F135" s="53">
        <f>VLOOKUP($A135,'5 A calc'!$A$2:$AR$203,14,FALSE)</f>
        <v>0.29705935378240289</v>
      </c>
      <c r="G135" s="33">
        <f>VLOOKUP($A135,'5 A calc'!$A$2:$AR$203,26,FALSE)*I135</f>
        <v>8.8941718050135787E-2</v>
      </c>
      <c r="H135" s="53">
        <f>VLOOKUP($A135,'5 A calc'!$A$2:$AR$203,40,FALSE)*J135</f>
        <v>3.1475910913745242E-2</v>
      </c>
      <c r="I135" s="56">
        <f>VLOOKUP($A135,'5 A calc'!$A$2:$AR$203,28,FALSE)</f>
        <v>2.5000029667790469</v>
      </c>
      <c r="J135" s="49">
        <f>VLOOKUP($A135,'5 A calc'!$A$2:$AR$203,42,FALSE)</f>
        <v>2.3028028856159892</v>
      </c>
      <c r="L135" s="28">
        <f t="shared" si="36"/>
        <v>10.212148341969165</v>
      </c>
      <c r="M135" s="28">
        <f t="shared" si="37"/>
        <v>1.0820621110124213</v>
      </c>
    </row>
    <row r="136" spans="1:13" x14ac:dyDescent="0.2">
      <c r="A136" s="97">
        <v>217</v>
      </c>
      <c r="C136" s="53">
        <f t="shared" si="35"/>
        <v>0</v>
      </c>
      <c r="D136" s="51">
        <f>VLOOKUP($A136,'5 A calc'!$A$2:$AR$203,4,FALSE)</f>
        <v>20</v>
      </c>
      <c r="E136" s="33">
        <f>VLOOKUP($A136,'5 A calc'!$A$2:$AR$203,13,FALSE)</f>
        <v>-0.15586998693088872</v>
      </c>
      <c r="F136" s="53">
        <f>VLOOKUP($A136,'5 A calc'!$A$2:$AR$203,14,FALSE)</f>
        <v>0.23590255675839156</v>
      </c>
      <c r="G136" s="33">
        <f>VLOOKUP($A136,'5 A calc'!$A$2:$AR$203,26,FALSE)*I136</f>
        <v>7.9986123171241832E-2</v>
      </c>
      <c r="H136" s="53">
        <f>VLOOKUP($A136,'5 A calc'!$A$2:$AR$203,40,FALSE)*J136</f>
        <v>1.6552845520808421E-2</v>
      </c>
      <c r="I136" s="56">
        <f>VLOOKUP($A136,'5 A calc'!$A$2:$AR$203,28,FALSE)</f>
        <v>2.519514931291416</v>
      </c>
      <c r="J136" s="49">
        <f>VLOOKUP($A136,'5 A calc'!$A$2:$AR$203,42,FALSE)</f>
        <v>2.1973980306336141</v>
      </c>
      <c r="L136" s="28">
        <f t="shared" si="36"/>
        <v>8.1097325271607144</v>
      </c>
      <c r="M136" s="28">
        <f t="shared" si="37"/>
        <v>0.56904491236461097</v>
      </c>
    </row>
    <row r="137" spans="1:13" x14ac:dyDescent="0.2">
      <c r="A137" s="97">
        <v>218</v>
      </c>
      <c r="C137" s="53">
        <f t="shared" si="35"/>
        <v>0</v>
      </c>
      <c r="D137" s="51">
        <f>VLOOKUP($A137,'5 A calc'!$A$2:$AR$203,4,FALSE)</f>
        <v>40</v>
      </c>
      <c r="E137" s="33">
        <f>VLOOKUP($A137,'5 A calc'!$A$2:$AR$203,13,FALSE)</f>
        <v>-0.13788745949748793</v>
      </c>
      <c r="F137" s="53">
        <f>VLOOKUP($A137,'5 A calc'!$A$2:$AR$203,14,FALSE)</f>
        <v>0.20532437774244733</v>
      </c>
      <c r="G137" s="33">
        <f>VLOOKUP($A137,'5 A calc'!$A$2:$AR$203,26,FALSE)*I137</f>
        <v>7.266736709379272E-2</v>
      </c>
      <c r="H137" s="53">
        <f>VLOOKUP($A137,'5 A calc'!$A$2:$AR$203,40,FALSE)*J137</f>
        <v>1.1524016809561282E-2</v>
      </c>
      <c r="I137" s="56">
        <f>VLOOKUP($A137,'5 A calc'!$A$2:$AR$203,28,FALSE)</f>
        <v>2.5329107987151054</v>
      </c>
      <c r="J137" s="49">
        <f>VLOOKUP($A137,'5 A calc'!$A$2:$AR$203,42,FALSE)</f>
        <v>2.0507131373132284</v>
      </c>
      <c r="L137" s="28">
        <f t="shared" si="36"/>
        <v>7.0585321654752544</v>
      </c>
      <c r="M137" s="28">
        <f t="shared" si="37"/>
        <v>0.39616651573540662</v>
      </c>
    </row>
    <row r="138" spans="1:13" x14ac:dyDescent="0.2">
      <c r="A138" s="97">
        <v>219</v>
      </c>
      <c r="C138" s="53">
        <f t="shared" si="35"/>
        <v>0</v>
      </c>
      <c r="D138" s="51">
        <f>VLOOKUP($A138,'5 A calc'!$A$2:$AR$203,4,FALSE)</f>
        <v>60</v>
      </c>
      <c r="E138" s="33">
        <f>VLOOKUP($A138,'5 A calc'!$A$2:$AR$203,13,FALSE)</f>
        <v>-0.12989576659663293</v>
      </c>
      <c r="F138" s="53">
        <f>VLOOKUP($A138,'5 A calc'!$A$2:$AR$203,14,FALSE)</f>
        <v>0.19076258148681702</v>
      </c>
      <c r="G138" s="33">
        <f>VLOOKUP($A138,'5 A calc'!$A$2:$AR$203,26,FALSE)*I138</f>
        <v>6.9102335831232237E-2</v>
      </c>
      <c r="H138" s="53">
        <f>VLOOKUP($A138,'5 A calc'!$A$2:$AR$203,40,FALSE)*J138</f>
        <v>1.1279331987302525E-2</v>
      </c>
      <c r="I138" s="56">
        <f>VLOOKUP($A138,'5 A calc'!$A$2:$AR$203,28,FALSE)</f>
        <v>2.5306947012142627</v>
      </c>
      <c r="J138" s="49">
        <f>VLOOKUP($A138,'5 A calc'!$A$2:$AR$203,42,FALSE)</f>
        <v>2.0578806627841613</v>
      </c>
      <c r="L138" s="28">
        <f t="shared" si="36"/>
        <v>6.5579344849290404</v>
      </c>
      <c r="M138" s="28">
        <f t="shared" si="37"/>
        <v>0.38775487115960527</v>
      </c>
    </row>
    <row r="139" spans="1:13" x14ac:dyDescent="0.2">
      <c r="A139" s="97">
        <v>220</v>
      </c>
      <c r="C139" s="53">
        <f t="shared" si="35"/>
        <v>0</v>
      </c>
      <c r="D139" s="51">
        <f>VLOOKUP($A139,'5 A calc'!$A$2:$AR$203,4,FALSE)</f>
        <v>100</v>
      </c>
      <c r="E139" s="33">
        <f>VLOOKUP($A139,'5 A calc'!$A$2:$AR$203,13,FALSE)</f>
        <v>-0.12090653758511721</v>
      </c>
      <c r="F139" s="53">
        <f>VLOOKUP($A139,'5 A calc'!$A$2:$AR$203,14,FALSE)</f>
        <v>0.17620278437842499</v>
      </c>
      <c r="G139" s="33">
        <f>VLOOKUP($A139,'5 A calc'!$A$2:$AR$203,26,FALSE)*I139</f>
        <v>6.2617001705007919E-2</v>
      </c>
      <c r="H139" s="53">
        <f>VLOOKUP($A139,'5 A calc'!$A$2:$AR$203,40,FALSE)*J139</f>
        <v>1.0025278492434441E-2</v>
      </c>
      <c r="I139" s="56">
        <f>VLOOKUP($A139,'5 A calc'!$A$2:$AR$203,28,FALSE)</f>
        <v>2.5285273276990181</v>
      </c>
      <c r="J139" s="49">
        <f>VLOOKUP($A139,'5 A calc'!$A$2:$AR$203,42,FALSE)</f>
        <v>2.0597971635063952</v>
      </c>
      <c r="L139" s="28">
        <f t="shared" si="36"/>
        <v>6.0574055300024554</v>
      </c>
      <c r="M139" s="28">
        <f t="shared" si="37"/>
        <v>0.34464368763586206</v>
      </c>
    </row>
    <row r="140" spans="1:13" x14ac:dyDescent="0.2">
      <c r="A140" s="97">
        <v>221</v>
      </c>
      <c r="C140" s="53">
        <f t="shared" si="35"/>
        <v>0</v>
      </c>
      <c r="D140" s="51">
        <f>VLOOKUP($A140,'5 A calc'!$A$2:$AR$203,4,FALSE)</f>
        <v>120</v>
      </c>
      <c r="E140" s="33">
        <f>VLOOKUP($A140,'5 A calc'!$A$2:$AR$203,13,FALSE)</f>
        <v>-0.11890947147813105</v>
      </c>
      <c r="F140" s="53">
        <f>VLOOKUP($A140,'5 A calc'!$A$2:$AR$203,14,FALSE)</f>
        <v>0.17183453218809797</v>
      </c>
      <c r="G140" s="33">
        <f>VLOOKUP($A140,'5 A calc'!$A$2:$AR$203,26,FALSE)*I140</f>
        <v>5.9335957441322466E-2</v>
      </c>
      <c r="H140" s="53">
        <f>VLOOKUP($A140,'5 A calc'!$A$2:$AR$203,40,FALSE)*J140</f>
        <v>9.164911173136666E-3</v>
      </c>
      <c r="I140" s="56">
        <f>VLOOKUP($A140,'5 A calc'!$A$2:$AR$203,28,FALSE)</f>
        <v>2.5354032997058686</v>
      </c>
      <c r="J140" s="49">
        <f>VLOOKUP($A140,'5 A calc'!$A$2:$AR$203,42,FALSE)</f>
        <v>2.1035425149702998</v>
      </c>
      <c r="L140" s="28">
        <f t="shared" si="36"/>
        <v>5.9072360813897449</v>
      </c>
      <c r="M140" s="28">
        <f t="shared" si="37"/>
        <v>0.31506643789981387</v>
      </c>
    </row>
    <row r="141" spans="1:13" x14ac:dyDescent="0.2">
      <c r="C141" s="120"/>
      <c r="D141" s="52"/>
      <c r="E141" s="38"/>
      <c r="F141" s="52"/>
      <c r="G141" s="38"/>
      <c r="H141" s="52"/>
      <c r="I141" s="52"/>
      <c r="J141" s="40"/>
    </row>
    <row r="143" spans="1:13" ht="21.2" customHeight="1" x14ac:dyDescent="0.2">
      <c r="A143" s="97">
        <v>223</v>
      </c>
      <c r="C143" s="60" t="str">
        <f>"Table "&amp;L143&amp;". Ratio "&amp;LEFT(M143,FIND("/",M143)-1)&amp;":5."&amp;"  Secondary: "&amp;K143</f>
        <v>Table . Ratio 200:5.  Secondary: S1 - S2</v>
      </c>
      <c r="D143" s="18"/>
      <c r="E143" s="18"/>
      <c r="F143" s="18"/>
      <c r="G143" s="18"/>
      <c r="H143" s="10"/>
      <c r="I143" s="10"/>
      <c r="J143" s="11"/>
      <c r="K143" s="95" t="str">
        <f>VLOOKUP($A143+1,'5 A data'!$A$2:$AP$259,2,FALSE)</f>
        <v>S1 - S2</v>
      </c>
      <c r="L143" s="97"/>
      <c r="M143" s="95" t="str">
        <f>VLOOKUP($A143,'5 A calc'!$A$2:$AR$172,4,FALSE)</f>
        <v>200/5 Range, 1 turns @ 5VA burden, vs 120 AT, 200 range, 2 Stage CT</v>
      </c>
    </row>
    <row r="144" spans="1:13" ht="21.2" customHeight="1" x14ac:dyDescent="0.2">
      <c r="A144" s="68"/>
      <c r="C144" s="12"/>
      <c r="D144" s="13"/>
      <c r="E144" s="643" t="s">
        <v>19</v>
      </c>
      <c r="F144" s="644"/>
      <c r="G144" s="643" t="s">
        <v>20</v>
      </c>
      <c r="H144" s="644"/>
      <c r="I144" s="645" t="s">
        <v>8</v>
      </c>
      <c r="J144" s="646"/>
      <c r="L144" s="67"/>
    </row>
    <row r="145" spans="1:13" ht="51" x14ac:dyDescent="0.2">
      <c r="A145" s="68"/>
      <c r="C145" s="12" t="s">
        <v>169</v>
      </c>
      <c r="D145" s="54" t="s">
        <v>241</v>
      </c>
      <c r="E145" s="54" t="s">
        <v>294</v>
      </c>
      <c r="F145" s="13" t="s">
        <v>239</v>
      </c>
      <c r="G145" s="54" t="s">
        <v>294</v>
      </c>
      <c r="H145" s="13" t="s">
        <v>239</v>
      </c>
      <c r="I145" s="54" t="s">
        <v>158</v>
      </c>
      <c r="J145" s="13" t="s">
        <v>159</v>
      </c>
      <c r="L145" s="498" t="s">
        <v>59</v>
      </c>
      <c r="M145" s="498" t="s">
        <v>478</v>
      </c>
    </row>
    <row r="146" spans="1:13" x14ac:dyDescent="0.2">
      <c r="A146" s="97">
        <v>225</v>
      </c>
      <c r="C146" s="53">
        <f t="shared" ref="C146:C152" si="38">high_burden</f>
        <v>0.2</v>
      </c>
      <c r="D146" s="57">
        <f>VLOOKUP($A146,'5 A calc'!$A$2:$AR$203,4,FALSE)</f>
        <v>5</v>
      </c>
      <c r="E146" s="33">
        <f>VLOOKUP($A146,'5 A calc'!$A$2:$AR$203,13,FALSE)</f>
        <v>-0.68153155559925072</v>
      </c>
      <c r="F146" s="53">
        <f>VLOOKUP($A146,'5 A calc'!$A$2:$AR$203,14,FALSE)</f>
        <v>1.04844028513235</v>
      </c>
      <c r="G146" s="33">
        <f>VLOOKUP($A146,'5 A calc'!$A$2:$AR$203,26,FALSE)*I146</f>
        <v>6.3258297721716886E-2</v>
      </c>
      <c r="H146" s="53">
        <f>VLOOKUP($A146,'5 A calc'!$A$2:$AR$203,40,FALSE)*J146</f>
        <v>0.10363034642581113</v>
      </c>
      <c r="I146" s="56">
        <f>VLOOKUP($A146,'5 A calc'!$A$2:$AR$203,28,FALSE)</f>
        <v>2.2271465420458383</v>
      </c>
      <c r="J146" s="49">
        <f>VLOOKUP($A146,'5 A calc'!$A$2:$AR$203,42,FALSE)</f>
        <v>2.1717979413103645</v>
      </c>
      <c r="L146" s="4">
        <f t="shared" ref="L146:L152" si="39">DEGREES(F146/100)*60</f>
        <v>36.042722045745776</v>
      </c>
      <c r="M146" s="4">
        <f>DEGREES(H146/100)*60</f>
        <v>3.5625488878065679</v>
      </c>
    </row>
    <row r="147" spans="1:13" x14ac:dyDescent="0.2">
      <c r="A147" s="97">
        <v>226</v>
      </c>
      <c r="C147" s="53">
        <f t="shared" si="38"/>
        <v>0.2</v>
      </c>
      <c r="D147" s="57">
        <f>VLOOKUP($A147,'5 A calc'!$A$2:$AR$203,4,FALSE)</f>
        <v>10</v>
      </c>
      <c r="E147" s="33">
        <f>VLOOKUP($A147,'5 A calc'!$A$2:$AR$203,13,FALSE)</f>
        <v>-0.60358303746751041</v>
      </c>
      <c r="F147" s="53">
        <f>VLOOKUP($A147,'5 A calc'!$A$2:$AR$203,14,FALSE)</f>
        <v>0.89117285398779111</v>
      </c>
      <c r="G147" s="33">
        <f>VLOOKUP($A147,'5 A calc'!$A$2:$AR$203,26,FALSE)*I147</f>
        <v>5.5794168228522151E-2</v>
      </c>
      <c r="H147" s="53">
        <f>VLOOKUP($A147,'5 A calc'!$A$2:$AR$203,40,FALSE)*J147</f>
        <v>8.4299438401608834E-2</v>
      </c>
      <c r="I147" s="56">
        <f>VLOOKUP($A147,'5 A calc'!$A$2:$AR$203,28,FALSE)</f>
        <v>2.2811856103482393</v>
      </c>
      <c r="J147" s="49">
        <f>VLOOKUP($A147,'5 A calc'!$A$2:$AR$203,42,FALSE)</f>
        <v>2.2092288540694742</v>
      </c>
      <c r="L147" s="4">
        <f t="shared" si="39"/>
        <v>30.636266010077268</v>
      </c>
      <c r="M147" s="4">
        <f t="shared" ref="M147:M152" si="40">DEGREES(H147/100)*60</f>
        <v>2.8980012214411466</v>
      </c>
    </row>
    <row r="148" spans="1:13" x14ac:dyDescent="0.2">
      <c r="A148" s="97">
        <v>227</v>
      </c>
      <c r="C148" s="53">
        <f t="shared" si="38"/>
        <v>0.2</v>
      </c>
      <c r="D148" s="57">
        <f>VLOOKUP($A148,'5 A calc'!$A$2:$AR$203,4,FALSE)</f>
        <v>20</v>
      </c>
      <c r="E148" s="33">
        <f>VLOOKUP($A148,'5 A calc'!$A$2:$AR$203,13,FALSE)</f>
        <v>-0.54562315554886331</v>
      </c>
      <c r="F148" s="53">
        <f>VLOOKUP($A148,'5 A calc'!$A$2:$AR$203,14,FALSE)</f>
        <v>0.78050659861333072</v>
      </c>
      <c r="G148" s="33">
        <f>VLOOKUP($A148,'5 A calc'!$A$2:$AR$203,26,FALSE)*I148</f>
        <v>5.0614001427577819E-2</v>
      </c>
      <c r="H148" s="53">
        <f>VLOOKUP($A148,'5 A calc'!$A$2:$AR$203,40,FALSE)*J148</f>
        <v>7.2745974643652803E-2</v>
      </c>
      <c r="I148" s="56">
        <f>VLOOKUP($A148,'5 A calc'!$A$2:$AR$203,28,FALSE)</f>
        <v>2.3306487667528177</v>
      </c>
      <c r="J148" s="49">
        <f>VLOOKUP($A148,'5 A calc'!$A$2:$AR$203,42,FALSE)</f>
        <v>2.2507093162717013</v>
      </c>
      <c r="L148" s="4">
        <f t="shared" si="39"/>
        <v>26.831840389593143</v>
      </c>
      <c r="M148" s="4">
        <f t="shared" si="40"/>
        <v>2.5008223941882046</v>
      </c>
    </row>
    <row r="149" spans="1:13" x14ac:dyDescent="0.2">
      <c r="A149" s="97">
        <v>228</v>
      </c>
      <c r="C149" s="53">
        <f t="shared" si="38"/>
        <v>0.2</v>
      </c>
      <c r="D149" s="57">
        <f>VLOOKUP($A149,'5 A calc'!$A$2:$AR$203,4,FALSE)</f>
        <v>40</v>
      </c>
      <c r="E149" s="33">
        <f>VLOOKUP($A149,'5 A calc'!$A$2:$AR$203,13,FALSE)</f>
        <v>-0.50165708354093086</v>
      </c>
      <c r="F149" s="53">
        <f>VLOOKUP($A149,'5 A calc'!$A$2:$AR$203,14,FALSE)</f>
        <v>0.70187512178665656</v>
      </c>
      <c r="G149" s="33">
        <f>VLOOKUP($A149,'5 A calc'!$A$2:$AR$203,26,FALSE)*I149</f>
        <v>4.6419742851051903E-2</v>
      </c>
      <c r="H149" s="53">
        <f>VLOOKUP($A149,'5 A calc'!$A$2:$AR$203,40,FALSE)*J149</f>
        <v>6.5713028538996035E-2</v>
      </c>
      <c r="I149" s="56">
        <f>VLOOKUP($A149,'5 A calc'!$A$2:$AR$203,28,FALSE)</f>
        <v>2.487758686971576</v>
      </c>
      <c r="J149" s="49">
        <f>VLOOKUP($A149,'5 A calc'!$A$2:$AR$203,42,FALSE)</f>
        <v>2.2606925234954747</v>
      </c>
      <c r="L149" s="4">
        <f t="shared" si="39"/>
        <v>24.128689334163646</v>
      </c>
      <c r="M149" s="4">
        <f t="shared" si="40"/>
        <v>2.2590475165843218</v>
      </c>
    </row>
    <row r="150" spans="1:13" x14ac:dyDescent="0.2">
      <c r="A150" s="97">
        <v>229</v>
      </c>
      <c r="C150" s="53">
        <f t="shared" si="38"/>
        <v>0.2</v>
      </c>
      <c r="D150" s="51">
        <f>VLOOKUP($A150,'5 A calc'!$A$2:$AR$203,4,FALSE)</f>
        <v>60</v>
      </c>
      <c r="E150" s="33">
        <f>VLOOKUP($A150,'5 A calc'!$A$2:$AR$203,13,FALSE)</f>
        <v>-0.49166665644203494</v>
      </c>
      <c r="F150" s="53">
        <f>VLOOKUP($A150,'5 A calc'!$A$2:$AR$203,14,FALSE)</f>
        <v>0.63780386718057736</v>
      </c>
      <c r="G150" s="33">
        <f>VLOOKUP($A150,'5 A calc'!$A$2:$AR$203,26,FALSE)*I150</f>
        <v>4.6195051393759887E-2</v>
      </c>
      <c r="H150" s="53">
        <f>VLOOKUP($A150,'5 A calc'!$A$2:$AR$203,40,FALSE)*J150</f>
        <v>7.0017248176967667E-2</v>
      </c>
      <c r="I150" s="56">
        <f>VLOOKUP($A150,'5 A calc'!$A$2:$AR$203,28,FALSE)</f>
        <v>2.4356429277164469</v>
      </c>
      <c r="J150" s="49">
        <f>VLOOKUP($A150,'5 A calc'!$A$2:$AR$203,42,FALSE)</f>
        <v>2.1857723863272209</v>
      </c>
      <c r="L150" s="4">
        <f t="shared" si="39"/>
        <v>21.926081847941759</v>
      </c>
      <c r="M150" s="4">
        <f t="shared" si="40"/>
        <v>2.4070156881961826</v>
      </c>
    </row>
    <row r="151" spans="1:13" x14ac:dyDescent="0.2">
      <c r="A151" s="97">
        <v>230</v>
      </c>
      <c r="C151" s="53">
        <f t="shared" si="38"/>
        <v>0.2</v>
      </c>
      <c r="D151" s="51">
        <f>VLOOKUP($A151,'5 A calc'!$A$2:$AR$203,4,FALSE)</f>
        <v>100</v>
      </c>
      <c r="E151" s="33">
        <f>VLOOKUP($A151,'5 A calc'!$A$2:$AR$203,13,FALSE)</f>
        <v>-0.46968565514325344</v>
      </c>
      <c r="F151" s="53">
        <f>VLOOKUP($A151,'5 A calc'!$A$2:$AR$203,14,FALSE)</f>
        <v>0.53004979553016363</v>
      </c>
      <c r="G151" s="33">
        <f>VLOOKUP($A151,'5 A calc'!$A$2:$AR$203,26,FALSE)*I151</f>
        <v>4.4378706411777283E-2</v>
      </c>
      <c r="H151" s="53">
        <f>VLOOKUP($A151,'5 A calc'!$A$2:$AR$203,40,FALSE)*J151</f>
        <v>4.7685951033497286E-2</v>
      </c>
      <c r="I151" s="56">
        <f>VLOOKUP($A151,'5 A calc'!$A$2:$AR$203,28,FALSE)</f>
        <v>2.4697904905710919</v>
      </c>
      <c r="J151" s="49">
        <f>VLOOKUP($A151,'5 A calc'!$A$2:$AR$203,42,FALSE)</f>
        <v>2.2223307082587431</v>
      </c>
      <c r="L151" s="4">
        <f t="shared" si="39"/>
        <v>18.22176972939037</v>
      </c>
      <c r="M151" s="4">
        <f t="shared" si="40"/>
        <v>1.6393222417721405</v>
      </c>
    </row>
    <row r="152" spans="1:13" x14ac:dyDescent="0.2">
      <c r="A152" s="97">
        <v>231</v>
      </c>
      <c r="C152" s="53">
        <f t="shared" si="38"/>
        <v>0.2</v>
      </c>
      <c r="D152" s="51">
        <f>VLOOKUP($A152,'5 A calc'!$A$2:$AR$203,4,FALSE)</f>
        <v>120</v>
      </c>
      <c r="E152" s="33">
        <f>VLOOKUP($A152,'5 A calc'!$A$2:$AR$203,13,FALSE)</f>
        <v>-0.45869428514508326</v>
      </c>
      <c r="F152" s="53">
        <f>VLOOKUP($A152,'5 A calc'!$A$2:$AR$203,14,FALSE)</f>
        <v>0.483452887687983</v>
      </c>
      <c r="G152" s="33">
        <f>VLOOKUP($A152,'5 A calc'!$A$2:$AR$203,26,FALSE)*I152</f>
        <v>4.339096380413375E-2</v>
      </c>
      <c r="H152" s="53">
        <f>VLOOKUP($A152,'5 A calc'!$A$2:$AR$203,40,FALSE)*J152</f>
        <v>4.0344781672656878E-2</v>
      </c>
      <c r="I152" s="56">
        <f>VLOOKUP($A152,'5 A calc'!$A$2:$AR$203,28,FALSE)</f>
        <v>2.5008985897881777</v>
      </c>
      <c r="J152" s="49">
        <f>VLOOKUP($A152,'5 A calc'!$A$2:$AR$203,42,FALSE)</f>
        <v>2.3351004138296227</v>
      </c>
      <c r="L152" s="4">
        <f t="shared" si="39"/>
        <v>16.619886034760178</v>
      </c>
      <c r="M152" s="4">
        <f t="shared" si="40"/>
        <v>1.3869514291319958</v>
      </c>
    </row>
    <row r="153" spans="1:13" x14ac:dyDescent="0.2">
      <c r="C153" s="119"/>
      <c r="D153" s="113"/>
      <c r="E153" s="114"/>
      <c r="F153" s="115"/>
      <c r="G153" s="114"/>
      <c r="H153" s="115"/>
      <c r="I153" s="116"/>
      <c r="J153" s="117"/>
      <c r="L153" s="4"/>
      <c r="M153" s="4"/>
    </row>
    <row r="154" spans="1:13" x14ac:dyDescent="0.2">
      <c r="A154" s="97">
        <v>233</v>
      </c>
      <c r="C154" s="53">
        <f t="shared" ref="C154:C160" si="41">low__burden</f>
        <v>0</v>
      </c>
      <c r="D154" s="51">
        <f>VLOOKUP($A154,'5 A calc'!$A$2:$AR$203,4,FALSE)</f>
        <v>5</v>
      </c>
      <c r="E154" s="33">
        <f>VLOOKUP($A154,'5 A calc'!$A$2:$AR$203,13,FALSE)</f>
        <v>-0.22282205714886522</v>
      </c>
      <c r="F154" s="53">
        <f>VLOOKUP($A154,'5 A calc'!$A$2:$AR$203,14,FALSE)</f>
        <v>0.38734340009988372</v>
      </c>
      <c r="G154" s="33">
        <f>VLOOKUP($A154,'5 A calc'!$A$2:$AR$203,26,FALSE)*I154</f>
        <v>5.8779101784604604E-2</v>
      </c>
      <c r="H154" s="53">
        <f>VLOOKUP($A154,'5 A calc'!$A$2:$AR$203,40,FALSE)*J154</f>
        <v>8.8819651118355006E-2</v>
      </c>
      <c r="I154" s="56">
        <f>VLOOKUP($A154,'5 A calc'!$A$2:$AR$203,28,FALSE)</f>
        <v>2.3524681985033373</v>
      </c>
      <c r="J154" s="49">
        <f>VLOOKUP($A154,'5 A calc'!$A$2:$AR$203,42,FALSE)</f>
        <v>2.230139903410453</v>
      </c>
      <c r="L154" s="28">
        <f t="shared" ref="L154:L160" si="42">DEGREES(F154/100)*60</f>
        <v>13.315885228782339</v>
      </c>
      <c r="M154" s="28">
        <f t="shared" ref="M154:M160" si="43">DEGREES(H154/100)*60</f>
        <v>3.0533946881436989</v>
      </c>
    </row>
    <row r="155" spans="1:13" x14ac:dyDescent="0.2">
      <c r="A155" s="97">
        <v>234</v>
      </c>
      <c r="C155" s="53">
        <f t="shared" si="41"/>
        <v>0</v>
      </c>
      <c r="D155" s="51">
        <f>VLOOKUP($A155,'5 A calc'!$A$2:$AR$203,4,FALSE)</f>
        <v>10</v>
      </c>
      <c r="E155" s="33">
        <f>VLOOKUP($A155,'5 A calc'!$A$2:$AR$203,13,FALSE)</f>
        <v>-0.18085075458186106</v>
      </c>
      <c r="F155" s="53">
        <f>VLOOKUP($A155,'5 A calc'!$A$2:$AR$203,14,FALSE)</f>
        <v>0.29414703270296477</v>
      </c>
      <c r="G155" s="33">
        <f>VLOOKUP($A155,'5 A calc'!$A$2:$AR$203,26,FALSE)*I155</f>
        <v>5.3688010593778028E-2</v>
      </c>
      <c r="H155" s="53">
        <f>VLOOKUP($A155,'5 A calc'!$A$2:$AR$203,40,FALSE)*J155</f>
        <v>7.6453701343916727E-2</v>
      </c>
      <c r="I155" s="56">
        <f>VLOOKUP($A155,'5 A calc'!$A$2:$AR$203,28,FALSE)</f>
        <v>2.4390893865472276</v>
      </c>
      <c r="J155" s="49">
        <f>VLOOKUP($A155,'5 A calc'!$A$2:$AR$203,42,FALSE)</f>
        <v>2.3521399907876583</v>
      </c>
      <c r="L155" s="28">
        <f t="shared" si="42"/>
        <v>10.11203011810589</v>
      </c>
      <c r="M155" s="28">
        <f t="shared" si="43"/>
        <v>2.628284649096059</v>
      </c>
    </row>
    <row r="156" spans="1:13" x14ac:dyDescent="0.2">
      <c r="A156" s="97">
        <v>235</v>
      </c>
      <c r="C156" s="53">
        <f t="shared" si="41"/>
        <v>0</v>
      </c>
      <c r="D156" s="51">
        <f>VLOOKUP($A156,'5 A calc'!$A$2:$AR$203,4,FALSE)</f>
        <v>20</v>
      </c>
      <c r="E156" s="33">
        <f>VLOOKUP($A156,'5 A calc'!$A$2:$AR$203,13,FALSE)</f>
        <v>-0.15387125273284782</v>
      </c>
      <c r="F156" s="53">
        <f>VLOOKUP($A156,'5 A calc'!$A$2:$AR$203,14,FALSE)</f>
        <v>0.23590255675839156</v>
      </c>
      <c r="G156" s="33">
        <f>VLOOKUP($A156,'5 A calc'!$A$2:$AR$203,26,FALSE)*I156</f>
        <v>4.9725362156786877E-2</v>
      </c>
      <c r="H156" s="53">
        <f>VLOOKUP($A156,'5 A calc'!$A$2:$AR$203,40,FALSE)*J156</f>
        <v>6.9014828021235541E-2</v>
      </c>
      <c r="I156" s="56">
        <f>VLOOKUP($A156,'5 A calc'!$A$2:$AR$203,28,FALSE)</f>
        <v>2.4870485981795785</v>
      </c>
      <c r="J156" s="49">
        <f>VLOOKUP($A156,'5 A calc'!$A$2:$AR$203,42,FALSE)</f>
        <v>2.4471532970919752</v>
      </c>
      <c r="L156" s="28">
        <f t="shared" si="42"/>
        <v>8.1097325271607144</v>
      </c>
      <c r="M156" s="28">
        <f t="shared" si="43"/>
        <v>2.3725550216628042</v>
      </c>
    </row>
    <row r="157" spans="1:13" x14ac:dyDescent="0.2">
      <c r="A157" s="97">
        <v>236</v>
      </c>
      <c r="C157" s="53">
        <f t="shared" si="41"/>
        <v>0</v>
      </c>
      <c r="D157" s="51">
        <f>VLOOKUP($A157,'5 A calc'!$A$2:$AR$203,4,FALSE)</f>
        <v>40</v>
      </c>
      <c r="E157" s="33">
        <f>VLOOKUP($A157,'5 A calc'!$A$2:$AR$203,13,FALSE)</f>
        <v>-0.13588872529944704</v>
      </c>
      <c r="F157" s="53">
        <f>VLOOKUP($A157,'5 A calc'!$A$2:$AR$203,14,FALSE)</f>
        <v>0.20386821720272824</v>
      </c>
      <c r="G157" s="33">
        <f>VLOOKUP($A157,'5 A calc'!$A$2:$AR$203,26,FALSE)*I157</f>
        <v>4.6468221588148319E-2</v>
      </c>
      <c r="H157" s="53">
        <f>VLOOKUP($A157,'5 A calc'!$A$2:$AR$203,40,FALSE)*J157</f>
        <v>6.3075851757177726E-2</v>
      </c>
      <c r="I157" s="56">
        <f>VLOOKUP($A157,'5 A calc'!$A$2:$AR$203,28,FALSE)</f>
        <v>2.5201095462408629</v>
      </c>
      <c r="J157" s="49">
        <f>VLOOKUP($A157,'5 A calc'!$A$2:$AR$203,42,FALSE)</f>
        <v>2.4782353790853668</v>
      </c>
      <c r="L157" s="28">
        <f t="shared" si="42"/>
        <v>7.008473053543617</v>
      </c>
      <c r="M157" s="28">
        <f t="shared" si="43"/>
        <v>2.1683880569274727</v>
      </c>
    </row>
    <row r="158" spans="1:13" x14ac:dyDescent="0.2">
      <c r="A158" s="97">
        <v>237</v>
      </c>
      <c r="C158" s="53">
        <f t="shared" si="41"/>
        <v>0</v>
      </c>
      <c r="D158" s="51">
        <f>VLOOKUP($A158,'5 A calc'!$A$2:$AR$203,4,FALSE)</f>
        <v>60</v>
      </c>
      <c r="E158" s="33">
        <f>VLOOKUP($A158,'5 A calc'!$A$2:$AR$203,13,FALSE)</f>
        <v>-0.12789703239859201</v>
      </c>
      <c r="F158" s="53">
        <f>VLOOKUP($A158,'5 A calc'!$A$2:$AR$203,14,FALSE)</f>
        <v>0.1893064209470979</v>
      </c>
      <c r="G158" s="33">
        <f>VLOOKUP($A158,'5 A calc'!$A$2:$AR$203,26,FALSE)*I158</f>
        <v>4.6214120413157561E-2</v>
      </c>
      <c r="H158" s="53">
        <f>VLOOKUP($A158,'5 A calc'!$A$2:$AR$203,40,FALSE)*J158</f>
        <v>5.6799790861602709E-2</v>
      </c>
      <c r="I158" s="56">
        <f>VLOOKUP($A158,'5 A calc'!$A$2:$AR$203,28,FALSE)</f>
        <v>2.5200178652114444</v>
      </c>
      <c r="J158" s="49">
        <f>VLOOKUP($A158,'5 A calc'!$A$2:$AR$203,42,FALSE)</f>
        <v>2.465303592641177</v>
      </c>
      <c r="L158" s="28">
        <f t="shared" si="42"/>
        <v>6.5078753729974022</v>
      </c>
      <c r="M158" s="28">
        <f t="shared" si="43"/>
        <v>1.9526329761573464</v>
      </c>
    </row>
    <row r="159" spans="1:13" x14ac:dyDescent="0.2">
      <c r="A159" s="97">
        <v>238</v>
      </c>
      <c r="C159" s="53">
        <f t="shared" si="41"/>
        <v>0</v>
      </c>
      <c r="D159" s="51">
        <f>VLOOKUP($A159,'5 A calc'!$A$2:$AR$203,4,FALSE)</f>
        <v>100</v>
      </c>
      <c r="E159" s="33">
        <f>VLOOKUP($A159,'5 A calc'!$A$2:$AR$203,13,FALSE)</f>
        <v>-0.11990717048609677</v>
      </c>
      <c r="F159" s="53">
        <f>VLOOKUP($A159,'5 A calc'!$A$2:$AR$203,14,FALSE)</f>
        <v>0.17474662383870593</v>
      </c>
      <c r="G159" s="33">
        <f>VLOOKUP($A159,'5 A calc'!$A$2:$AR$203,26,FALSE)*I159</f>
        <v>4.4426556104698992E-2</v>
      </c>
      <c r="H159" s="53">
        <f>VLOOKUP($A159,'5 A calc'!$A$2:$AR$203,40,FALSE)*J159</f>
        <v>4.5000796276145894E-2</v>
      </c>
      <c r="I159" s="56">
        <f>VLOOKUP($A159,'5 A calc'!$A$2:$AR$203,28,FALSE)</f>
        <v>2.5147952261146971</v>
      </c>
      <c r="J159" s="49">
        <f>VLOOKUP($A159,'5 A calc'!$A$2:$AR$203,42,FALSE)</f>
        <v>2.4520913449814294</v>
      </c>
      <c r="L159" s="28">
        <f t="shared" si="42"/>
        <v>6.007346418070818</v>
      </c>
      <c r="M159" s="28">
        <f t="shared" si="43"/>
        <v>1.5470134208107147</v>
      </c>
    </row>
    <row r="160" spans="1:13" x14ac:dyDescent="0.2">
      <c r="A160" s="97">
        <v>239</v>
      </c>
      <c r="C160" s="53">
        <f t="shared" si="41"/>
        <v>0</v>
      </c>
      <c r="D160" s="51">
        <f>VLOOKUP($A160,'5 A calc'!$A$2:$AR$203,4,FALSE)</f>
        <v>120</v>
      </c>
      <c r="E160" s="33">
        <f>VLOOKUP($A160,'5 A calc'!$A$2:$AR$203,13,FALSE)</f>
        <v>-0.11691073728009016</v>
      </c>
      <c r="F160" s="53">
        <f>VLOOKUP($A160,'5 A calc'!$A$2:$AR$203,14,FALSE)</f>
        <v>0.16892221110865976</v>
      </c>
      <c r="G160" s="33">
        <f>VLOOKUP($A160,'5 A calc'!$A$2:$AR$203,26,FALSE)*I160</f>
        <v>4.3440828010031456E-2</v>
      </c>
      <c r="H160" s="53">
        <f>VLOOKUP($A160,'5 A calc'!$A$2:$AR$203,40,FALSE)*J160</f>
        <v>3.9840178793490895E-2</v>
      </c>
      <c r="I160" s="56">
        <f>VLOOKUP($A160,'5 A calc'!$A$2:$AR$203,28,FALSE)</f>
        <v>2.5297426104416698</v>
      </c>
      <c r="J160" s="49">
        <f>VLOOKUP($A160,'5 A calc'!$A$2:$AR$203,42,FALSE)</f>
        <v>2.4663002623576085</v>
      </c>
      <c r="L160" s="28">
        <f t="shared" si="42"/>
        <v>5.8071178575264693</v>
      </c>
      <c r="M160" s="28">
        <f t="shared" si="43"/>
        <v>1.3696044599481794</v>
      </c>
    </row>
    <row r="161" spans="1:13" x14ac:dyDescent="0.2">
      <c r="C161" s="39"/>
      <c r="D161" s="52"/>
      <c r="E161" s="38"/>
      <c r="F161" s="52"/>
      <c r="G161" s="38"/>
      <c r="H161" s="52"/>
      <c r="I161" s="52"/>
      <c r="J161" s="40"/>
    </row>
    <row r="163" spans="1:13" ht="21.2" customHeight="1" x14ac:dyDescent="0.2">
      <c r="A163" s="97">
        <v>259</v>
      </c>
      <c r="C163" s="60" t="str">
        <f>"Table "&amp;L163&amp;". Ratio "&amp;LEFT(M163,FIND("/",M163)-1)&amp;":5."&amp;"  Secondary: "&amp;K163</f>
        <v>Table . Ratio 200:5.  Secondary: S1 - S2</v>
      </c>
      <c r="D163" s="18"/>
      <c r="E163" s="18"/>
      <c r="F163" s="18"/>
      <c r="G163" s="18"/>
      <c r="H163" s="10"/>
      <c r="I163" s="10"/>
      <c r="J163" s="11"/>
      <c r="K163" s="95" t="str">
        <f>VLOOKUP($A163+1,'5 A data'!$A$2:$AP$280,2,FALSE)</f>
        <v>S1 - S2</v>
      </c>
      <c r="L163" s="97"/>
      <c r="M163" s="95" t="str">
        <f>VLOOKUP($A163,'5 A calc'!$A$2:$AR$172,4,FALSE)</f>
        <v>200/5 Range, 1 turns @ 5VA burden, vs 120 AT, 200 range, 2 Stage CT</v>
      </c>
    </row>
    <row r="164" spans="1:13" ht="21.2" customHeight="1" x14ac:dyDescent="0.2">
      <c r="A164" s="68"/>
      <c r="C164" s="12"/>
      <c r="D164" s="13"/>
      <c r="E164" s="643" t="s">
        <v>19</v>
      </c>
      <c r="F164" s="644"/>
      <c r="G164" s="643" t="s">
        <v>20</v>
      </c>
      <c r="H164" s="644"/>
      <c r="I164" s="645" t="s">
        <v>8</v>
      </c>
      <c r="J164" s="646"/>
      <c r="L164" s="67"/>
    </row>
    <row r="165" spans="1:13" ht="51" x14ac:dyDescent="0.2">
      <c r="A165" s="68"/>
      <c r="C165" s="12" t="s">
        <v>169</v>
      </c>
      <c r="D165" s="54" t="s">
        <v>241</v>
      </c>
      <c r="E165" s="54" t="s">
        <v>294</v>
      </c>
      <c r="F165" s="13" t="s">
        <v>239</v>
      </c>
      <c r="G165" s="54" t="s">
        <v>294</v>
      </c>
      <c r="H165" s="13" t="s">
        <v>239</v>
      </c>
      <c r="I165" s="54" t="s">
        <v>158</v>
      </c>
      <c r="J165" s="13" t="s">
        <v>159</v>
      </c>
      <c r="L165" s="498" t="s">
        <v>59</v>
      </c>
      <c r="M165" s="498" t="s">
        <v>478</v>
      </c>
    </row>
    <row r="166" spans="1:13" x14ac:dyDescent="0.2">
      <c r="A166" s="97">
        <v>261</v>
      </c>
      <c r="C166" s="53">
        <f t="shared" ref="C166:C172" si="44">high_burden</f>
        <v>0.2</v>
      </c>
      <c r="D166" s="57">
        <f>VLOOKUP($A166,'5 A calc'!$A$2:$AR$203,4,FALSE)</f>
        <v>5</v>
      </c>
      <c r="E166" s="33">
        <f>VLOOKUP($A166,'5 A calc'!$A$2:$AR$203,13,FALSE)</f>
        <v>-0.67353661880708715</v>
      </c>
      <c r="F166" s="53">
        <f>VLOOKUP($A166,'5 A calc'!$A$2:$AR$203,14,FALSE)</f>
        <v>1.0193170743379685</v>
      </c>
      <c r="G166" s="33">
        <f>VLOOKUP($A166,'5 A calc'!$A$2:$AR$203,26,FALSE)*I166</f>
        <v>6.1578944371777779E-2</v>
      </c>
      <c r="H166" s="53">
        <f>VLOOKUP($A166,'5 A calc'!$A$2:$AR$203,40,FALSE)*J166</f>
        <v>9.2833778693040533E-2</v>
      </c>
      <c r="I166" s="56">
        <f>VLOOKUP($A166,'5 A calc'!$A$2:$AR$203,28,FALSE)</f>
        <v>2.2570458237911399</v>
      </c>
      <c r="J166" s="49">
        <f>VLOOKUP($A166,'5 A calc'!$A$2:$AR$203,42,FALSE)</f>
        <v>2.176223488422671</v>
      </c>
      <c r="L166" s="4">
        <f t="shared" ref="L166:L172" si="45">DEGREES(F166/100)*60</f>
        <v>35.041539807113033</v>
      </c>
      <c r="M166" s="4">
        <f>DEGREES(H166/100)*60</f>
        <v>3.1913902292176379</v>
      </c>
    </row>
    <row r="167" spans="1:13" x14ac:dyDescent="0.2">
      <c r="A167" s="97">
        <v>262</v>
      </c>
      <c r="C167" s="53">
        <f t="shared" si="44"/>
        <v>0.2</v>
      </c>
      <c r="D167" s="57">
        <f>VLOOKUP($A167,'5 A calc'!$A$2:$AR$203,4,FALSE)</f>
        <v>10</v>
      </c>
      <c r="E167" s="33">
        <f>VLOOKUP($A167,'5 A calc'!$A$2:$AR$203,13,FALSE)</f>
        <v>-0.60758050586359225</v>
      </c>
      <c r="F167" s="53">
        <f>VLOOKUP($A167,'5 A calc'!$A$2:$AR$203,14,FALSE)</f>
        <v>0.89699749614666746</v>
      </c>
      <c r="G167" s="33">
        <f>VLOOKUP($A167,'5 A calc'!$A$2:$AR$203,26,FALSE)*I167</f>
        <v>5.5777207149633426E-2</v>
      </c>
      <c r="H167" s="53">
        <f>VLOOKUP($A167,'5 A calc'!$A$2:$AR$203,40,FALSE)*J167</f>
        <v>8.401956167556543E-2</v>
      </c>
      <c r="I167" s="56">
        <f>VLOOKUP($A167,'5 A calc'!$A$2:$AR$203,28,FALSE)</f>
        <v>2.2985110844558623</v>
      </c>
      <c r="J167" s="49">
        <f>VLOOKUP($A167,'5 A calc'!$A$2:$AR$203,42,FALSE)</f>
        <v>2.2083295794659934</v>
      </c>
      <c r="L167" s="4">
        <f t="shared" si="45"/>
        <v>30.836502457803817</v>
      </c>
      <c r="M167" s="4">
        <f t="shared" ref="M167:M172" si="46">DEGREES(H167/100)*60</f>
        <v>2.8883797683294112</v>
      </c>
    </row>
    <row r="168" spans="1:13" x14ac:dyDescent="0.2">
      <c r="A168" s="97">
        <v>263</v>
      </c>
      <c r="C168" s="53">
        <f t="shared" si="44"/>
        <v>0.2</v>
      </c>
      <c r="D168" s="57">
        <f>VLOOKUP($A168,'5 A calc'!$A$2:$AR$203,4,FALSE)</f>
        <v>20</v>
      </c>
      <c r="E168" s="33">
        <f>VLOOKUP($A168,'5 A calc'!$A$2:$AR$203,13,FALSE)</f>
        <v>-0.55361809234102699</v>
      </c>
      <c r="F168" s="53">
        <f>VLOOKUP($A168,'5 A calc'!$A$2:$AR$203,14,FALSE)</f>
        <v>0.78633124077220728</v>
      </c>
      <c r="G168" s="33">
        <f>VLOOKUP($A168,'5 A calc'!$A$2:$AR$203,26,FALSE)*I168</f>
        <v>5.2036221467737412E-2</v>
      </c>
      <c r="H168" s="53">
        <f>VLOOKUP($A168,'5 A calc'!$A$2:$AR$203,40,FALSE)*J168</f>
        <v>7.287182852315699E-2</v>
      </c>
      <c r="I168" s="56">
        <f>VLOOKUP($A168,'5 A calc'!$A$2:$AR$203,28,FALSE)</f>
        <v>2.3171460633119882</v>
      </c>
      <c r="J168" s="49">
        <f>VLOOKUP($A168,'5 A calc'!$A$2:$AR$203,42,FALSE)</f>
        <v>2.2429522092833172</v>
      </c>
      <c r="L168" s="4">
        <f t="shared" si="45"/>
        <v>27.0320768373197</v>
      </c>
      <c r="M168" s="4">
        <f t="shared" si="46"/>
        <v>2.5051489318667675</v>
      </c>
    </row>
    <row r="169" spans="1:13" x14ac:dyDescent="0.2">
      <c r="A169" s="97">
        <v>264</v>
      </c>
      <c r="C169" s="53">
        <f t="shared" si="44"/>
        <v>0.2</v>
      </c>
      <c r="D169" s="57">
        <f>VLOOKUP($A169,'5 A calc'!$A$2:$AR$203,4,FALSE)</f>
        <v>40</v>
      </c>
      <c r="E169" s="33">
        <f>VLOOKUP($A169,'5 A calc'!$A$2:$AR$203,13,FALSE)</f>
        <v>-0.50565455193701259</v>
      </c>
      <c r="F169" s="53">
        <f>VLOOKUP($A169,'5 A calc'!$A$2:$AR$203,14,FALSE)</f>
        <v>0.70478744286609474</v>
      </c>
      <c r="G169" s="33">
        <f>VLOOKUP($A169,'5 A calc'!$A$2:$AR$203,26,FALSE)*I169</f>
        <v>4.7054939822825874E-2</v>
      </c>
      <c r="H169" s="53">
        <f>VLOOKUP($A169,'5 A calc'!$A$2:$AR$203,40,FALSE)*J169</f>
        <v>6.5714143497416277E-2</v>
      </c>
      <c r="I169" s="56">
        <f>VLOOKUP($A169,'5 A calc'!$A$2:$AR$203,28,FALSE)</f>
        <v>2.4888606852650161</v>
      </c>
      <c r="J169" s="49">
        <f>VLOOKUP($A169,'5 A calc'!$A$2:$AR$203,42,FALSE)</f>
        <v>2.2606371318035667</v>
      </c>
      <c r="L169" s="4">
        <f t="shared" si="45"/>
        <v>24.228807558026919</v>
      </c>
      <c r="M169" s="4">
        <f t="shared" si="46"/>
        <v>2.2590858460314096</v>
      </c>
    </row>
    <row r="170" spans="1:13" x14ac:dyDescent="0.2">
      <c r="A170" s="97">
        <v>265</v>
      </c>
      <c r="C170" s="53">
        <f t="shared" si="44"/>
        <v>0.2</v>
      </c>
      <c r="D170" s="51">
        <f>VLOOKUP($A170,'5 A calc'!$A$2:$AR$203,4,FALSE)</f>
        <v>60</v>
      </c>
      <c r="E170" s="33">
        <f>VLOOKUP($A170,'5 A calc'!$A$2:$AR$203,13,FALSE)</f>
        <v>-0.49566412483811673</v>
      </c>
      <c r="F170" s="53">
        <f>VLOOKUP($A170,'5 A calc'!$A$2:$AR$203,14,FALSE)</f>
        <v>0.64071618826001553</v>
      </c>
      <c r="G170" s="33">
        <f>VLOOKUP($A170,'5 A calc'!$A$2:$AR$203,26,FALSE)*I170</f>
        <v>4.6699475708505973E-2</v>
      </c>
      <c r="H170" s="53">
        <f>VLOOKUP($A170,'5 A calc'!$A$2:$AR$203,40,FALSE)*J170</f>
        <v>7.2705926007430935E-2</v>
      </c>
      <c r="I170" s="56">
        <f>VLOOKUP($A170,'5 A calc'!$A$2:$AR$203,28,FALSE)</f>
        <v>2.4373527293292905</v>
      </c>
      <c r="J170" s="49">
        <f>VLOOKUP($A170,'5 A calc'!$A$2:$AR$203,42,FALSE)</f>
        <v>2.1878209922704079</v>
      </c>
      <c r="L170" s="4">
        <f t="shared" si="45"/>
        <v>22.026200071805036</v>
      </c>
      <c r="M170" s="4">
        <f t="shared" si="46"/>
        <v>2.4994456234897444</v>
      </c>
    </row>
    <row r="171" spans="1:13" x14ac:dyDescent="0.2">
      <c r="A171" s="97">
        <v>266</v>
      </c>
      <c r="C171" s="53">
        <f t="shared" si="44"/>
        <v>0.2</v>
      </c>
      <c r="D171" s="51">
        <f>VLOOKUP($A171,'5 A calc'!$A$2:$AR$203,4,FALSE)</f>
        <v>100</v>
      </c>
      <c r="E171" s="33">
        <f>VLOOKUP($A171,'5 A calc'!$A$2:$AR$203,13,FALSE)</f>
        <v>-0.47368312353933523</v>
      </c>
      <c r="F171" s="53">
        <f>VLOOKUP($A171,'5 A calc'!$A$2:$AR$203,14,FALSE)</f>
        <v>0.52422515337128717</v>
      </c>
      <c r="G171" s="33">
        <f>VLOOKUP($A171,'5 A calc'!$A$2:$AR$203,26,FALSE)*I171</f>
        <v>4.4885775415878702E-2</v>
      </c>
      <c r="H171" s="53">
        <f>VLOOKUP($A171,'5 A calc'!$A$2:$AR$203,40,FALSE)*J171</f>
        <v>4.6196175172654799E-2</v>
      </c>
      <c r="I171" s="56">
        <f>VLOOKUP($A171,'5 A calc'!$A$2:$AR$203,28,FALSE)</f>
        <v>2.4675502935036411</v>
      </c>
      <c r="J171" s="49">
        <f>VLOOKUP($A171,'5 A calc'!$A$2:$AR$203,42,FALSE)</f>
        <v>2.2349477209616566</v>
      </c>
      <c r="L171" s="4">
        <f t="shared" si="45"/>
        <v>18.021533281663817</v>
      </c>
      <c r="M171" s="4">
        <f t="shared" si="46"/>
        <v>1.5881075202240942</v>
      </c>
    </row>
    <row r="172" spans="1:13" x14ac:dyDescent="0.2">
      <c r="A172" s="97">
        <v>267</v>
      </c>
      <c r="C172" s="53">
        <f t="shared" si="44"/>
        <v>0.2</v>
      </c>
      <c r="D172" s="51">
        <f>VLOOKUP($A172,'5 A calc'!$A$2:$AR$203,4,FALSE)</f>
        <v>120</v>
      </c>
      <c r="E172" s="33">
        <f>VLOOKUP($A172,'5 A calc'!$A$2:$AR$203,13,FALSE)</f>
        <v>-0.46169238644214461</v>
      </c>
      <c r="F172" s="53">
        <f>VLOOKUP($A172,'5 A calc'!$A$2:$AR$203,14,FALSE)</f>
        <v>0.483452887687983</v>
      </c>
      <c r="G172" s="33">
        <f>VLOOKUP($A172,'5 A calc'!$A$2:$AR$203,26,FALSE)*I172</f>
        <v>4.3645033527518085E-2</v>
      </c>
      <c r="H172" s="53">
        <f>VLOOKUP($A172,'5 A calc'!$A$2:$AR$203,40,FALSE)*J172</f>
        <v>3.9993472938487692E-2</v>
      </c>
      <c r="I172" s="56">
        <f>VLOOKUP($A172,'5 A calc'!$A$2:$AR$203,28,FALSE)</f>
        <v>2.5011507375343416</v>
      </c>
      <c r="J172" s="49">
        <f>VLOOKUP($A172,'5 A calc'!$A$2:$AR$203,42,FALSE)</f>
        <v>2.332604978505266</v>
      </c>
      <c r="L172" s="4">
        <f t="shared" si="45"/>
        <v>16.619886034760178</v>
      </c>
      <c r="M172" s="4">
        <f t="shared" si="46"/>
        <v>1.3748743244676094</v>
      </c>
    </row>
    <row r="173" spans="1:13" x14ac:dyDescent="0.2">
      <c r="A173" s="68"/>
      <c r="C173" s="119"/>
      <c r="D173" s="113"/>
      <c r="E173" s="119"/>
      <c r="F173" s="115"/>
      <c r="G173" s="114"/>
      <c r="H173" s="115"/>
      <c r="I173" s="116"/>
      <c r="J173" s="117"/>
      <c r="L173" s="27"/>
      <c r="M173" s="27"/>
    </row>
    <row r="174" spans="1:13" x14ac:dyDescent="0.2">
      <c r="A174" s="97">
        <v>269</v>
      </c>
      <c r="C174" s="53">
        <f t="shared" ref="C174:C180" si="47">low__burden</f>
        <v>0</v>
      </c>
      <c r="D174" s="51">
        <f>VLOOKUP($A174,'5 A calc'!$A$2:$AR$203,4,FALSE)</f>
        <v>5</v>
      </c>
      <c r="E174" s="33">
        <f>VLOOKUP($A174,'5 A calc'!$A$2:$AR$203,13,FALSE)</f>
        <v>-0.21182901905964027</v>
      </c>
      <c r="F174" s="53">
        <f>VLOOKUP($A174,'5 A calc'!$A$2:$AR$203,14,FALSE)</f>
        <v>0.37860643686156914</v>
      </c>
      <c r="G174" s="33">
        <f>VLOOKUP($A174,'5 A calc'!$A$2:$AR$203,26,FALSE)*I174</f>
        <v>5.8742110114636654E-2</v>
      </c>
      <c r="H174" s="53">
        <f>VLOOKUP($A174,'5 A calc'!$A$2:$AR$203,40,FALSE)*J174</f>
        <v>8.4390351437958325E-2</v>
      </c>
      <c r="I174" s="56">
        <f>VLOOKUP($A174,'5 A calc'!$A$2:$AR$203,28,FALSE)</f>
        <v>2.4001009771370772</v>
      </c>
      <c r="J174" s="49">
        <f>VLOOKUP($A174,'5 A calc'!$A$2:$AR$203,42,FALSE)</f>
        <v>2.253741724989236</v>
      </c>
      <c r="L174" s="28">
        <f t="shared" ref="L174:L180" si="48">DEGREES(F174/100)*60</f>
        <v>13.015530557192513</v>
      </c>
      <c r="M174" s="28">
        <f t="shared" ref="M174:M180" si="49">DEGREES(H174/100)*60</f>
        <v>2.9011265814124738</v>
      </c>
    </row>
    <row r="175" spans="1:13" x14ac:dyDescent="0.2">
      <c r="A175" s="97">
        <v>270</v>
      </c>
      <c r="C175" s="53">
        <f t="shared" si="47"/>
        <v>0</v>
      </c>
      <c r="D175" s="51">
        <f>VLOOKUP($A175,'5 A calc'!$A$2:$AR$203,4,FALSE)</f>
        <v>10</v>
      </c>
      <c r="E175" s="33">
        <f>VLOOKUP($A175,'5 A calc'!$A$2:$AR$203,13,FALSE)</f>
        <v>-0.18085075458186106</v>
      </c>
      <c r="F175" s="53">
        <f>VLOOKUP($A175,'5 A calc'!$A$2:$AR$203,14,FALSE)</f>
        <v>0.30288399594127929</v>
      </c>
      <c r="G175" s="33">
        <f>VLOOKUP($A175,'5 A calc'!$A$2:$AR$203,26,FALSE)*I175</f>
        <v>5.4205166202058182E-2</v>
      </c>
      <c r="H175" s="53">
        <f>VLOOKUP($A175,'5 A calc'!$A$2:$AR$203,40,FALSE)*J175</f>
        <v>7.6100984968501942E-2</v>
      </c>
      <c r="I175" s="56">
        <f>VLOOKUP($A175,'5 A calc'!$A$2:$AR$203,28,FALSE)</f>
        <v>2.4358341583896701</v>
      </c>
      <c r="J175" s="49">
        <f>VLOOKUP($A175,'5 A calc'!$A$2:$AR$203,42,FALSE)</f>
        <v>2.350834384789124</v>
      </c>
      <c r="L175" s="28">
        <f t="shared" si="48"/>
        <v>10.412384789695716</v>
      </c>
      <c r="M175" s="28">
        <f t="shared" si="49"/>
        <v>2.6161591532902078</v>
      </c>
    </row>
    <row r="176" spans="1:13" x14ac:dyDescent="0.2">
      <c r="A176" s="97">
        <v>271</v>
      </c>
      <c r="C176" s="53">
        <f t="shared" si="47"/>
        <v>0</v>
      </c>
      <c r="D176" s="51">
        <f>VLOOKUP($A176,'5 A calc'!$A$2:$AR$203,4,FALSE)</f>
        <v>20</v>
      </c>
      <c r="E176" s="33">
        <f>VLOOKUP($A176,'5 A calc'!$A$2:$AR$203,13,FALSE)</f>
        <v>-0.15287188563382736</v>
      </c>
      <c r="F176" s="53">
        <f>VLOOKUP($A176,'5 A calc'!$A$2:$AR$203,14,FALSE)</f>
        <v>0.24463951999670613</v>
      </c>
      <c r="G176" s="33">
        <f>VLOOKUP($A176,'5 A calc'!$A$2:$AR$203,26,FALSE)*I176</f>
        <v>5.0868521566627481E-2</v>
      </c>
      <c r="H176" s="53">
        <f>VLOOKUP($A176,'5 A calc'!$A$2:$AR$203,40,FALSE)*J176</f>
        <v>6.8727365116465156E-2</v>
      </c>
      <c r="I176" s="56">
        <f>VLOOKUP($A176,'5 A calc'!$A$2:$AR$203,28,FALSE)</f>
        <v>2.4892920458795809</v>
      </c>
      <c r="J176" s="49">
        <f>VLOOKUP($A176,'5 A calc'!$A$2:$AR$203,42,FALSE)</f>
        <v>2.4241509651671462</v>
      </c>
      <c r="L176" s="28">
        <f t="shared" si="48"/>
        <v>8.4100871987505403</v>
      </c>
      <c r="M176" s="28">
        <f t="shared" si="49"/>
        <v>2.3626727749368559</v>
      </c>
    </row>
    <row r="177" spans="1:18" x14ac:dyDescent="0.2">
      <c r="A177" s="97">
        <v>272</v>
      </c>
      <c r="C177" s="53">
        <f t="shared" si="47"/>
        <v>0</v>
      </c>
      <c r="D177" s="51">
        <f>VLOOKUP($A177,'5 A calc'!$A$2:$AR$203,4,FALSE)</f>
        <v>40</v>
      </c>
      <c r="E177" s="33">
        <f>VLOOKUP($A177,'5 A calc'!$A$2:$AR$203,13,FALSE)</f>
        <v>-0.13488935820042661</v>
      </c>
      <c r="F177" s="53">
        <f>VLOOKUP($A177,'5 A calc'!$A$2:$AR$203,14,FALSE)</f>
        <v>0.20678053828216644</v>
      </c>
      <c r="G177" s="33">
        <f>VLOOKUP($A177,'5 A calc'!$A$2:$AR$203,26,FALSE)*I177</f>
        <v>4.710935493448596E-2</v>
      </c>
      <c r="H177" s="53">
        <f>VLOOKUP($A177,'5 A calc'!$A$2:$AR$203,40,FALSE)*J177</f>
        <v>6.3075809131550309E-2</v>
      </c>
      <c r="I177" s="56">
        <f>VLOOKUP($A177,'5 A calc'!$A$2:$AR$203,28,FALSE)</f>
        <v>2.5231387551277451</v>
      </c>
      <c r="J177" s="49">
        <f>VLOOKUP($A177,'5 A calc'!$A$2:$AR$203,42,FALSE)</f>
        <v>2.4781945719464318</v>
      </c>
      <c r="L177" s="28">
        <f t="shared" si="48"/>
        <v>7.1085912774068918</v>
      </c>
      <c r="M177" s="28">
        <f t="shared" si="49"/>
        <v>2.1683865915663425</v>
      </c>
    </row>
    <row r="178" spans="1:18" x14ac:dyDescent="0.2">
      <c r="A178" s="97">
        <v>273</v>
      </c>
      <c r="C178" s="53">
        <f t="shared" si="47"/>
        <v>0</v>
      </c>
      <c r="D178" s="51">
        <f>VLOOKUP($A178,'5 A calc'!$A$2:$AR$203,4,FALSE)</f>
        <v>60</v>
      </c>
      <c r="E178" s="33">
        <f>VLOOKUP($A178,'5 A calc'!$A$2:$AR$203,13,FALSE)</f>
        <v>-0.12789703239859201</v>
      </c>
      <c r="F178" s="53">
        <f>VLOOKUP($A178,'5 A calc'!$A$2:$AR$203,14,FALSE)</f>
        <v>0.19221874202653608</v>
      </c>
      <c r="G178" s="33">
        <f>VLOOKUP($A178,'5 A calc'!$A$2:$AR$203,26,FALSE)*I178</f>
        <v>4.6722917040415347E-2</v>
      </c>
      <c r="H178" s="53">
        <f>VLOOKUP($A178,'5 A calc'!$A$2:$AR$203,40,FALSE)*J178</f>
        <v>5.6800420124190266E-2</v>
      </c>
      <c r="I178" s="56">
        <f>VLOOKUP($A178,'5 A calc'!$A$2:$AR$203,28,FALSE)</f>
        <v>2.5204800067870403</v>
      </c>
      <c r="J178" s="49">
        <f>VLOOKUP($A178,'5 A calc'!$A$2:$AR$203,42,FALSE)</f>
        <v>2.4611709873160508</v>
      </c>
      <c r="L178" s="28">
        <f t="shared" si="48"/>
        <v>6.6079935968606769</v>
      </c>
      <c r="M178" s="28">
        <f t="shared" si="49"/>
        <v>1.9526546086116299</v>
      </c>
    </row>
    <row r="179" spans="1:18" x14ac:dyDescent="0.2">
      <c r="A179" s="97">
        <v>274</v>
      </c>
      <c r="C179" s="53">
        <f t="shared" si="47"/>
        <v>0</v>
      </c>
      <c r="D179" s="51">
        <f>VLOOKUP($A179,'5 A calc'!$A$2:$AR$203,4,FALSE)</f>
        <v>100</v>
      </c>
      <c r="E179" s="33">
        <f>VLOOKUP($A179,'5 A calc'!$A$2:$AR$203,13,FALSE)</f>
        <v>-0.11990717048609677</v>
      </c>
      <c r="F179" s="53">
        <f>VLOOKUP($A179,'5 A calc'!$A$2:$AR$203,14,FALSE)</f>
        <v>0.17620278437842499</v>
      </c>
      <c r="G179" s="33">
        <f>VLOOKUP($A179,'5 A calc'!$A$2:$AR$203,26,FALSE)*I179</f>
        <v>4.4937062623805091E-2</v>
      </c>
      <c r="H179" s="53">
        <f>VLOOKUP($A179,'5 A calc'!$A$2:$AR$203,40,FALSE)*J179</f>
        <v>4.4079774757786426E-2</v>
      </c>
      <c r="I179" s="56">
        <f>VLOOKUP($A179,'5 A calc'!$A$2:$AR$203,28,FALSE)</f>
        <v>2.5162680406746007</v>
      </c>
      <c r="J179" s="49">
        <f>VLOOKUP($A179,'5 A calc'!$A$2:$AR$203,42,FALSE)</f>
        <v>2.4509922045619716</v>
      </c>
      <c r="L179" s="28">
        <f t="shared" si="48"/>
        <v>6.0574055300024554</v>
      </c>
      <c r="M179" s="28">
        <f t="shared" si="49"/>
        <v>1.5153510333050777</v>
      </c>
    </row>
    <row r="180" spans="1:18" x14ac:dyDescent="0.2">
      <c r="A180" s="97">
        <v>275</v>
      </c>
      <c r="C180" s="53">
        <f t="shared" si="47"/>
        <v>0</v>
      </c>
      <c r="D180" s="51">
        <f>VLOOKUP($A180,'5 A calc'!$A$2:$AR$203,4,FALSE)</f>
        <v>120</v>
      </c>
      <c r="E180" s="33">
        <f>VLOOKUP($A180,'5 A calc'!$A$2:$AR$203,13,FALSE)</f>
        <v>-0.11791010437911061</v>
      </c>
      <c r="F180" s="53">
        <f>VLOOKUP($A180,'5 A calc'!$A$2:$AR$203,14,FALSE)</f>
        <v>0.17183453218809797</v>
      </c>
      <c r="G180" s="33">
        <f>VLOOKUP($A180,'5 A calc'!$A$2:$AR$203,26,FALSE)*I180</f>
        <v>4.3695139175818944E-2</v>
      </c>
      <c r="H180" s="53">
        <f>VLOOKUP($A180,'5 A calc'!$A$2:$AR$203,40,FALSE)*J180</f>
        <v>3.9471413508775893E-2</v>
      </c>
      <c r="I180" s="56">
        <f>VLOOKUP($A180,'5 A calc'!$A$2:$AR$203,28,FALSE)</f>
        <v>2.5298651745172367</v>
      </c>
      <c r="J180" s="49">
        <f>VLOOKUP($A180,'5 A calc'!$A$2:$AR$203,42,FALSE)</f>
        <v>2.4649667671133018</v>
      </c>
      <c r="L180" s="28">
        <f t="shared" si="48"/>
        <v>5.9072360813897449</v>
      </c>
      <c r="M180" s="28">
        <f t="shared" si="49"/>
        <v>1.3569272432811135</v>
      </c>
    </row>
    <row r="181" spans="1:18" x14ac:dyDescent="0.2">
      <c r="C181" s="39"/>
      <c r="D181" s="52"/>
      <c r="E181" s="38"/>
      <c r="F181" s="52"/>
      <c r="G181" s="38"/>
      <c r="H181" s="52"/>
      <c r="I181" s="52"/>
      <c r="J181" s="40"/>
      <c r="L181" s="4"/>
      <c r="M181" s="4"/>
    </row>
    <row r="182" spans="1:18" x14ac:dyDescent="0.2">
      <c r="L182" s="4"/>
      <c r="M182" s="4"/>
    </row>
    <row r="183" spans="1:18" x14ac:dyDescent="0.2">
      <c r="A183" s="409">
        <v>295</v>
      </c>
      <c r="C183" s="60" t="str">
        <f>"Table "&amp;L183&amp;". Ratio "&amp;LEFT(M183,FIND("/",M183)-1)&amp;":5."&amp;"  Secondary: "&amp;K183</f>
        <v>Table . Ratio 200:5.  Secondary: S1 - S2</v>
      </c>
      <c r="D183" s="18"/>
      <c r="E183" s="18"/>
      <c r="F183" s="18"/>
      <c r="G183" s="18"/>
      <c r="H183" s="10"/>
      <c r="I183" s="10"/>
      <c r="J183" s="11"/>
      <c r="K183" s="95" t="str">
        <f>VLOOKUP($A183+1,'5 A data'!$A$2:$AP$526,2,FALSE)</f>
        <v>S1 - S2</v>
      </c>
      <c r="L183" s="97"/>
      <c r="M183" s="535" t="str">
        <f>VLOOKUP($A183,'5 A calc'!$A$2:$AR$398,4,FALSE)</f>
        <v>200/5 Range, 1 turns @ 1VA burden, vs 120 AT, 200 range, 2 Stage CT</v>
      </c>
      <c r="N183" s="534"/>
      <c r="O183" s="534"/>
      <c r="P183" s="534"/>
      <c r="Q183" s="534"/>
      <c r="R183" s="534"/>
    </row>
    <row r="184" spans="1:18" x14ac:dyDescent="0.2">
      <c r="A184" s="409"/>
      <c r="C184" s="12"/>
      <c r="D184" s="13"/>
      <c r="E184" s="643" t="s">
        <v>19</v>
      </c>
      <c r="F184" s="644"/>
      <c r="G184" s="643" t="s">
        <v>20</v>
      </c>
      <c r="H184" s="644"/>
      <c r="I184" s="645" t="s">
        <v>8</v>
      </c>
      <c r="J184" s="646"/>
      <c r="L184" s="67"/>
    </row>
    <row r="185" spans="1:18" ht="51" x14ac:dyDescent="0.2">
      <c r="A185" s="409"/>
      <c r="C185" s="12" t="s">
        <v>169</v>
      </c>
      <c r="D185" s="54" t="s">
        <v>241</v>
      </c>
      <c r="E185" s="54" t="s">
        <v>294</v>
      </c>
      <c r="F185" s="13" t="s">
        <v>239</v>
      </c>
      <c r="G185" s="54" t="s">
        <v>294</v>
      </c>
      <c r="H185" s="13" t="s">
        <v>239</v>
      </c>
      <c r="I185" s="54" t="s">
        <v>158</v>
      </c>
      <c r="J185" s="13" t="s">
        <v>159</v>
      </c>
      <c r="L185" s="498" t="s">
        <v>59</v>
      </c>
      <c r="M185" s="498" t="s">
        <v>478</v>
      </c>
    </row>
    <row r="186" spans="1:18" x14ac:dyDescent="0.2">
      <c r="A186" s="409">
        <v>297</v>
      </c>
      <c r="C186" s="533">
        <v>0.05</v>
      </c>
      <c r="D186" s="57">
        <f>VLOOKUP($A186,'5 A calc'!$A$2:$AR$398,4,FALSE)</f>
        <v>5</v>
      </c>
      <c r="E186" s="33">
        <f>VLOOKUP($A186,'5 A calc'!$A$2:$AR$398,13,FALSE)</f>
        <v>-0.31876129865482816</v>
      </c>
      <c r="F186" s="53">
        <f>VLOOKUP($A186,'5 A calc'!$A$2:$AR$398,14,FALSE)</f>
        <v>0.52131016975403965</v>
      </c>
      <c r="G186" s="33">
        <f>VLOOKUP($A186,'5 A calc'!$A$2:$AR$398,26,FALSE)*I186</f>
        <v>2.5766777480203895E-2</v>
      </c>
      <c r="H186" s="53">
        <f>VLOOKUP($A186,'5 A calc'!$A$2:$AR$398,40,FALSE)*J186</f>
        <v>5.1053500671237137E-2</v>
      </c>
      <c r="I186" s="56">
        <f>VLOOKUP($A186,'5 A calc'!$A$2:$AR$398,28,FALSE)</f>
        <v>2.1688861353105544</v>
      </c>
      <c r="J186" s="49">
        <f>VLOOKUP($A186,'5 A calc'!$A$2:$AR$398,42,FALSE)</f>
        <v>2.1788814479227372</v>
      </c>
      <c r="L186" s="4">
        <f t="shared" ref="L186:L192" si="50">DEGREES(F186/100)*60</f>
        <v>17.921323526492984</v>
      </c>
      <c r="M186" s="4">
        <f>DEGREES(H186/100)*60</f>
        <v>1.7550900706981218</v>
      </c>
    </row>
    <row r="187" spans="1:18" x14ac:dyDescent="0.2">
      <c r="A187" s="409">
        <v>298</v>
      </c>
      <c r="C187" s="533">
        <v>0.05</v>
      </c>
      <c r="D187" s="57">
        <f>VLOOKUP($A187,'5 A calc'!$A$2:$AR$398,4,FALSE)</f>
        <v>10</v>
      </c>
      <c r="E187" s="33">
        <f>VLOOKUP($A187,'5 A calc'!$A$2:$AR$398,13,FALSE)</f>
        <v>-0.27279252769174228</v>
      </c>
      <c r="F187" s="53">
        <f>VLOOKUP($A187,'5 A calc'!$A$2:$AR$398,14,FALSE)</f>
        <v>0.42811380235712099</v>
      </c>
      <c r="G187" s="33">
        <f>VLOOKUP($A187,'5 A calc'!$A$2:$AR$398,26,FALSE)*I187</f>
        <v>1.9492439067831459E-2</v>
      </c>
      <c r="H187" s="53">
        <f>VLOOKUP($A187,'5 A calc'!$A$2:$AR$398,40,FALSE)*J187</f>
        <v>3.6796004976575793E-2</v>
      </c>
      <c r="I187" s="56">
        <f>VLOOKUP($A187,'5 A calc'!$A$2:$AR$398,28,FALSE)</f>
        <v>2.1951400671349255</v>
      </c>
      <c r="J187" s="49">
        <f>VLOOKUP($A187,'5 A calc'!$A$2:$AR$398,42,FALSE)</f>
        <v>2.2483232999530713</v>
      </c>
      <c r="L187" s="4">
        <f t="shared" si="50"/>
        <v>14.717468415816542</v>
      </c>
      <c r="M187" s="4">
        <f t="shared" ref="M187:M192" si="51">DEGREES(H187/100)*60</f>
        <v>1.2649534728601</v>
      </c>
    </row>
    <row r="188" spans="1:18" x14ac:dyDescent="0.2">
      <c r="A188" s="409">
        <v>299</v>
      </c>
      <c r="C188" s="533">
        <v>0.05</v>
      </c>
      <c r="D188" s="57">
        <f>VLOOKUP($A188,'5 A calc'!$A$2:$AR$398,4,FALSE)</f>
        <v>20</v>
      </c>
      <c r="E188" s="33">
        <f>VLOOKUP($A188,'5 A calc'!$A$2:$AR$398,13,FALSE)</f>
        <v>-0.23781808905056542</v>
      </c>
      <c r="F188" s="53">
        <f>VLOOKUP($A188,'5 A calc'!$A$2:$AR$398,14,FALSE)</f>
        <v>0.35822004209479508</v>
      </c>
      <c r="G188" s="33">
        <f>VLOOKUP($A188,'5 A calc'!$A$2:$AR$398,26,FALSE)*I188</f>
        <v>1.3863603670756968E-2</v>
      </c>
      <c r="H188" s="53">
        <f>VLOOKUP($A188,'5 A calc'!$A$2:$AR$398,40,FALSE)*J188</f>
        <v>2.4388975189192991E-2</v>
      </c>
      <c r="I188" s="56">
        <f>VLOOKUP($A188,'5 A calc'!$A$2:$AR$398,28,FALSE)</f>
        <v>2.176366377693411</v>
      </c>
      <c r="J188" s="49">
        <f>VLOOKUP($A188,'5 A calc'!$A$2:$AR$398,42,FALSE)</f>
        <v>2.1880562063437501</v>
      </c>
      <c r="L188" s="4">
        <f t="shared" si="50"/>
        <v>12.314697929418267</v>
      </c>
      <c r="M188" s="4">
        <f t="shared" si="51"/>
        <v>0.83843120699402207</v>
      </c>
    </row>
    <row r="189" spans="1:18" x14ac:dyDescent="0.2">
      <c r="A189" s="409">
        <v>300</v>
      </c>
      <c r="C189" s="533">
        <v>0.05</v>
      </c>
      <c r="D189" s="57">
        <f>VLOOKUP($A189,'5 A calc'!$A$2:$AR$398,4,FALSE)</f>
        <v>40</v>
      </c>
      <c r="E189" s="33">
        <f>VLOOKUP($A189,'5 A calc'!$A$2:$AR$398,13,FALSE)</f>
        <v>-0.21583809322108283</v>
      </c>
      <c r="F189" s="53">
        <f>VLOOKUP($A189,'5 A calc'!$A$2:$AR$398,14,FALSE)</f>
        <v>0.31453641822137907</v>
      </c>
      <c r="G189" s="33">
        <f>VLOOKUP($A189,'5 A calc'!$A$2:$AR$398,26,FALSE)*I189</f>
        <v>1.1065391844585255E-2</v>
      </c>
      <c r="H189" s="53">
        <f>VLOOKUP($A189,'5 A calc'!$A$2:$AR$398,40,FALSE)*J189</f>
        <v>1.7478708857076048E-2</v>
      </c>
      <c r="I189" s="56">
        <f>VLOOKUP($A189,'5 A calc'!$A$2:$AR$398,28,FALSE)</f>
        <v>2.2061105883473515</v>
      </c>
      <c r="J189" s="49">
        <f>VLOOKUP($A189,'5 A calc'!$A$2:$AR$398,42,FALSE)</f>
        <v>2.0927741961681066</v>
      </c>
      <c r="L189" s="4">
        <f t="shared" si="50"/>
        <v>10.812965560348072</v>
      </c>
      <c r="M189" s="4">
        <f t="shared" si="51"/>
        <v>0.60087374930903303</v>
      </c>
    </row>
    <row r="190" spans="1:18" x14ac:dyDescent="0.2">
      <c r="A190" s="409">
        <v>301</v>
      </c>
      <c r="C190" s="533">
        <v>0.05</v>
      </c>
      <c r="D190" s="51">
        <f>VLOOKUP($A190,'5 A calc'!$A$2:$AR$398,4,FALSE)</f>
        <v>60</v>
      </c>
      <c r="E190" s="33">
        <f>VLOOKUP($A190,'5 A calc'!$A$2:$AR$398,13,FALSE)</f>
        <v>-0.20384893192414602</v>
      </c>
      <c r="F190" s="53">
        <f>VLOOKUP($A190,'5 A calc'!$A$2:$AR$398,14,FALSE)</f>
        <v>0.29269381926715327</v>
      </c>
      <c r="G190" s="33">
        <f>VLOOKUP($A190,'5 A calc'!$A$2:$AR$398,26,FALSE)*I190</f>
        <v>1.0539951560783609E-2</v>
      </c>
      <c r="H190" s="53">
        <f>VLOOKUP($A190,'5 A calc'!$A$2:$AR$398,40,FALSE)*J190</f>
        <v>1.7261642251336841E-2</v>
      </c>
      <c r="I190" s="56">
        <f>VLOOKUP($A190,'5 A calc'!$A$2:$AR$398,28,FALSE)</f>
        <v>2.1922518828137001</v>
      </c>
      <c r="J190" s="49">
        <f>VLOOKUP($A190,'5 A calc'!$A$2:$AR$398,42,FALSE)</f>
        <v>2.0876143329025929</v>
      </c>
      <c r="L190" s="4">
        <f t="shared" si="50"/>
        <v>10.062072320143669</v>
      </c>
      <c r="M190" s="4">
        <f t="shared" si="51"/>
        <v>0.59341154907978089</v>
      </c>
    </row>
    <row r="191" spans="1:18" x14ac:dyDescent="0.2">
      <c r="A191" s="409">
        <v>302</v>
      </c>
      <c r="C191" s="533">
        <v>0.05</v>
      </c>
      <c r="D191" s="51">
        <f>VLOOKUP($A191,'5 A calc'!$A$2:$AR$398,4,FALSE)</f>
        <v>100</v>
      </c>
      <c r="E191" s="33">
        <f>VLOOKUP($A191,'5 A calc'!$A$2:$AR$398,13,FALSE)</f>
        <v>-0.19186160161556901</v>
      </c>
      <c r="F191" s="53">
        <f>VLOOKUP($A191,'5 A calc'!$A$2:$AR$398,14,FALSE)</f>
        <v>0.26939705892044669</v>
      </c>
      <c r="G191" s="33">
        <f>VLOOKUP($A191,'5 A calc'!$A$2:$AR$398,26,FALSE)*I191</f>
        <v>9.6527634295321043E-3</v>
      </c>
      <c r="H191" s="53">
        <f>VLOOKUP($A191,'5 A calc'!$A$2:$AR$398,40,FALSE)*J191</f>
        <v>1.4112269777874322E-2</v>
      </c>
      <c r="I191" s="56">
        <f>VLOOKUP($A191,'5 A calc'!$A$2:$AR$398,28,FALSE)</f>
        <v>2.205276047041179</v>
      </c>
      <c r="J191" s="49">
        <f>VLOOKUP($A191,'5 A calc'!$A$2:$AR$398,42,FALSE)</f>
        <v>2.1018058769248804</v>
      </c>
      <c r="L191" s="4">
        <f t="shared" si="50"/>
        <v>9.2611886936272558</v>
      </c>
      <c r="M191" s="4">
        <f t="shared" si="51"/>
        <v>0.4851440985733334</v>
      </c>
    </row>
    <row r="192" spans="1:18" x14ac:dyDescent="0.2">
      <c r="A192" s="409">
        <v>303</v>
      </c>
      <c r="C192" s="533">
        <v>0.05</v>
      </c>
      <c r="D192" s="51">
        <f>VLOOKUP($A192,'5 A calc'!$A$2:$AR$398,4,FALSE)</f>
        <v>120</v>
      </c>
      <c r="E192" s="33">
        <f>VLOOKUP($A192,'5 A calc'!$A$2:$AR$398,13,FALSE)</f>
        <v>-0.18886516840956238</v>
      </c>
      <c r="F192" s="53">
        <f>VLOOKUP($A192,'5 A calc'!$A$2:$AR$398,14,FALSE)</f>
        <v>0.26211648565068141</v>
      </c>
      <c r="G192" s="33">
        <f>VLOOKUP($A192,'5 A calc'!$A$2:$AR$398,26,FALSE)*I192</f>
        <v>9.1151841792800215E-3</v>
      </c>
      <c r="H192" s="53">
        <f>VLOOKUP($A192,'5 A calc'!$A$2:$AR$398,40,FALSE)*J192</f>
        <v>1.2828617190623556E-2</v>
      </c>
      <c r="I192" s="56">
        <f>VLOOKUP($A192,'5 A calc'!$A$2:$AR$398,28,FALSE)</f>
        <v>2.3209982516569978</v>
      </c>
      <c r="J192" s="49">
        <f>VLOOKUP($A192,'5 A calc'!$A$2:$AR$398,42,FALSE)</f>
        <v>2.1615856853855728</v>
      </c>
      <c r="L192" s="4">
        <f t="shared" si="50"/>
        <v>9.0109010211512679</v>
      </c>
      <c r="M192" s="4">
        <f t="shared" si="51"/>
        <v>0.44101537320702289</v>
      </c>
    </row>
    <row r="193" spans="1:13" x14ac:dyDescent="0.2">
      <c r="A193" s="68"/>
      <c r="C193" s="119"/>
      <c r="D193" s="113"/>
      <c r="E193" s="119"/>
      <c r="F193" s="115"/>
      <c r="G193" s="114"/>
      <c r="H193" s="115"/>
      <c r="I193" s="116"/>
      <c r="J193" s="117"/>
      <c r="L193" s="27"/>
      <c r="M193" s="27"/>
    </row>
    <row r="194" spans="1:13" x14ac:dyDescent="0.2">
      <c r="A194" s="409">
        <v>305</v>
      </c>
      <c r="C194" s="53">
        <f t="shared" ref="C194:C200" si="52">low__burden</f>
        <v>0</v>
      </c>
      <c r="D194" s="51">
        <f>VLOOKUP($A194,'5 A calc'!$A$2:$AR$398,4,FALSE)</f>
        <v>5</v>
      </c>
      <c r="E194" s="33">
        <f>VLOOKUP($A194,'5 A calc'!$A$2:$AR$398,13,FALSE)</f>
        <v>-0.21182901905964027</v>
      </c>
      <c r="F194" s="53">
        <f>VLOOKUP($A194,'5 A calc'!$A$2:$AR$398,14,FALSE)</f>
        <v>0.37860643686156914</v>
      </c>
      <c r="G194" s="33">
        <f>VLOOKUP($A194,'5 A calc'!$A$2:$AR$398,26,FALSE)*I194</f>
        <v>2.0386158341753054E-2</v>
      </c>
      <c r="H194" s="53">
        <f>VLOOKUP($A194,'5 A calc'!$A$2:$AR$398,40,FALSE)*J194</f>
        <v>4.4092748623166103E-2</v>
      </c>
      <c r="I194" s="56">
        <f>VLOOKUP($A194,'5 A calc'!$A$2:$AR$398,28,FALSE)</f>
        <v>2.1023277772022451</v>
      </c>
      <c r="J194" s="49">
        <f>VLOOKUP($A194,'5 A calc'!$A$2:$AR$398,42,FALSE)</f>
        <v>2.1287378822238856</v>
      </c>
      <c r="L194" s="28">
        <f t="shared" ref="L194:L200" si="53">DEGREES(F194/100)*60</f>
        <v>13.015530557192513</v>
      </c>
      <c r="M194" s="28">
        <f t="shared" ref="M194:M200" si="54">DEGREES(H194/100)*60</f>
        <v>1.5157970419432136</v>
      </c>
    </row>
    <row r="195" spans="1:13" x14ac:dyDescent="0.2">
      <c r="A195" s="409">
        <v>306</v>
      </c>
      <c r="C195" s="53">
        <f t="shared" si="52"/>
        <v>0</v>
      </c>
      <c r="D195" s="51">
        <f>VLOOKUP($A195,'5 A calc'!$A$2:$AR$398,4,FALSE)</f>
        <v>10</v>
      </c>
      <c r="E195" s="33">
        <f>VLOOKUP($A195,'5 A calc'!$A$2:$AR$398,13,FALSE)</f>
        <v>-0.18085075458186106</v>
      </c>
      <c r="F195" s="53">
        <f>VLOOKUP($A195,'5 A calc'!$A$2:$AR$398,14,FALSE)</f>
        <v>0.30288399594127929</v>
      </c>
      <c r="G195" s="33">
        <f>VLOOKUP($A195,'5 A calc'!$A$2:$AR$398,26,FALSE)*I195</f>
        <v>1.6798160134768401E-2</v>
      </c>
      <c r="H195" s="53">
        <f>VLOOKUP($A195,'5 A calc'!$A$2:$AR$398,40,FALSE)*J195</f>
        <v>3.1632661842303664E-2</v>
      </c>
      <c r="I195" s="56">
        <f>VLOOKUP($A195,'5 A calc'!$A$2:$AR$398,28,FALSE)</f>
        <v>2.1588766685728258</v>
      </c>
      <c r="J195" s="49">
        <f>VLOOKUP($A195,'5 A calc'!$A$2:$AR$398,42,FALSE)</f>
        <v>2.200166112941393</v>
      </c>
      <c r="L195" s="28">
        <f t="shared" si="53"/>
        <v>10.412384789695716</v>
      </c>
      <c r="M195" s="28">
        <f t="shared" si="54"/>
        <v>1.0874508109971139</v>
      </c>
    </row>
    <row r="196" spans="1:13" x14ac:dyDescent="0.2">
      <c r="A196" s="409">
        <v>307</v>
      </c>
      <c r="C196" s="53">
        <f t="shared" si="52"/>
        <v>0</v>
      </c>
      <c r="D196" s="51">
        <f>VLOOKUP($A196,'5 A calc'!$A$2:$AR$398,4,FALSE)</f>
        <v>20</v>
      </c>
      <c r="E196" s="33">
        <f>VLOOKUP($A196,'5 A calc'!$A$2:$AR$398,13,FALSE)</f>
        <v>-0.15287188563382736</v>
      </c>
      <c r="F196" s="53">
        <f>VLOOKUP($A196,'5 A calc'!$A$2:$AR$398,14,FALSE)</f>
        <v>0.24463951999670613</v>
      </c>
      <c r="G196" s="33">
        <f>VLOOKUP($A196,'5 A calc'!$A$2:$AR$398,26,FALSE)*I196</f>
        <v>1.2658650774167042E-2</v>
      </c>
      <c r="H196" s="53">
        <f>VLOOKUP($A196,'5 A calc'!$A$2:$AR$398,40,FALSE)*J196</f>
        <v>2.2083400493285249E-2</v>
      </c>
      <c r="I196" s="56">
        <f>VLOOKUP($A196,'5 A calc'!$A$2:$AR$398,28,FALSE)</f>
        <v>2.1823127297899538</v>
      </c>
      <c r="J196" s="49">
        <f>VLOOKUP($A196,'5 A calc'!$A$2:$AR$398,42,FALSE)</f>
        <v>2.1642367454206575</v>
      </c>
      <c r="L196" s="28">
        <f t="shared" si="53"/>
        <v>8.4100871987505403</v>
      </c>
      <c r="M196" s="28">
        <f t="shared" si="54"/>
        <v>0.75917138733741907</v>
      </c>
    </row>
    <row r="197" spans="1:13" x14ac:dyDescent="0.2">
      <c r="A197" s="409">
        <v>308</v>
      </c>
      <c r="C197" s="53">
        <f t="shared" si="52"/>
        <v>0</v>
      </c>
      <c r="D197" s="51">
        <f>VLOOKUP($A197,'5 A calc'!$A$2:$AR$398,4,FALSE)</f>
        <v>40</v>
      </c>
      <c r="E197" s="33">
        <f>VLOOKUP($A197,'5 A calc'!$A$2:$AR$398,13,FALSE)</f>
        <v>-0.13488935820042661</v>
      </c>
      <c r="F197" s="53">
        <f>VLOOKUP($A197,'5 A calc'!$A$2:$AR$398,14,FALSE)</f>
        <v>0.20678053828216644</v>
      </c>
      <c r="G197" s="33">
        <f>VLOOKUP($A197,'5 A calc'!$A$2:$AR$398,26,FALSE)*I197</f>
        <v>1.047961511740203E-2</v>
      </c>
      <c r="H197" s="53">
        <f>VLOOKUP($A197,'5 A calc'!$A$2:$AR$398,40,FALSE)*J197</f>
        <v>1.6090490959149394E-2</v>
      </c>
      <c r="I197" s="56">
        <f>VLOOKUP($A197,'5 A calc'!$A$2:$AR$398,28,FALSE)</f>
        <v>2.2920986237625098</v>
      </c>
      <c r="J197" s="49">
        <f>VLOOKUP($A197,'5 A calc'!$A$2:$AR$398,42,FALSE)</f>
        <v>2.1088469992818939</v>
      </c>
      <c r="L197" s="28">
        <f t="shared" si="53"/>
        <v>7.1085912774068918</v>
      </c>
      <c r="M197" s="28">
        <f t="shared" si="54"/>
        <v>0.55315033335160091</v>
      </c>
    </row>
    <row r="198" spans="1:13" x14ac:dyDescent="0.2">
      <c r="A198" s="409">
        <v>309</v>
      </c>
      <c r="C198" s="53">
        <f t="shared" si="52"/>
        <v>0</v>
      </c>
      <c r="D198" s="51">
        <f>VLOOKUP($A198,'5 A calc'!$A$2:$AR$398,4,FALSE)</f>
        <v>60</v>
      </c>
      <c r="E198" s="33">
        <f>VLOOKUP($A198,'5 A calc'!$A$2:$AR$398,13,FALSE)</f>
        <v>-0.12789703239859201</v>
      </c>
      <c r="F198" s="53">
        <f>VLOOKUP($A198,'5 A calc'!$A$2:$AR$398,14,FALSE)</f>
        <v>0.19221874202653608</v>
      </c>
      <c r="G198" s="33">
        <f>VLOOKUP($A198,'5 A calc'!$A$2:$AR$398,26,FALSE)*I198</f>
        <v>9.9689826074249172E-3</v>
      </c>
      <c r="H198" s="53">
        <f>VLOOKUP($A198,'5 A calc'!$A$2:$AR$398,40,FALSE)*J198</f>
        <v>1.567493477265558E-2</v>
      </c>
      <c r="I198" s="56">
        <f>VLOOKUP($A198,'5 A calc'!$A$2:$AR$398,28,FALSE)</f>
        <v>2.2568455531797773</v>
      </c>
      <c r="J198" s="49">
        <f>VLOOKUP($A198,'5 A calc'!$A$2:$AR$398,42,FALSE)</f>
        <v>2.0925395620397289</v>
      </c>
      <c r="L198" s="28">
        <f t="shared" si="53"/>
        <v>6.6079935968606769</v>
      </c>
      <c r="M198" s="28">
        <f t="shared" si="54"/>
        <v>0.5388645639696128</v>
      </c>
    </row>
    <row r="199" spans="1:13" x14ac:dyDescent="0.2">
      <c r="A199" s="409">
        <v>310</v>
      </c>
      <c r="C199" s="53">
        <f t="shared" si="52"/>
        <v>0</v>
      </c>
      <c r="D199" s="51">
        <f>VLOOKUP($A199,'5 A calc'!$A$2:$AR$398,4,FALSE)</f>
        <v>100</v>
      </c>
      <c r="E199" s="33">
        <f>VLOOKUP($A199,'5 A calc'!$A$2:$AR$398,13,FALSE)</f>
        <v>-0.11990717048609677</v>
      </c>
      <c r="F199" s="53">
        <f>VLOOKUP($A199,'5 A calc'!$A$2:$AR$398,14,FALSE)</f>
        <v>0.17620278437842499</v>
      </c>
      <c r="G199" s="33">
        <f>VLOOKUP($A199,'5 A calc'!$A$2:$AR$398,26,FALSE)*I199</f>
        <v>9.57946588844036E-3</v>
      </c>
      <c r="H199" s="53">
        <f>VLOOKUP($A199,'5 A calc'!$A$2:$AR$398,40,FALSE)*J199</f>
        <v>1.387245087874143E-2</v>
      </c>
      <c r="I199" s="56">
        <f>VLOOKUP($A199,'5 A calc'!$A$2:$AR$398,28,FALSE)</f>
        <v>2.2211773409978721</v>
      </c>
      <c r="J199" s="49">
        <f>VLOOKUP($A199,'5 A calc'!$A$2:$AR$398,42,FALSE)</f>
        <v>2.1150787529940498</v>
      </c>
      <c r="L199" s="28">
        <f t="shared" si="53"/>
        <v>6.0574055300024554</v>
      </c>
      <c r="M199" s="28">
        <f t="shared" si="54"/>
        <v>0.47689973211266051</v>
      </c>
    </row>
    <row r="200" spans="1:13" x14ac:dyDescent="0.2">
      <c r="A200" s="409">
        <v>311</v>
      </c>
      <c r="C200" s="53">
        <f t="shared" si="52"/>
        <v>0</v>
      </c>
      <c r="D200" s="51">
        <f>VLOOKUP($A200,'5 A calc'!$A$2:$AR$398,4,FALSE)</f>
        <v>120</v>
      </c>
      <c r="E200" s="33">
        <f>VLOOKUP($A200,'5 A calc'!$A$2:$AR$398,13,FALSE)</f>
        <v>-0.11791010437911061</v>
      </c>
      <c r="F200" s="53">
        <f>VLOOKUP($A200,'5 A calc'!$A$2:$AR$398,14,FALSE)</f>
        <v>0.17183453218809797</v>
      </c>
      <c r="G200" s="33">
        <f>VLOOKUP($A200,'5 A calc'!$A$2:$AR$398,26,FALSE)*I200</f>
        <v>9.0854090181725737E-3</v>
      </c>
      <c r="H200" s="53">
        <f>VLOOKUP($A200,'5 A calc'!$A$2:$AR$398,40,FALSE)*J200</f>
        <v>1.2753394416759425E-2</v>
      </c>
      <c r="I200" s="56">
        <f>VLOOKUP($A200,'5 A calc'!$A$2:$AR$398,28,FALSE)</f>
        <v>2.3399972118141106</v>
      </c>
      <c r="J200" s="49">
        <f>VLOOKUP($A200,'5 A calc'!$A$2:$AR$398,42,FALSE)</f>
        <v>2.1696520447923606</v>
      </c>
      <c r="L200" s="28">
        <f t="shared" si="53"/>
        <v>5.9072360813897449</v>
      </c>
      <c r="M200" s="28">
        <f t="shared" si="54"/>
        <v>0.43842940472761388</v>
      </c>
    </row>
    <row r="201" spans="1:13" x14ac:dyDescent="0.2">
      <c r="C201" s="39"/>
      <c r="D201" s="52"/>
      <c r="E201" s="38"/>
      <c r="F201" s="52"/>
      <c r="G201" s="38"/>
      <c r="H201" s="52"/>
      <c r="I201" s="52"/>
      <c r="J201" s="40"/>
      <c r="L201" s="4"/>
      <c r="M201" s="4"/>
    </row>
    <row r="203" spans="1:13" x14ac:dyDescent="0.2">
      <c r="A203" s="409">
        <v>313</v>
      </c>
      <c r="C203" s="60" t="str">
        <f>"Table "&amp;L203&amp;". Ratio "&amp;LEFT(M203,FIND("/",M203)-1)&amp;":5."&amp;"  Secondary: "&amp;K203</f>
        <v>Table . Ratio 200:5.  Secondary: S1 - S2</v>
      </c>
      <c r="D203" s="18"/>
      <c r="E203" s="18"/>
      <c r="F203" s="18"/>
      <c r="G203" s="18"/>
      <c r="H203" s="10"/>
      <c r="I203" s="10"/>
      <c r="J203" s="11"/>
      <c r="K203" s="95" t="str">
        <f>VLOOKUP($A203+1,'5 A data'!$A$2:$AP$526,2,FALSE)</f>
        <v>S1 - S2</v>
      </c>
      <c r="L203" s="97"/>
      <c r="M203" s="95" t="str">
        <f>VLOOKUP($A203,'5 A calc'!$A$2:$AR$398,4,FALSE)</f>
        <v>200/5 Range, 1 turns @ 5VA burden, vs 120 AT, 200 range, 2 Stage CT</v>
      </c>
    </row>
    <row r="204" spans="1:13" x14ac:dyDescent="0.2">
      <c r="A204" s="409"/>
      <c r="C204" s="12"/>
      <c r="D204" s="13"/>
      <c r="E204" s="643" t="s">
        <v>19</v>
      </c>
      <c r="F204" s="644"/>
      <c r="G204" s="643" t="s">
        <v>20</v>
      </c>
      <c r="H204" s="644"/>
      <c r="I204" s="645" t="s">
        <v>8</v>
      </c>
      <c r="J204" s="646"/>
      <c r="L204" s="67"/>
    </row>
    <row r="205" spans="1:13" ht="51" x14ac:dyDescent="0.2">
      <c r="A205" s="409"/>
      <c r="C205" s="12" t="s">
        <v>169</v>
      </c>
      <c r="D205" s="54" t="s">
        <v>241</v>
      </c>
      <c r="E205" s="54" t="s">
        <v>294</v>
      </c>
      <c r="F205" s="13" t="s">
        <v>239</v>
      </c>
      <c r="G205" s="54" t="s">
        <v>294</v>
      </c>
      <c r="H205" s="13" t="s">
        <v>239</v>
      </c>
      <c r="I205" s="54" t="s">
        <v>158</v>
      </c>
      <c r="J205" s="13" t="s">
        <v>159</v>
      </c>
      <c r="L205" s="498" t="s">
        <v>59</v>
      </c>
      <c r="M205" s="498" t="s">
        <v>478</v>
      </c>
    </row>
    <row r="206" spans="1:13" x14ac:dyDescent="0.2">
      <c r="A206" s="409">
        <v>315</v>
      </c>
      <c r="C206" s="53">
        <f t="shared" ref="C206:C212" si="55">high_burden</f>
        <v>0.2</v>
      </c>
      <c r="D206" s="57">
        <f>VLOOKUP($A206,'5 A calc'!$A$2:$AR$398,4,FALSE)</f>
        <v>5</v>
      </c>
      <c r="E206" s="33">
        <f>VLOOKUP($A206,'5 A calc'!$A$2:$AR$398,13,FALSE)</f>
        <v>-0.68153155559925072</v>
      </c>
      <c r="F206" s="53">
        <f>VLOOKUP($A206,'5 A calc'!$A$2:$AR$398,14,FALSE)</f>
        <v>1.1037743856416753</v>
      </c>
      <c r="G206" s="33">
        <f>VLOOKUP($A206,'5 A calc'!$A$2:$AR$398,26,FALSE)*I206</f>
        <v>6.3444258658074751E-2</v>
      </c>
      <c r="H206" s="53">
        <f>VLOOKUP($A206,'5 A calc'!$A$2:$AR$398,40,FALSE)*J206</f>
        <v>0.10493816445682824</v>
      </c>
      <c r="I206" s="56">
        <f>VLOOKUP($A206,'5 A calc'!$A$2:$AR$398,28,FALSE)</f>
        <v>2.2226184956203849</v>
      </c>
      <c r="J206" s="49">
        <f>VLOOKUP($A206,'5 A calc'!$A$2:$AR$398,42,FALSE)</f>
        <v>2.1781471061352349</v>
      </c>
      <c r="L206" s="4">
        <f t="shared" ref="L206:L212" si="56">DEGREES(F206/100)*60</f>
        <v>37.944968299147995</v>
      </c>
      <c r="M206" s="4">
        <f>DEGREES(H206/100)*60</f>
        <v>3.6075083599356019</v>
      </c>
    </row>
    <row r="207" spans="1:13" x14ac:dyDescent="0.2">
      <c r="A207" s="409">
        <v>316</v>
      </c>
      <c r="C207" s="53">
        <f t="shared" si="55"/>
        <v>0.2</v>
      </c>
      <c r="D207" s="57">
        <f>VLOOKUP($A207,'5 A calc'!$A$2:$AR$398,4,FALSE)</f>
        <v>10</v>
      </c>
      <c r="E207" s="33">
        <f>VLOOKUP($A207,'5 A calc'!$A$2:$AR$398,13,FALSE)</f>
        <v>-0.60158430326946954</v>
      </c>
      <c r="F207" s="53">
        <f>VLOOKUP($A207,'5 A calc'!$A$2:$AR$398,14,FALSE)</f>
        <v>0.95524391773543127</v>
      </c>
      <c r="G207" s="33">
        <f>VLOOKUP($A207,'5 A calc'!$A$2:$AR$398,26,FALSE)*I207</f>
        <v>5.4737848887475557E-2</v>
      </c>
      <c r="H207" s="53">
        <f>VLOOKUP($A207,'5 A calc'!$A$2:$AR$398,40,FALSE)*J207</f>
        <v>9.3559314234926083E-2</v>
      </c>
      <c r="I207" s="56">
        <f>VLOOKUP($A207,'5 A calc'!$A$2:$AR$398,28,FALSE)</f>
        <v>2.2932339132637387</v>
      </c>
      <c r="J207" s="49">
        <f>VLOOKUP($A207,'5 A calc'!$A$2:$AR$398,42,FALSE)</f>
        <v>2.2070565367907644</v>
      </c>
      <c r="L207" s="4">
        <f t="shared" si="56"/>
        <v>32.838866935069333</v>
      </c>
      <c r="M207" s="4">
        <f t="shared" ref="M207:M212" si="57">DEGREES(H207/100)*60</f>
        <v>3.2163323038797054</v>
      </c>
    </row>
    <row r="208" spans="1:13" x14ac:dyDescent="0.2">
      <c r="A208" s="409">
        <v>317</v>
      </c>
      <c r="C208" s="53">
        <f t="shared" si="55"/>
        <v>0.2</v>
      </c>
      <c r="D208" s="57">
        <f>VLOOKUP($A208,'5 A calc'!$A$2:$AR$398,4,FALSE)</f>
        <v>20</v>
      </c>
      <c r="E208" s="33">
        <f>VLOOKUP($A208,'5 A calc'!$A$2:$AR$398,13,FALSE)</f>
        <v>-0.54762188974690429</v>
      </c>
      <c r="F208" s="53">
        <f>VLOOKUP($A208,'5 A calc'!$A$2:$AR$398,14,FALSE)</f>
        <v>0.82710373588434172</v>
      </c>
      <c r="G208" s="33">
        <f>VLOOKUP($A208,'5 A calc'!$A$2:$AR$398,26,FALSE)*I208</f>
        <v>5.0078233753738245E-2</v>
      </c>
      <c r="H208" s="53">
        <f>VLOOKUP($A208,'5 A calc'!$A$2:$AR$398,40,FALSE)*J208</f>
        <v>8.1358500860736302E-2</v>
      </c>
      <c r="I208" s="56">
        <f>VLOOKUP($A208,'5 A calc'!$A$2:$AR$398,28,FALSE)</f>
        <v>2.3606776367809008</v>
      </c>
      <c r="J208" s="49">
        <f>VLOOKUP($A208,'5 A calc'!$A$2:$AR$398,42,FALSE)</f>
        <v>2.2189988560988092</v>
      </c>
      <c r="L208" s="4">
        <f t="shared" si="56"/>
        <v>28.43373197140555</v>
      </c>
      <c r="M208" s="4">
        <f t="shared" si="57"/>
        <v>2.7968992360989993</v>
      </c>
    </row>
    <row r="209" spans="1:13" x14ac:dyDescent="0.2">
      <c r="A209" s="409">
        <v>318</v>
      </c>
      <c r="C209" s="53">
        <f t="shared" si="55"/>
        <v>0.2</v>
      </c>
      <c r="D209" s="57">
        <f>VLOOKUP($A209,'5 A calc'!$A$2:$AR$398,4,FALSE)</f>
        <v>40</v>
      </c>
      <c r="E209" s="33">
        <f>VLOOKUP($A209,'5 A calc'!$A$2:$AR$398,13,FALSE)</f>
        <v>-0.50965202033309442</v>
      </c>
      <c r="F209" s="53">
        <f>VLOOKUP($A209,'5 A calc'!$A$2:$AR$398,14,FALSE)</f>
        <v>0.722261369342724</v>
      </c>
      <c r="G209" s="33">
        <f>VLOOKUP($A209,'5 A calc'!$A$2:$AR$398,26,FALSE)*I209</f>
        <v>4.7049736010357765E-2</v>
      </c>
      <c r="H209" s="53">
        <f>VLOOKUP($A209,'5 A calc'!$A$2:$AR$398,40,FALSE)*J209</f>
        <v>6.9224149508619701E-2</v>
      </c>
      <c r="I209" s="56">
        <f>VLOOKUP($A209,'5 A calc'!$A$2:$AR$398,28,FALSE)</f>
        <v>2.4822568333874395</v>
      </c>
      <c r="J209" s="49">
        <f>VLOOKUP($A209,'5 A calc'!$A$2:$AR$398,42,FALSE)</f>
        <v>2.2405339023694304</v>
      </c>
      <c r="L209" s="4">
        <f t="shared" si="56"/>
        <v>24.829516901206581</v>
      </c>
      <c r="M209" s="4">
        <f t="shared" si="57"/>
        <v>2.379750964335912</v>
      </c>
    </row>
    <row r="210" spans="1:13" x14ac:dyDescent="0.2">
      <c r="A210" s="409">
        <v>319</v>
      </c>
      <c r="C210" s="53">
        <f t="shared" si="55"/>
        <v>0.2</v>
      </c>
      <c r="D210" s="51">
        <f>VLOOKUP($A210,'5 A calc'!$A$2:$AR$398,4,FALSE)</f>
        <v>60</v>
      </c>
      <c r="E210" s="33">
        <f>VLOOKUP($A210,'5 A calc'!$A$2:$AR$398,13,FALSE)</f>
        <v>-0.49766285903615759</v>
      </c>
      <c r="F210" s="53">
        <f>VLOOKUP($A210,'5 A calc'!$A$2:$AR$398,14,FALSE)</f>
        <v>0.64654083041889188</v>
      </c>
      <c r="G210" s="33">
        <f>VLOOKUP($A210,'5 A calc'!$A$2:$AR$398,26,FALSE)*I210</f>
        <v>4.6555169618610691E-2</v>
      </c>
      <c r="H210" s="53">
        <f>VLOOKUP($A210,'5 A calc'!$A$2:$AR$398,40,FALSE)*J210</f>
        <v>7.3142829202850826E-2</v>
      </c>
      <c r="I210" s="56">
        <f>VLOOKUP($A210,'5 A calc'!$A$2:$AR$398,28,FALSE)</f>
        <v>2.4470993753080807</v>
      </c>
      <c r="J210" s="49">
        <f>VLOOKUP($A210,'5 A calc'!$A$2:$AR$398,42,FALSE)</f>
        <v>2.187888440383007</v>
      </c>
      <c r="L210" s="4">
        <f t="shared" si="56"/>
        <v>22.226436519531585</v>
      </c>
      <c r="M210" s="4">
        <f t="shared" si="57"/>
        <v>2.5144652489817476</v>
      </c>
    </row>
    <row r="211" spans="1:13" x14ac:dyDescent="0.2">
      <c r="A211" s="409">
        <v>320</v>
      </c>
      <c r="C211" s="53">
        <f t="shared" si="55"/>
        <v>0.2</v>
      </c>
      <c r="D211" s="51">
        <f>VLOOKUP($A211,'5 A calc'!$A$2:$AR$398,4,FALSE)</f>
        <v>100</v>
      </c>
      <c r="E211" s="33">
        <f>VLOOKUP($A211,'5 A calc'!$A$2:$AR$398,13,FALSE)</f>
        <v>-0.47768059193541701</v>
      </c>
      <c r="F211" s="53">
        <f>VLOOKUP($A211,'5 A calc'!$A$2:$AR$398,14,FALSE)</f>
        <v>0.53004979553016363</v>
      </c>
      <c r="G211" s="33">
        <f>VLOOKUP($A211,'5 A calc'!$A$2:$AR$398,26,FALSE)*I211</f>
        <v>4.5140528052207141E-2</v>
      </c>
      <c r="H211" s="53">
        <f>VLOOKUP($A211,'5 A calc'!$A$2:$AR$398,40,FALSE)*J211</f>
        <v>4.7371306102458426E-2</v>
      </c>
      <c r="I211" s="56">
        <f>VLOOKUP($A211,'5 A calc'!$A$2:$AR$398,28,FALSE)</f>
        <v>2.4604867866775311</v>
      </c>
      <c r="J211" s="49">
        <f>VLOOKUP($A211,'5 A calc'!$A$2:$AR$398,42,FALSE)</f>
        <v>2.2200949505109735</v>
      </c>
      <c r="L211" s="4">
        <f t="shared" si="56"/>
        <v>18.22176972939037</v>
      </c>
      <c r="M211" s="4">
        <f t="shared" si="57"/>
        <v>1.6285055458159134</v>
      </c>
    </row>
    <row r="212" spans="1:13" x14ac:dyDescent="0.2">
      <c r="A212" s="409">
        <v>321</v>
      </c>
      <c r="C212" s="53">
        <f t="shared" si="55"/>
        <v>0.2</v>
      </c>
      <c r="D212" s="51">
        <f>VLOOKUP($A212,'5 A calc'!$A$2:$AR$398,4,FALSE)</f>
        <v>120</v>
      </c>
      <c r="E212" s="33">
        <f>VLOOKUP($A212,'5 A calc'!$A$2:$AR$398,13,FALSE)</f>
        <v>-0.46369112064018547</v>
      </c>
      <c r="F212" s="53">
        <f>VLOOKUP($A212,'5 A calc'!$A$2:$AR$398,14,FALSE)</f>
        <v>0.483452887687983</v>
      </c>
      <c r="G212" s="33">
        <f>VLOOKUP($A212,'5 A calc'!$A$2:$AR$398,26,FALSE)*I212</f>
        <v>4.3644868433500447E-2</v>
      </c>
      <c r="H212" s="53">
        <f>VLOOKUP($A212,'5 A calc'!$A$2:$AR$398,40,FALSE)*J212</f>
        <v>3.9642738058997769E-2</v>
      </c>
      <c r="I212" s="56">
        <f>VLOOKUP($A212,'5 A calc'!$A$2:$AR$398,28,FALSE)</f>
        <v>2.5010197008396475</v>
      </c>
      <c r="J212" s="49">
        <f>VLOOKUP($A212,'5 A calc'!$A$2:$AR$398,42,FALSE)</f>
        <v>2.3300747523528984</v>
      </c>
      <c r="L212" s="4">
        <f t="shared" si="56"/>
        <v>16.619886034760178</v>
      </c>
      <c r="M212" s="4">
        <f t="shared" si="57"/>
        <v>1.3628169474739278</v>
      </c>
    </row>
    <row r="213" spans="1:13" x14ac:dyDescent="0.2">
      <c r="C213" s="119"/>
      <c r="D213" s="113"/>
      <c r="E213" s="119"/>
      <c r="F213" s="115"/>
      <c r="G213" s="114"/>
      <c r="H213" s="115"/>
      <c r="I213" s="116"/>
      <c r="J213" s="117"/>
      <c r="L213" s="27"/>
      <c r="M213" s="27"/>
    </row>
    <row r="214" spans="1:13" x14ac:dyDescent="0.2">
      <c r="A214" s="409">
        <v>323</v>
      </c>
      <c r="C214" s="53">
        <f t="shared" ref="C214:C220" si="58">low__burden</f>
        <v>0</v>
      </c>
      <c r="D214" s="51">
        <f>VLOOKUP($A214,'5 A calc'!$A$2:$AR$398,4,FALSE)</f>
        <v>5</v>
      </c>
      <c r="E214" s="33">
        <f>VLOOKUP($A214,'5 A calc'!$A$2:$AR$398,13,FALSE)</f>
        <v>-0.22482079134690611</v>
      </c>
      <c r="F214" s="53">
        <f>VLOOKUP($A214,'5 A calc'!$A$2:$AR$398,14,FALSE)</f>
        <v>0.39899268441763647</v>
      </c>
      <c r="G214" s="33">
        <f>VLOOKUP($A214,'5 A calc'!$A$2:$AR$398,26,FALSE)*I214</f>
        <v>5.8483241164900966E-2</v>
      </c>
      <c r="H214" s="53">
        <f>VLOOKUP($A214,'5 A calc'!$A$2:$AR$398,40,FALSE)*J214</f>
        <v>9.3980778213128752E-2</v>
      </c>
      <c r="I214" s="56">
        <f>VLOOKUP($A214,'5 A calc'!$A$2:$AR$398,28,FALSE)</f>
        <v>2.3555510708395948</v>
      </c>
      <c r="J214" s="49">
        <f>VLOOKUP($A214,'5 A calc'!$A$2:$AR$398,42,FALSE)</f>
        <v>2.2419882510079518</v>
      </c>
      <c r="L214" s="28">
        <f t="shared" ref="L214:L220" si="59">DEGREES(F214/100)*60</f>
        <v>13.716358124235441</v>
      </c>
      <c r="M214" s="28">
        <f t="shared" ref="M214:M220" si="60">DEGREES(H214/100)*60</f>
        <v>3.2308211681803893</v>
      </c>
    </row>
    <row r="215" spans="1:13" x14ac:dyDescent="0.2">
      <c r="A215" s="409">
        <v>324</v>
      </c>
      <c r="C215" s="53">
        <f t="shared" si="58"/>
        <v>0</v>
      </c>
      <c r="D215" s="51">
        <f>VLOOKUP($A215,'5 A calc'!$A$2:$AR$398,4,FALSE)</f>
        <v>10</v>
      </c>
      <c r="E215" s="33">
        <f>VLOOKUP($A215,'5 A calc'!$A$2:$AR$398,13,FALSE)</f>
        <v>-0.18384885587892241</v>
      </c>
      <c r="F215" s="53">
        <f>VLOOKUP($A215,'5 A calc'!$A$2:$AR$398,14,FALSE)</f>
        <v>0.30288399594127929</v>
      </c>
      <c r="G215" s="33">
        <f>VLOOKUP($A215,'5 A calc'!$A$2:$AR$398,26,FALSE)*I215</f>
        <v>5.3057999577845301E-2</v>
      </c>
      <c r="H215" s="53">
        <f>VLOOKUP($A215,'5 A calc'!$A$2:$AR$398,40,FALSE)*J215</f>
        <v>8.321527857846156E-2</v>
      </c>
      <c r="I215" s="56">
        <f>VLOOKUP($A215,'5 A calc'!$A$2:$AR$398,28,FALSE)</f>
        <v>2.437006265589023</v>
      </c>
      <c r="J215" s="49">
        <f>VLOOKUP($A215,'5 A calc'!$A$2:$AR$398,42,FALSE)</f>
        <v>2.3736894340924959</v>
      </c>
      <c r="L215" s="28">
        <f t="shared" si="59"/>
        <v>10.412384789695716</v>
      </c>
      <c r="M215" s="28">
        <f t="shared" si="60"/>
        <v>2.8607305521307538</v>
      </c>
    </row>
    <row r="216" spans="1:13" x14ac:dyDescent="0.2">
      <c r="A216" s="409">
        <v>325</v>
      </c>
      <c r="C216" s="53">
        <f t="shared" si="58"/>
        <v>0</v>
      </c>
      <c r="D216" s="51">
        <f>VLOOKUP($A216,'5 A calc'!$A$2:$AR$398,4,FALSE)</f>
        <v>20</v>
      </c>
      <c r="E216" s="33">
        <f>VLOOKUP($A216,'5 A calc'!$A$2:$AR$398,13,FALSE)</f>
        <v>-0.15686935402990917</v>
      </c>
      <c r="F216" s="53">
        <f>VLOOKUP($A216,'5 A calc'!$A$2:$AR$398,14,FALSE)</f>
        <v>0.24463951999670613</v>
      </c>
      <c r="G216" s="33">
        <f>VLOOKUP($A216,'5 A calc'!$A$2:$AR$398,26,FALSE)*I216</f>
        <v>4.9598304787330405E-2</v>
      </c>
      <c r="H216" s="53">
        <f>VLOOKUP($A216,'5 A calc'!$A$2:$AR$398,40,FALSE)*J216</f>
        <v>7.3848904531309073E-2</v>
      </c>
      <c r="I216" s="56">
        <f>VLOOKUP($A216,'5 A calc'!$A$2:$AR$398,28,FALSE)</f>
        <v>2.4867432835348753</v>
      </c>
      <c r="J216" s="49">
        <f>VLOOKUP($A216,'5 A calc'!$A$2:$AR$398,42,FALSE)</f>
        <v>2.4372423683564453</v>
      </c>
      <c r="L216" s="28">
        <f t="shared" si="59"/>
        <v>8.4100871987505403</v>
      </c>
      <c r="M216" s="28">
        <f t="shared" si="60"/>
        <v>2.5387383307851303</v>
      </c>
    </row>
    <row r="217" spans="1:13" x14ac:dyDescent="0.2">
      <c r="A217" s="409">
        <v>326</v>
      </c>
      <c r="C217" s="53">
        <f t="shared" si="58"/>
        <v>0</v>
      </c>
      <c r="D217" s="51">
        <f>VLOOKUP($A217,'5 A calc'!$A$2:$AR$398,4,FALSE)</f>
        <v>40</v>
      </c>
      <c r="E217" s="33">
        <f>VLOOKUP($A217,'5 A calc'!$A$2:$AR$398,13,FALSE)</f>
        <v>-0.13888682659650839</v>
      </c>
      <c r="F217" s="53">
        <f>VLOOKUP($A217,'5 A calc'!$A$2:$AR$398,14,FALSE)</f>
        <v>0.20678053828216644</v>
      </c>
      <c r="G217" s="33">
        <f>VLOOKUP($A217,'5 A calc'!$A$2:$AR$398,26,FALSE)*I217</f>
        <v>4.7104101494754809E-2</v>
      </c>
      <c r="H217" s="53">
        <f>VLOOKUP($A217,'5 A calc'!$A$2:$AR$398,40,FALSE)*J217</f>
        <v>6.5292665904730554E-2</v>
      </c>
      <c r="I217" s="56">
        <f>VLOOKUP($A217,'5 A calc'!$A$2:$AR$398,28,FALSE)</f>
        <v>2.520625852817322</v>
      </c>
      <c r="J217" s="49">
        <f>VLOOKUP($A217,'5 A calc'!$A$2:$AR$398,42,FALSE)</f>
        <v>2.4820721630183162</v>
      </c>
      <c r="L217" s="28">
        <f t="shared" si="59"/>
        <v>7.1085912774068918</v>
      </c>
      <c r="M217" s="28">
        <f t="shared" si="60"/>
        <v>2.2445965136992734</v>
      </c>
    </row>
    <row r="218" spans="1:13" x14ac:dyDescent="0.2">
      <c r="A218" s="409">
        <v>327</v>
      </c>
      <c r="C218" s="53">
        <f t="shared" si="58"/>
        <v>0</v>
      </c>
      <c r="D218" s="51">
        <f>VLOOKUP($A218,'5 A calc'!$A$2:$AR$398,4,FALSE)</f>
        <v>60</v>
      </c>
      <c r="E218" s="33">
        <f>VLOOKUP($A218,'5 A calc'!$A$2:$AR$398,13,FALSE)</f>
        <v>-0.13089513369565337</v>
      </c>
      <c r="F218" s="53">
        <f>VLOOKUP($A218,'5 A calc'!$A$2:$AR$398,14,FALSE)</f>
        <v>0.19221874202653608</v>
      </c>
      <c r="G218" s="33">
        <f>VLOOKUP($A218,'5 A calc'!$A$2:$AR$398,26,FALSE)*I218</f>
        <v>4.6590170575882016E-2</v>
      </c>
      <c r="H218" s="53">
        <f>VLOOKUP($A218,'5 A calc'!$A$2:$AR$398,40,FALSE)*J218</f>
        <v>5.7537677162024743E-2</v>
      </c>
      <c r="I218" s="56">
        <f>VLOOKUP($A218,'5 A calc'!$A$2:$AR$398,28,FALSE)</f>
        <v>2.5175170134819886</v>
      </c>
      <c r="J218" s="49">
        <f>VLOOKUP($A218,'5 A calc'!$A$2:$AR$398,42,FALSE)</f>
        <v>2.4669958671042229</v>
      </c>
      <c r="L218" s="28">
        <f t="shared" si="59"/>
        <v>6.6079935968606769</v>
      </c>
      <c r="M218" s="28">
        <f t="shared" si="60"/>
        <v>1.9779996386221694</v>
      </c>
    </row>
    <row r="219" spans="1:13" x14ac:dyDescent="0.2">
      <c r="A219" s="409">
        <v>328</v>
      </c>
      <c r="C219" s="53">
        <f t="shared" si="58"/>
        <v>0</v>
      </c>
      <c r="D219" s="51">
        <f>VLOOKUP($A219,'5 A calc'!$A$2:$AR$398,4,FALSE)</f>
        <v>100</v>
      </c>
      <c r="E219" s="33">
        <f>VLOOKUP($A219,'5 A calc'!$A$2:$AR$398,13,FALSE)</f>
        <v>-0.12190590468413766</v>
      </c>
      <c r="F219" s="53">
        <f>VLOOKUP($A219,'5 A calc'!$A$2:$AR$398,14,FALSE)</f>
        <v>0.1776589449181441</v>
      </c>
      <c r="G219" s="33">
        <f>VLOOKUP($A219,'5 A calc'!$A$2:$AR$398,26,FALSE)*I219</f>
        <v>4.5191403816693287E-2</v>
      </c>
      <c r="H219" s="53">
        <f>VLOOKUP($A219,'5 A calc'!$A$2:$AR$398,40,FALSE)*J219</f>
        <v>4.4631845170417135E-2</v>
      </c>
      <c r="I219" s="56">
        <f>VLOOKUP($A219,'5 A calc'!$A$2:$AR$398,28,FALSE)</f>
        <v>2.5165127728435586</v>
      </c>
      <c r="J219" s="49">
        <f>VLOOKUP($A219,'5 A calc'!$A$2:$AR$398,42,FALSE)</f>
        <v>2.454456828057817</v>
      </c>
      <c r="L219" s="28">
        <f t="shared" si="59"/>
        <v>6.1074646419340937</v>
      </c>
      <c r="M219" s="28">
        <f t="shared" si="60"/>
        <v>1.5343298160877492</v>
      </c>
    </row>
    <row r="220" spans="1:13" x14ac:dyDescent="0.2">
      <c r="A220" s="409">
        <v>329</v>
      </c>
      <c r="C220" s="53">
        <f t="shared" si="58"/>
        <v>0</v>
      </c>
      <c r="D220" s="51">
        <f>VLOOKUP($A220,'5 A calc'!$A$2:$AR$398,4,FALSE)</f>
        <v>120</v>
      </c>
      <c r="E220" s="33">
        <f>VLOOKUP($A220,'5 A calc'!$A$2:$AR$398,13,FALSE)</f>
        <v>-0.1199088385771515</v>
      </c>
      <c r="F220" s="53">
        <f>VLOOKUP($A220,'5 A calc'!$A$2:$AR$398,14,FALSE)</f>
        <v>0.17474685326753611</v>
      </c>
      <c r="G220" s="33">
        <f>VLOOKUP($A220,'5 A calc'!$A$2:$AR$398,26,FALSE)*I220</f>
        <v>4.3695056265408289E-2</v>
      </c>
      <c r="H220" s="53">
        <f>VLOOKUP($A220,'5 A calc'!$A$2:$AR$398,40,FALSE)*J220</f>
        <v>3.9102718433785856E-2</v>
      </c>
      <c r="I220" s="56">
        <f>VLOOKUP($A220,'5 A calc'!$A$2:$AR$398,28,FALSE)</f>
        <v>2.5298281136224894</v>
      </c>
      <c r="J220" s="49">
        <f>VLOOKUP($A220,'5 A calc'!$A$2:$AR$398,42,FALSE)</f>
        <v>2.4635997825998093</v>
      </c>
      <c r="L220" s="28">
        <f t="shared" si="59"/>
        <v>6.0073543052530196</v>
      </c>
      <c r="M220" s="28">
        <f t="shared" si="60"/>
        <v>1.3442524402466005</v>
      </c>
    </row>
    <row r="221" spans="1:13" x14ac:dyDescent="0.2">
      <c r="C221" s="39"/>
      <c r="D221" s="52"/>
      <c r="E221" s="38"/>
      <c r="F221" s="52"/>
      <c r="G221" s="38"/>
      <c r="H221" s="52"/>
      <c r="I221" s="52"/>
      <c r="J221" s="40"/>
      <c r="L221" s="4"/>
      <c r="M221" s="4"/>
    </row>
    <row r="223" spans="1:13" x14ac:dyDescent="0.2">
      <c r="A223" s="409">
        <v>331</v>
      </c>
      <c r="C223" s="60" t="str">
        <f>"Table "&amp;L223&amp;". Ratio "&amp;LEFT(M223,FIND("/",M223)-1)&amp;":5."&amp;"  Secondary: "&amp;K223</f>
        <v>Table . Ratio 200:5.  Secondary: S1 - S2</v>
      </c>
      <c r="D223" s="18"/>
      <c r="E223" s="18"/>
      <c r="F223" s="18"/>
      <c r="G223" s="18"/>
      <c r="H223" s="10"/>
      <c r="I223" s="10"/>
      <c r="J223" s="11"/>
      <c r="K223" s="95" t="str">
        <f>VLOOKUP($A223+1,'5 A data'!$A$2:$AP$526,2,FALSE)</f>
        <v>S1 - S2</v>
      </c>
      <c r="L223" s="97"/>
      <c r="M223" s="95" t="str">
        <f>VLOOKUP($A223,'5 A calc'!$A$2:$AR$398,4,FALSE)</f>
        <v>200/5 Range, 1 turns @ 5VA burden, vs 120 AT, 200 range, 2 Stage CT</v>
      </c>
    </row>
    <row r="224" spans="1:13" x14ac:dyDescent="0.2">
      <c r="A224" s="409"/>
      <c r="C224" s="12"/>
      <c r="D224" s="13"/>
      <c r="E224" s="643" t="s">
        <v>19</v>
      </c>
      <c r="F224" s="644"/>
      <c r="G224" s="643" t="s">
        <v>20</v>
      </c>
      <c r="H224" s="644"/>
      <c r="I224" s="645" t="s">
        <v>8</v>
      </c>
      <c r="J224" s="646"/>
      <c r="L224" s="67"/>
    </row>
    <row r="225" spans="1:13" ht="51" x14ac:dyDescent="0.2">
      <c r="A225" s="409"/>
      <c r="C225" s="12" t="s">
        <v>169</v>
      </c>
      <c r="D225" s="54" t="s">
        <v>241</v>
      </c>
      <c r="E225" s="54" t="s">
        <v>294</v>
      </c>
      <c r="F225" s="13" t="s">
        <v>239</v>
      </c>
      <c r="G225" s="54" t="s">
        <v>294</v>
      </c>
      <c r="H225" s="13" t="s">
        <v>239</v>
      </c>
      <c r="I225" s="54" t="s">
        <v>158</v>
      </c>
      <c r="J225" s="13" t="s">
        <v>159</v>
      </c>
      <c r="L225" s="498" t="s">
        <v>59</v>
      </c>
      <c r="M225" s="498" t="s">
        <v>478</v>
      </c>
    </row>
    <row r="226" spans="1:13" x14ac:dyDescent="0.2">
      <c r="A226" s="409">
        <v>333</v>
      </c>
      <c r="C226" s="53">
        <f t="shared" ref="C226:C232" si="61">high_burden</f>
        <v>0.2</v>
      </c>
      <c r="D226" s="57">
        <f>VLOOKUP($A226,'5 A calc'!$A$2:$AR$398,4,FALSE)</f>
        <v>5</v>
      </c>
      <c r="E226" s="33">
        <f>VLOOKUP($A226,'5 A calc'!$A$2:$AR$398,13,FALSE)</f>
        <v>-0.69352396078749601</v>
      </c>
      <c r="F226" s="53">
        <f>VLOOKUP($A226,'5 A calc'!$A$2:$AR$398,14,FALSE)</f>
        <v>1.0542649272912266</v>
      </c>
      <c r="G226" s="33">
        <f>VLOOKUP($A226,'5 A calc'!$A$2:$AR$398,26,FALSE)*I226</f>
        <v>6.3724067058957168E-2</v>
      </c>
      <c r="H226" s="53">
        <f>VLOOKUP($A226,'5 A calc'!$A$2:$AR$398,40,FALSE)*J226</f>
        <v>9.8744789339969413E-2</v>
      </c>
      <c r="I226" s="56">
        <f>VLOOKUP($A226,'5 A calc'!$A$2:$AR$398,28,FALSE)</f>
        <v>2.2346105847555555</v>
      </c>
      <c r="J226" s="49">
        <f>VLOOKUP($A226,'5 A calc'!$A$2:$AR$398,42,FALSE)</f>
        <v>2.1729056525176875</v>
      </c>
      <c r="L226" s="4">
        <f t="shared" ref="L226:L232" si="62">DEGREES(F226/100)*60</f>
        <v>36.242958493472329</v>
      </c>
      <c r="M226" s="4">
        <f>DEGREES(H226/100)*60</f>
        <v>3.3945958068531894</v>
      </c>
    </row>
    <row r="227" spans="1:13" x14ac:dyDescent="0.2">
      <c r="A227" s="409">
        <v>334</v>
      </c>
      <c r="C227" s="53">
        <f t="shared" si="61"/>
        <v>0.2</v>
      </c>
      <c r="D227" s="57">
        <f>VLOOKUP($A227,'5 A calc'!$A$2:$AR$398,4,FALSE)</f>
        <v>10</v>
      </c>
      <c r="E227" s="33">
        <f>VLOOKUP($A227,'5 A calc'!$A$2:$AR$398,13,FALSE)</f>
        <v>-0.61757417685379667</v>
      </c>
      <c r="F227" s="53">
        <f>VLOOKUP($A227,'5 A calc'!$A$2:$AR$398,14,FALSE)</f>
        <v>0.91447142262329661</v>
      </c>
      <c r="G227" s="33">
        <f>VLOOKUP($A227,'5 A calc'!$A$2:$AR$398,26,FALSE)*I227</f>
        <v>5.6605260480988392E-2</v>
      </c>
      <c r="H227" s="53">
        <f>VLOOKUP($A227,'5 A calc'!$A$2:$AR$398,40,FALSE)*J227</f>
        <v>8.5735328352758322E-2</v>
      </c>
      <c r="I227" s="56">
        <f>VLOOKUP($A227,'5 A calc'!$A$2:$AR$398,28,FALSE)</f>
        <v>2.2807887121911588</v>
      </c>
      <c r="J227" s="49">
        <f>VLOOKUP($A227,'5 A calc'!$A$2:$AR$398,42,FALSE)</f>
        <v>2.2132073433938788</v>
      </c>
      <c r="L227" s="4">
        <f t="shared" si="62"/>
        <v>31.437211800983473</v>
      </c>
      <c r="M227" s="4">
        <f t="shared" ref="M227:M232" si="63">DEGREES(H227/100)*60</f>
        <v>2.9473634818688139</v>
      </c>
    </row>
    <row r="228" spans="1:13" x14ac:dyDescent="0.2">
      <c r="A228" s="409">
        <v>335</v>
      </c>
      <c r="C228" s="53">
        <f t="shared" si="61"/>
        <v>0.2</v>
      </c>
      <c r="D228" s="57">
        <f>VLOOKUP($A228,'5 A calc'!$A$2:$AR$398,4,FALSE)</f>
        <v>20</v>
      </c>
      <c r="E228" s="33">
        <f>VLOOKUP($A228,'5 A calc'!$A$2:$AR$398,13,FALSE)</f>
        <v>-0.5586149278361292</v>
      </c>
      <c r="F228" s="53">
        <f>VLOOKUP($A228,'5 A calc'!$A$2:$AR$398,14,FALSE)</f>
        <v>0.80380516724883622</v>
      </c>
      <c r="G228" s="33">
        <f>VLOOKUP($A228,'5 A calc'!$A$2:$AR$398,26,FALSE)*I228</f>
        <v>5.1826468451619638E-2</v>
      </c>
      <c r="H228" s="53">
        <f>VLOOKUP($A228,'5 A calc'!$A$2:$AR$398,40,FALSE)*J228</f>
        <v>7.6183270654182692E-2</v>
      </c>
      <c r="I228" s="56">
        <f>VLOOKUP($A228,'5 A calc'!$A$2:$AR$398,28,FALSE)</f>
        <v>2.3209908553518308</v>
      </c>
      <c r="J228" s="49">
        <f>VLOOKUP($A228,'5 A calc'!$A$2:$AR$398,42,FALSE)</f>
        <v>2.2330557774536817</v>
      </c>
      <c r="L228" s="4">
        <f t="shared" si="62"/>
        <v>27.632786180499348</v>
      </c>
      <c r="M228" s="4">
        <f t="shared" si="63"/>
        <v>2.6189879267925158</v>
      </c>
    </row>
    <row r="229" spans="1:13" x14ac:dyDescent="0.2">
      <c r="A229" s="409">
        <v>336</v>
      </c>
      <c r="C229" s="53">
        <f t="shared" si="61"/>
        <v>0.2</v>
      </c>
      <c r="D229" s="57">
        <f>VLOOKUP($A229,'5 A calc'!$A$2:$AR$398,4,FALSE)</f>
        <v>40</v>
      </c>
      <c r="E229" s="33">
        <f>VLOOKUP($A229,'5 A calc'!$A$2:$AR$398,13,FALSE)</f>
        <v>-0.51165075453113529</v>
      </c>
      <c r="F229" s="53">
        <f>VLOOKUP($A229,'5 A calc'!$A$2:$AR$398,14,FALSE)</f>
        <v>0.71352440610440937</v>
      </c>
      <c r="G229" s="33">
        <f>VLOOKUP($A229,'5 A calc'!$A$2:$AR$398,26,FALSE)*I229</f>
        <v>4.7300412721635252E-2</v>
      </c>
      <c r="H229" s="53">
        <f>VLOOKUP($A229,'5 A calc'!$A$2:$AR$398,40,FALSE)*J229</f>
        <v>6.7112617141677114E-2</v>
      </c>
      <c r="I229" s="56">
        <f>VLOOKUP($A229,'5 A calc'!$A$2:$AR$398,28,FALSE)</f>
        <v>2.475468615755402</v>
      </c>
      <c r="J229" s="49">
        <f>VLOOKUP($A229,'5 A calc'!$A$2:$AR$398,42,FALSE)</f>
        <v>2.248479418656157</v>
      </c>
      <c r="L229" s="4">
        <f t="shared" si="62"/>
        <v>24.529162229616752</v>
      </c>
      <c r="M229" s="4">
        <f t="shared" si="63"/>
        <v>2.3071618285772648</v>
      </c>
    </row>
    <row r="230" spans="1:13" x14ac:dyDescent="0.2">
      <c r="A230" s="409">
        <v>337</v>
      </c>
      <c r="C230" s="53">
        <f t="shared" si="61"/>
        <v>0.2</v>
      </c>
      <c r="D230" s="51">
        <f>VLOOKUP($A230,'5 A calc'!$A$2:$AR$398,4,FALSE)</f>
        <v>60</v>
      </c>
      <c r="E230" s="33">
        <f>VLOOKUP($A230,'5 A calc'!$A$2:$AR$398,13,FALSE)</f>
        <v>-0.49766285903615759</v>
      </c>
      <c r="F230" s="53">
        <f>VLOOKUP($A230,'5 A calc'!$A$2:$AR$398,14,FALSE)</f>
        <v>0.64362850933945381</v>
      </c>
      <c r="G230" s="33">
        <f>VLOOKUP($A230,'5 A calc'!$A$2:$AR$398,26,FALSE)*I230</f>
        <v>4.6555169618610691E-2</v>
      </c>
      <c r="H230" s="53">
        <f>VLOOKUP($A230,'5 A calc'!$A$2:$AR$398,40,FALSE)*J230</f>
        <v>7.1788486947699084E-2</v>
      </c>
      <c r="I230" s="56">
        <f>VLOOKUP($A230,'5 A calc'!$A$2:$AR$398,28,FALSE)</f>
        <v>2.4470993753080807</v>
      </c>
      <c r="J230" s="49">
        <f>VLOOKUP($A230,'5 A calc'!$A$2:$AR$398,42,FALSE)</f>
        <v>2.186784835828715</v>
      </c>
      <c r="L230" s="4">
        <f t="shared" si="62"/>
        <v>22.126318295668316</v>
      </c>
      <c r="M230" s="4">
        <f t="shared" si="63"/>
        <v>2.4679063918398931</v>
      </c>
    </row>
    <row r="231" spans="1:13" x14ac:dyDescent="0.2">
      <c r="A231" s="409">
        <v>338</v>
      </c>
      <c r="C231" s="53">
        <f t="shared" si="61"/>
        <v>0.2</v>
      </c>
      <c r="D231" s="51">
        <f>VLOOKUP($A231,'5 A calc'!$A$2:$AR$398,4,FALSE)</f>
        <v>100</v>
      </c>
      <c r="E231" s="33">
        <f>VLOOKUP($A231,'5 A calc'!$A$2:$AR$398,13,FALSE)</f>
        <v>-0.47768059193541701</v>
      </c>
      <c r="F231" s="53">
        <f>VLOOKUP($A231,'5 A calc'!$A$2:$AR$398,14,FALSE)</f>
        <v>0.53004979553016363</v>
      </c>
      <c r="G231" s="33">
        <f>VLOOKUP($A231,'5 A calc'!$A$2:$AR$398,26,FALSE)*I231</f>
        <v>4.5140528052207141E-2</v>
      </c>
      <c r="H231" s="53">
        <f>VLOOKUP($A231,'5 A calc'!$A$2:$AR$398,40,FALSE)*J231</f>
        <v>4.6684197764031252E-2</v>
      </c>
      <c r="I231" s="56">
        <f>VLOOKUP($A231,'5 A calc'!$A$2:$AR$398,28,FALSE)</f>
        <v>2.4604867866775311</v>
      </c>
      <c r="J231" s="49">
        <f>VLOOKUP($A231,'5 A calc'!$A$2:$AR$398,42,FALSE)</f>
        <v>2.2383831536602683</v>
      </c>
      <c r="L231" s="4">
        <f t="shared" si="62"/>
        <v>18.22176972939037</v>
      </c>
      <c r="M231" s="4">
        <f t="shared" si="63"/>
        <v>1.6048845010998392</v>
      </c>
    </row>
    <row r="232" spans="1:13" x14ac:dyDescent="0.2">
      <c r="A232" s="409">
        <v>339</v>
      </c>
      <c r="C232" s="53">
        <f t="shared" si="61"/>
        <v>0.2</v>
      </c>
      <c r="D232" s="51">
        <f>VLOOKUP($A232,'5 A calc'!$A$2:$AR$398,4,FALSE)</f>
        <v>120</v>
      </c>
      <c r="E232" s="33">
        <f>VLOOKUP($A232,'5 A calc'!$A$2:$AR$398,13,FALSE)</f>
        <v>-0.46369112064018547</v>
      </c>
      <c r="F232" s="53">
        <f>VLOOKUP($A232,'5 A calc'!$A$2:$AR$398,14,FALSE)</f>
        <v>0.48927752984685935</v>
      </c>
      <c r="G232" s="33">
        <f>VLOOKUP($A232,'5 A calc'!$A$2:$AR$398,26,FALSE)*I232</f>
        <v>4.3644868433500447E-2</v>
      </c>
      <c r="H232" s="53">
        <f>VLOOKUP($A232,'5 A calc'!$A$2:$AR$398,40,FALSE)*J232</f>
        <v>4.0346499138961107E-2</v>
      </c>
      <c r="I232" s="56">
        <f>VLOOKUP($A232,'5 A calc'!$A$2:$AR$398,28,FALSE)</f>
        <v>2.5010197008396475</v>
      </c>
      <c r="J232" s="49">
        <f>VLOOKUP($A232,'5 A calc'!$A$2:$AR$398,42,FALSE)</f>
        <v>2.3348208070560967</v>
      </c>
      <c r="L232" s="4">
        <f t="shared" si="62"/>
        <v>16.820122482486724</v>
      </c>
      <c r="M232" s="4">
        <f t="shared" si="63"/>
        <v>1.3870104712744089</v>
      </c>
    </row>
    <row r="233" spans="1:13" x14ac:dyDescent="0.2">
      <c r="A233" s="68"/>
      <c r="C233" s="119"/>
      <c r="D233" s="113"/>
      <c r="E233" s="119"/>
      <c r="F233" s="115"/>
      <c r="G233" s="114"/>
      <c r="H233" s="115"/>
      <c r="I233" s="116"/>
      <c r="J233" s="117"/>
      <c r="L233" s="27"/>
      <c r="M233" s="27"/>
    </row>
    <row r="234" spans="1:13" x14ac:dyDescent="0.2">
      <c r="A234" s="409">
        <v>341</v>
      </c>
      <c r="C234" s="53">
        <f t="shared" ref="C234:C240" si="64">low__burden</f>
        <v>0</v>
      </c>
      <c r="D234" s="51">
        <f>VLOOKUP($A234,'5 A calc'!$A$2:$AR$398,4,FALSE)</f>
        <v>5</v>
      </c>
      <c r="E234" s="33">
        <f>VLOOKUP($A234,'5 A calc'!$A$2:$AR$398,13,FALSE)</f>
        <v>-0.226819525544947</v>
      </c>
      <c r="F234" s="53">
        <f>VLOOKUP($A234,'5 A calc'!$A$2:$AR$398,14,FALSE)</f>
        <v>0.39462420279847921</v>
      </c>
      <c r="G234" s="33">
        <f>VLOOKUP($A234,'5 A calc'!$A$2:$AR$398,26,FALSE)*I234</f>
        <v>5.9577365567696113E-2</v>
      </c>
      <c r="H234" s="53">
        <f>VLOOKUP($A234,'5 A calc'!$A$2:$AR$398,40,FALSE)*J234</f>
        <v>8.8457532334673517E-2</v>
      </c>
      <c r="I234" s="56">
        <f>VLOOKUP($A234,'5 A calc'!$A$2:$AR$398,28,FALSE)</f>
        <v>2.3735135634267168</v>
      </c>
      <c r="J234" s="49">
        <f>VLOOKUP($A234,'5 A calc'!$A$2:$AR$398,42,FALSE)</f>
        <v>2.2319409555821723</v>
      </c>
      <c r="L234" s="28">
        <f t="shared" ref="L234:L240" si="65">DEGREES(F234/100)*60</f>
        <v>13.566180788440532</v>
      </c>
      <c r="M234" s="28">
        <f t="shared" ref="M234:M240" si="66">DEGREES(H234/100)*60</f>
        <v>3.0409459613512824</v>
      </c>
    </row>
    <row r="235" spans="1:13" x14ac:dyDescent="0.2">
      <c r="A235" s="409">
        <v>342</v>
      </c>
      <c r="C235" s="53">
        <f t="shared" si="64"/>
        <v>0</v>
      </c>
      <c r="D235" s="51">
        <f>VLOOKUP($A235,'5 A calc'!$A$2:$AR$398,4,FALSE)</f>
        <v>10</v>
      </c>
      <c r="E235" s="33">
        <f>VLOOKUP($A235,'5 A calc'!$A$2:$AR$398,13,FALSE)</f>
        <v>-0.18884569137402465</v>
      </c>
      <c r="F235" s="53">
        <f>VLOOKUP($A235,'5 A calc'!$A$2:$AR$398,14,FALSE)</f>
        <v>0.30288399594127929</v>
      </c>
      <c r="G235" s="33">
        <f>VLOOKUP($A235,'5 A calc'!$A$2:$AR$398,26,FALSE)*I235</f>
        <v>5.4489115050746884E-2</v>
      </c>
      <c r="H235" s="53">
        <f>VLOOKUP($A235,'5 A calc'!$A$2:$AR$398,40,FALSE)*J235</f>
        <v>7.8225398019486789E-2</v>
      </c>
      <c r="I235" s="56">
        <f>VLOOKUP($A235,'5 A calc'!$A$2:$AR$398,28,FALSE)</f>
        <v>2.4267208123197976</v>
      </c>
      <c r="J235" s="49">
        <f>VLOOKUP($A235,'5 A calc'!$A$2:$AR$398,42,FALSE)</f>
        <v>2.35806291360803</v>
      </c>
      <c r="L235" s="28">
        <f t="shared" si="65"/>
        <v>10.412384789695716</v>
      </c>
      <c r="M235" s="28">
        <f t="shared" si="66"/>
        <v>2.6891910943485726</v>
      </c>
    </row>
    <row r="236" spans="1:13" x14ac:dyDescent="0.2">
      <c r="A236" s="409">
        <v>343</v>
      </c>
      <c r="C236" s="53">
        <f t="shared" si="64"/>
        <v>0</v>
      </c>
      <c r="D236" s="51">
        <f>VLOOKUP($A236,'5 A calc'!$A$2:$AR$398,4,FALSE)</f>
        <v>20</v>
      </c>
      <c r="E236" s="33">
        <f>VLOOKUP($A236,'5 A calc'!$A$2:$AR$398,13,FALSE)</f>
        <v>-0.15886808822795007</v>
      </c>
      <c r="F236" s="53">
        <f>VLOOKUP($A236,'5 A calc'!$A$2:$AR$398,14,FALSE)</f>
        <v>0.24463951999670613</v>
      </c>
      <c r="G236" s="33">
        <f>VLOOKUP($A236,'5 A calc'!$A$2:$AR$398,26,FALSE)*I236</f>
        <v>5.0738295135892911E-2</v>
      </c>
      <c r="H236" s="53">
        <f>VLOOKUP($A236,'5 A calc'!$A$2:$AR$398,40,FALSE)*J236</f>
        <v>7.0879705773845336E-2</v>
      </c>
      <c r="I236" s="56">
        <f>VLOOKUP($A236,'5 A calc'!$A$2:$AR$398,28,FALSE)</f>
        <v>2.4797520082509505</v>
      </c>
      <c r="J236" s="49">
        <f>VLOOKUP($A236,'5 A calc'!$A$2:$AR$398,42,FALSE)</f>
        <v>2.4407910914525131</v>
      </c>
      <c r="L236" s="28">
        <f t="shared" si="65"/>
        <v>8.4100871987505403</v>
      </c>
      <c r="M236" s="28">
        <f t="shared" si="66"/>
        <v>2.4366647963822343</v>
      </c>
    </row>
    <row r="237" spans="1:13" x14ac:dyDescent="0.2">
      <c r="A237" s="409">
        <v>344</v>
      </c>
      <c r="C237" s="53">
        <f t="shared" si="64"/>
        <v>0</v>
      </c>
      <c r="D237" s="51">
        <f>VLOOKUP($A237,'5 A calc'!$A$2:$AR$398,4,FALSE)</f>
        <v>40</v>
      </c>
      <c r="E237" s="33">
        <f>VLOOKUP($A237,'5 A calc'!$A$2:$AR$398,13,FALSE)</f>
        <v>-0.13888682659650839</v>
      </c>
      <c r="F237" s="53">
        <f>VLOOKUP($A237,'5 A calc'!$A$2:$AR$398,14,FALSE)</f>
        <v>0.20969285936160462</v>
      </c>
      <c r="G237" s="33">
        <f>VLOOKUP($A237,'5 A calc'!$A$2:$AR$398,26,FALSE)*I237</f>
        <v>4.7358498933592647E-2</v>
      </c>
      <c r="H237" s="53">
        <f>VLOOKUP($A237,'5 A calc'!$A$2:$AR$398,40,FALSE)*J237</f>
        <v>6.3814634977482007E-2</v>
      </c>
      <c r="I237" s="56">
        <f>VLOOKUP($A237,'5 A calc'!$A$2:$AR$398,28,FALSE)</f>
        <v>2.5208483056505973</v>
      </c>
      <c r="J237" s="49">
        <f>VLOOKUP($A237,'5 A calc'!$A$2:$AR$398,42,FALSE)</f>
        <v>2.4794857692601306</v>
      </c>
      <c r="L237" s="28">
        <f t="shared" si="65"/>
        <v>7.2087095012701674</v>
      </c>
      <c r="M237" s="28">
        <f t="shared" si="66"/>
        <v>2.1937855532265838</v>
      </c>
    </row>
    <row r="238" spans="1:13" x14ac:dyDescent="0.2">
      <c r="A238" s="409">
        <v>345</v>
      </c>
      <c r="C238" s="53">
        <f t="shared" si="64"/>
        <v>0</v>
      </c>
      <c r="D238" s="51">
        <f>VLOOKUP($A238,'5 A calc'!$A$2:$AR$398,4,FALSE)</f>
        <v>60</v>
      </c>
      <c r="E238" s="33">
        <f>VLOOKUP($A238,'5 A calc'!$A$2:$AR$398,13,FALSE)</f>
        <v>-0.13089513369565337</v>
      </c>
      <c r="F238" s="53">
        <f>VLOOKUP($A238,'5 A calc'!$A$2:$AR$398,14,FALSE)</f>
        <v>0.19513106310597425</v>
      </c>
      <c r="G238" s="33">
        <f>VLOOKUP($A238,'5 A calc'!$A$2:$AR$398,26,FALSE)*I238</f>
        <v>4.6590170575882016E-2</v>
      </c>
      <c r="H238" s="53">
        <f>VLOOKUP($A238,'5 A calc'!$A$2:$AR$398,40,FALSE)*J238</f>
        <v>5.6802426595514294E-2</v>
      </c>
      <c r="I238" s="56">
        <f>VLOOKUP($A238,'5 A calc'!$A$2:$AR$398,28,FALSE)</f>
        <v>2.5175170134819886</v>
      </c>
      <c r="J238" s="49">
        <f>VLOOKUP($A238,'5 A calc'!$A$2:$AR$398,42,FALSE)</f>
        <v>2.4567292346508052</v>
      </c>
      <c r="L238" s="28">
        <f t="shared" si="65"/>
        <v>6.7081118207239525</v>
      </c>
      <c r="M238" s="28">
        <f t="shared" si="66"/>
        <v>1.9527235860147782</v>
      </c>
    </row>
    <row r="239" spans="1:13" x14ac:dyDescent="0.2">
      <c r="A239" s="409">
        <v>346</v>
      </c>
      <c r="C239" s="53">
        <f t="shared" si="64"/>
        <v>0</v>
      </c>
      <c r="D239" s="51">
        <f>VLOOKUP($A239,'5 A calc'!$A$2:$AR$398,4,FALSE)</f>
        <v>100</v>
      </c>
      <c r="E239" s="33">
        <f>VLOOKUP($A239,'5 A calc'!$A$2:$AR$398,13,FALSE)</f>
        <v>-0.12190590468413766</v>
      </c>
      <c r="F239" s="53">
        <f>VLOOKUP($A239,'5 A calc'!$A$2:$AR$398,14,FALSE)</f>
        <v>0.1776589449181441</v>
      </c>
      <c r="G239" s="33">
        <f>VLOOKUP($A239,'5 A calc'!$A$2:$AR$398,26,FALSE)*I239</f>
        <v>4.5191403816693287E-2</v>
      </c>
      <c r="H239" s="53">
        <f>VLOOKUP($A239,'5 A calc'!$A$2:$AR$398,40,FALSE)*J239</f>
        <v>4.4631845170417135E-2</v>
      </c>
      <c r="I239" s="56">
        <f>VLOOKUP($A239,'5 A calc'!$A$2:$AR$398,28,FALSE)</f>
        <v>2.5165127728435586</v>
      </c>
      <c r="J239" s="49">
        <f>VLOOKUP($A239,'5 A calc'!$A$2:$AR$398,42,FALSE)</f>
        <v>2.454456828057817</v>
      </c>
      <c r="L239" s="28">
        <f t="shared" si="65"/>
        <v>6.1074646419340937</v>
      </c>
      <c r="M239" s="28">
        <f t="shared" si="66"/>
        <v>1.5343298160877492</v>
      </c>
    </row>
    <row r="240" spans="1:13" x14ac:dyDescent="0.2">
      <c r="A240" s="409">
        <v>347</v>
      </c>
      <c r="C240" s="53">
        <f t="shared" si="64"/>
        <v>0</v>
      </c>
      <c r="D240" s="51">
        <f>VLOOKUP($A240,'5 A calc'!$A$2:$AR$398,4,FALSE)</f>
        <v>120</v>
      </c>
      <c r="E240" s="33">
        <f>VLOOKUP($A240,'5 A calc'!$A$2:$AR$398,13,FALSE)</f>
        <v>-0.1199088385771515</v>
      </c>
      <c r="F240" s="53">
        <f>VLOOKUP($A240,'5 A calc'!$A$2:$AR$398,14,FALSE)</f>
        <v>0.17474685326753611</v>
      </c>
      <c r="G240" s="33">
        <f>VLOOKUP($A240,'5 A calc'!$A$2:$AR$398,26,FALSE)*I240</f>
        <v>4.3695056265408289E-2</v>
      </c>
      <c r="H240" s="53">
        <f>VLOOKUP($A240,'5 A calc'!$A$2:$AR$398,40,FALSE)*J240</f>
        <v>3.9840133463275668E-2</v>
      </c>
      <c r="I240" s="56">
        <f>VLOOKUP($A240,'5 A calc'!$A$2:$AR$398,28,FALSE)</f>
        <v>2.5298281136224894</v>
      </c>
      <c r="J240" s="49">
        <f>VLOOKUP($A240,'5 A calc'!$A$2:$AR$398,42,FALSE)</f>
        <v>2.4661356491409667</v>
      </c>
      <c r="L240" s="28">
        <f t="shared" si="65"/>
        <v>6.0073543052530196</v>
      </c>
      <c r="M240" s="28">
        <f t="shared" si="66"/>
        <v>1.3696029016101694</v>
      </c>
    </row>
    <row r="241" spans="1:13" x14ac:dyDescent="0.2">
      <c r="C241" s="39"/>
      <c r="D241" s="52"/>
      <c r="E241" s="38"/>
      <c r="F241" s="52"/>
      <c r="G241" s="38"/>
      <c r="H241" s="52"/>
      <c r="I241" s="52"/>
      <c r="J241" s="40"/>
      <c r="L241" s="4"/>
      <c r="M241" s="4"/>
    </row>
    <row r="243" spans="1:13" x14ac:dyDescent="0.2">
      <c r="A243" s="409">
        <v>349</v>
      </c>
      <c r="C243" s="60" t="str">
        <f>"Table "&amp;L243&amp;". Ratio "&amp;LEFT(M243,FIND("/",M243)-1)&amp;":5."&amp;"  Secondary: "&amp;K243</f>
        <v>Table . Ratio 200:5.  Secondary: S1 - S2</v>
      </c>
      <c r="D243" s="18"/>
      <c r="E243" s="18"/>
      <c r="F243" s="18"/>
      <c r="G243" s="18"/>
      <c r="H243" s="10"/>
      <c r="I243" s="10"/>
      <c r="J243" s="11"/>
      <c r="K243" s="95" t="str">
        <f>VLOOKUP($A243+1,'5 A data'!$A$2:$AP$526,2,FALSE)</f>
        <v>S1 - S2</v>
      </c>
      <c r="L243" s="97"/>
      <c r="M243" s="95" t="str">
        <f>VLOOKUP($A243,'5 A calc'!$A$2:$AR$398,4,FALSE)</f>
        <v>200/5 Range, 1 turns @ 5VA burden, vs 120 AT, 200 range, 2 Stage CT</v>
      </c>
    </row>
    <row r="244" spans="1:13" x14ac:dyDescent="0.2">
      <c r="A244" s="409"/>
      <c r="C244" s="12"/>
      <c r="D244" s="13"/>
      <c r="E244" s="643" t="s">
        <v>19</v>
      </c>
      <c r="F244" s="644"/>
      <c r="G244" s="643" t="s">
        <v>20</v>
      </c>
      <c r="H244" s="644"/>
      <c r="I244" s="645" t="s">
        <v>8</v>
      </c>
      <c r="J244" s="646"/>
      <c r="L244" s="521" t="s">
        <v>497</v>
      </c>
      <c r="M244" s="522"/>
    </row>
    <row r="245" spans="1:13" ht="51" x14ac:dyDescent="0.2">
      <c r="A245" s="409"/>
      <c r="C245" s="12" t="s">
        <v>169</v>
      </c>
      <c r="D245" s="54" t="s">
        <v>241</v>
      </c>
      <c r="E245" s="54" t="s">
        <v>294</v>
      </c>
      <c r="F245" s="13" t="s">
        <v>239</v>
      </c>
      <c r="G245" s="54" t="s">
        <v>294</v>
      </c>
      <c r="H245" s="13" t="s">
        <v>239</v>
      </c>
      <c r="I245" s="54" t="s">
        <v>158</v>
      </c>
      <c r="J245" s="13" t="s">
        <v>159</v>
      </c>
      <c r="L245" s="498" t="s">
        <v>59</v>
      </c>
      <c r="M245" s="498" t="s">
        <v>478</v>
      </c>
    </row>
    <row r="246" spans="1:13" x14ac:dyDescent="0.2">
      <c r="A246" s="409">
        <v>351</v>
      </c>
      <c r="C246" s="53">
        <f t="shared" ref="C246:C252" si="67">high_burden</f>
        <v>0.2</v>
      </c>
      <c r="D246" s="57">
        <f>VLOOKUP($A246,'5 A calc'!$A$2:$AR$398,4,FALSE)</f>
        <v>5</v>
      </c>
      <c r="E246" s="33">
        <f>VLOOKUP($A246,'5 A calc'!$A$2:$AR$398,13,FALSE)</f>
        <v>-1.0892733319995935</v>
      </c>
      <c r="F246" s="53">
        <f>VLOOKUP($A246,'5 A calc'!$A$2:$AR$398,14,FALSE)</f>
        <v>0.52713481191291622</v>
      </c>
      <c r="G246" s="33">
        <f>VLOOKUP($A246,'5 A calc'!$A$2:$AR$398,26,FALSE)*I246</f>
        <v>0.11732175624142464</v>
      </c>
      <c r="H246" s="53">
        <f>VLOOKUP($A246,'5 A calc'!$A$2:$AR$398,40,FALSE)*J246</f>
        <v>6.4877683286224397E-2</v>
      </c>
      <c r="I246" s="56">
        <f>VLOOKUP($A246,'5 A calc'!$A$2:$AR$398,28,FALSE)</f>
        <v>2.2334631135342931</v>
      </c>
      <c r="J246" s="49">
        <f>VLOOKUP($A246,'5 A calc'!$A$2:$AR$398,42,FALSE)</f>
        <v>2.0717279100816426</v>
      </c>
      <c r="L246" s="4">
        <f t="shared" ref="L246:L252" si="68">DEGREES(F246/100)*60</f>
        <v>18.121559974219544</v>
      </c>
      <c r="M246" s="4">
        <f>DEGREES(H246/100)*60</f>
        <v>2.2303304621322595</v>
      </c>
    </row>
    <row r="247" spans="1:13" x14ac:dyDescent="0.2">
      <c r="A247" s="409">
        <v>352</v>
      </c>
      <c r="C247" s="53">
        <f t="shared" si="67"/>
        <v>0.2</v>
      </c>
      <c r="D247" s="57">
        <f>VLOOKUP($A247,'5 A calc'!$A$2:$AR$398,4,FALSE)</f>
        <v>10</v>
      </c>
      <c r="E247" s="33">
        <f>VLOOKUP($A247,'5 A calc'!$A$2:$AR$398,13,FALSE)</f>
        <v>-0.95136278792662621</v>
      </c>
      <c r="F247" s="53">
        <f>VLOOKUP($A247,'5 A calc'!$A$2:$AR$398,14,FALSE)</f>
        <v>0.44267540775431174</v>
      </c>
      <c r="G247" s="33">
        <f>VLOOKUP($A247,'5 A calc'!$A$2:$AR$398,26,FALSE)*I247</f>
        <v>0.10053278054309604</v>
      </c>
      <c r="H247" s="53">
        <f>VLOOKUP($A247,'5 A calc'!$A$2:$AR$398,40,FALSE)*J247</f>
        <v>3.4927042255765546E-2</v>
      </c>
      <c r="I247" s="56">
        <f>VLOOKUP($A247,'5 A calc'!$A$2:$AR$398,28,FALSE)</f>
        <v>2.2939245055385324</v>
      </c>
      <c r="J247" s="49">
        <f>VLOOKUP($A247,'5 A calc'!$A$2:$AR$398,42,FALSE)</f>
        <v>2.1453830857030929</v>
      </c>
      <c r="L247" s="4">
        <f t="shared" si="68"/>
        <v>15.218059535132916</v>
      </c>
      <c r="M247" s="4">
        <f t="shared" ref="M247:M252" si="69">DEGREES(H247/100)*60</f>
        <v>1.2007032672782714</v>
      </c>
    </row>
    <row r="248" spans="1:13" x14ac:dyDescent="0.2">
      <c r="A248" s="409">
        <v>353</v>
      </c>
      <c r="C248" s="53">
        <f t="shared" si="67"/>
        <v>0.2</v>
      </c>
      <c r="D248" s="57">
        <f>VLOOKUP($A248,'5 A calc'!$A$2:$AR$398,4,FALSE)</f>
        <v>20</v>
      </c>
      <c r="E248" s="33">
        <f>VLOOKUP($A248,'5 A calc'!$A$2:$AR$398,13,FALSE)</f>
        <v>-0.84743201945303848</v>
      </c>
      <c r="F248" s="53">
        <f>VLOOKUP($A248,'5 A calc'!$A$2:$AR$398,14,FALSE)</f>
        <v>0.38151861073030047</v>
      </c>
      <c r="G248" s="33">
        <f>VLOOKUP($A248,'5 A calc'!$A$2:$AR$398,26,FALSE)*I248</f>
        <v>8.9488210012336283E-2</v>
      </c>
      <c r="H248" s="53">
        <f>VLOOKUP($A248,'5 A calc'!$A$2:$AR$398,40,FALSE)*J248</f>
        <v>2.8753243746242368E-2</v>
      </c>
      <c r="I248" s="56">
        <f>VLOOKUP($A248,'5 A calc'!$A$2:$AR$398,28,FALSE)</f>
        <v>2.3266013307590399</v>
      </c>
      <c r="J248" s="49">
        <f>VLOOKUP($A248,'5 A calc'!$A$2:$AR$398,42,FALSE)</f>
        <v>2.1217896882591525</v>
      </c>
      <c r="L248" s="4">
        <f t="shared" si="68"/>
        <v>13.115643720324467</v>
      </c>
      <c r="M248" s="4">
        <f t="shared" si="69"/>
        <v>0.98846370838236952</v>
      </c>
    </row>
    <row r="249" spans="1:13" x14ac:dyDescent="0.2">
      <c r="A249" s="409">
        <v>354</v>
      </c>
      <c r="C249" s="53">
        <f t="shared" si="67"/>
        <v>0.2</v>
      </c>
      <c r="D249" s="57">
        <f>VLOOKUP($A249,'5 A calc'!$A$2:$AR$398,4,FALSE)</f>
        <v>40</v>
      </c>
      <c r="E249" s="33">
        <f>VLOOKUP($A249,'5 A calc'!$A$2:$AR$398,13,FALSE)</f>
        <v>-0.76548999768232906</v>
      </c>
      <c r="F249" s="53">
        <f>VLOOKUP($A249,'5 A calc'!$A$2:$AR$398,14,FALSE)</f>
        <v>0.33492266577744628</v>
      </c>
      <c r="G249" s="33">
        <f>VLOOKUP($A249,'5 A calc'!$A$2:$AR$398,26,FALSE)*I249</f>
        <v>7.9602916946229785E-2</v>
      </c>
      <c r="H249" s="53">
        <f>VLOOKUP($A249,'5 A calc'!$A$2:$AR$398,40,FALSE)*J249</f>
        <v>2.7558428843392251E-2</v>
      </c>
      <c r="I249" s="56">
        <f>VLOOKUP($A249,'5 A calc'!$A$2:$AR$398,28,FALSE)</f>
        <v>2.4357964290082186</v>
      </c>
      <c r="J249" s="49">
        <f>VLOOKUP($A249,'5 A calc'!$A$2:$AR$398,42,FALSE)</f>
        <v>2.1055501045609457</v>
      </c>
      <c r="L249" s="4">
        <f t="shared" si="68"/>
        <v>11.513793127390993</v>
      </c>
      <c r="M249" s="4">
        <f t="shared" si="69"/>
        <v>0.9473889976427825</v>
      </c>
    </row>
    <row r="250" spans="1:13" x14ac:dyDescent="0.2">
      <c r="A250" s="409">
        <v>355</v>
      </c>
      <c r="C250" s="53">
        <f t="shared" si="67"/>
        <v>0.2</v>
      </c>
      <c r="D250" s="51">
        <f>VLOOKUP($A250,'5 A calc'!$A$2:$AR$398,4,FALSE)</f>
        <v>60</v>
      </c>
      <c r="E250" s="33">
        <f>VLOOKUP($A250,'5 A calc'!$A$2:$AR$398,13,FALSE)</f>
        <v>-0.72351982341477872</v>
      </c>
      <c r="F250" s="53">
        <f>VLOOKUP($A250,'5 A calc'!$A$2:$AR$398,14,FALSE)</f>
        <v>0.29123765872743412</v>
      </c>
      <c r="G250" s="33">
        <f>VLOOKUP($A250,'5 A calc'!$A$2:$AR$398,26,FALSE)*I250</f>
        <v>7.6719199525866033E-2</v>
      </c>
      <c r="H250" s="53">
        <f>VLOOKUP($A250,'5 A calc'!$A$2:$AR$398,40,FALSE)*J250</f>
        <v>4.3685122071790747E-2</v>
      </c>
      <c r="I250" s="56">
        <f>VLOOKUP($A250,'5 A calc'!$A$2:$AR$398,28,FALSE)</f>
        <v>2.3337575486190718</v>
      </c>
      <c r="J250" s="49">
        <f>VLOOKUP($A250,'5 A calc'!$A$2:$AR$398,42,FALSE)</f>
        <v>2.2920637405670203</v>
      </c>
      <c r="L250" s="4">
        <f t="shared" si="68"/>
        <v>10.012013208212029</v>
      </c>
      <c r="M250" s="4">
        <f t="shared" si="69"/>
        <v>1.5017838733364453</v>
      </c>
    </row>
    <row r="251" spans="1:13" x14ac:dyDescent="0.2">
      <c r="A251" s="409">
        <v>356</v>
      </c>
      <c r="C251" s="53">
        <f t="shared" si="67"/>
        <v>0.2</v>
      </c>
      <c r="D251" s="51">
        <f>VLOOKUP($A251,'5 A calc'!$A$2:$AR$398,4,FALSE)</f>
        <v>100</v>
      </c>
      <c r="E251" s="33">
        <f>VLOOKUP($A251,'5 A calc'!$A$2:$AR$398,13,FALSE)</f>
        <v>-0.65556793556105675</v>
      </c>
      <c r="F251" s="53">
        <f>VLOOKUP($A251,'5 A calc'!$A$2:$AR$398,14,FALSE)</f>
        <v>0.20678215571252589</v>
      </c>
      <c r="G251" s="33">
        <f>VLOOKUP($A251,'5 A calc'!$A$2:$AR$398,26,FALSE)*I251</f>
        <v>6.7757282776648359E-2</v>
      </c>
      <c r="H251" s="53">
        <f>VLOOKUP($A251,'5 A calc'!$A$2:$AR$398,40,FALSE)*J251</f>
        <v>1.7153930089123855E-2</v>
      </c>
      <c r="I251" s="56">
        <f>VLOOKUP($A251,'5 A calc'!$A$2:$AR$398,28,FALSE)</f>
        <v>2.443423627078777</v>
      </c>
      <c r="J251" s="49">
        <f>VLOOKUP($A251,'5 A calc'!$A$2:$AR$398,42,FALSE)</f>
        <v>2.1206881552636423</v>
      </c>
      <c r="L251" s="4">
        <f t="shared" si="68"/>
        <v>7.1086468805668428</v>
      </c>
      <c r="M251" s="4">
        <f t="shared" si="69"/>
        <v>0.58970867770156143</v>
      </c>
    </row>
    <row r="252" spans="1:13" x14ac:dyDescent="0.2">
      <c r="A252" s="409">
        <v>357</v>
      </c>
      <c r="C252" s="53">
        <f t="shared" si="67"/>
        <v>0.2</v>
      </c>
      <c r="D252" s="51">
        <f>VLOOKUP($A252,'5 A calc'!$A$2:$AR$398,4,FALSE)</f>
        <v>120</v>
      </c>
      <c r="E252" s="33">
        <f>VLOOKUP($A252,'5 A calc'!$A$2:$AR$398,13,FALSE)</f>
        <v>-0.62358985648345711</v>
      </c>
      <c r="F252" s="53">
        <f>VLOOKUP($A252,'5 A calc'!$A$2:$AR$398,14,FALSE)</f>
        <v>0.17765917434697429</v>
      </c>
      <c r="G252" s="33">
        <f>VLOOKUP($A252,'5 A calc'!$A$2:$AR$398,26,FALSE)*I252</f>
        <v>6.3979016234478603E-2</v>
      </c>
      <c r="H252" s="53">
        <f>VLOOKUP($A252,'5 A calc'!$A$2:$AR$398,40,FALSE)*J252</f>
        <v>1.0343182208955371E-2</v>
      </c>
      <c r="I252" s="56">
        <f>VLOOKUP($A252,'5 A calc'!$A$2:$AR$398,28,FALSE)</f>
        <v>2.5162195486579213</v>
      </c>
      <c r="J252" s="49">
        <f>VLOOKUP($A252,'5 A calc'!$A$2:$AR$398,42,FALSE)</f>
        <v>2.157753511617345</v>
      </c>
      <c r="L252" s="4">
        <f t="shared" si="68"/>
        <v>6.1074725291162943</v>
      </c>
      <c r="M252" s="4">
        <f t="shared" si="69"/>
        <v>0.35557241238476567</v>
      </c>
    </row>
    <row r="253" spans="1:13" x14ac:dyDescent="0.2">
      <c r="C253" s="119"/>
      <c r="D253" s="113"/>
      <c r="E253" s="119"/>
      <c r="F253" s="115"/>
      <c r="G253" s="114"/>
      <c r="H253" s="115"/>
      <c r="I253" s="116"/>
      <c r="J253" s="117"/>
      <c r="L253" s="27"/>
      <c r="M253" s="27"/>
    </row>
    <row r="254" spans="1:13" x14ac:dyDescent="0.2">
      <c r="A254" s="409">
        <v>359</v>
      </c>
      <c r="C254" s="53">
        <f t="shared" ref="C254:C260" si="70">low__burden</f>
        <v>0</v>
      </c>
      <c r="D254" s="51">
        <f>VLOOKUP($A254,'5 A calc'!$A$2:$AR$398,4,FALSE)</f>
        <v>5</v>
      </c>
      <c r="E254" s="33">
        <f>VLOOKUP($A254,'5 A calc'!$A$2:$AR$398,13,FALSE)</f>
        <v>-0.22881825974298789</v>
      </c>
      <c r="F254" s="53">
        <f>VLOOKUP($A254,'5 A calc'!$A$2:$AR$398,14,FALSE)</f>
        <v>0.37860643686156914</v>
      </c>
      <c r="G254" s="33">
        <f>VLOOKUP($A254,'5 A calc'!$A$2:$AR$398,26,FALSE)*I254</f>
        <v>0.10919929419117758</v>
      </c>
      <c r="H254" s="53">
        <f>VLOOKUP($A254,'5 A calc'!$A$2:$AR$398,40,FALSE)*J254</f>
        <v>4.3731045730453597E-2</v>
      </c>
      <c r="I254" s="56">
        <f>VLOOKUP($A254,'5 A calc'!$A$2:$AR$398,28,FALSE)</f>
        <v>2.4722745431698838</v>
      </c>
      <c r="J254" s="49">
        <f>VLOOKUP($A254,'5 A calc'!$A$2:$AR$398,42,FALSE)</f>
        <v>2.122397135841438</v>
      </c>
      <c r="L254" s="28">
        <f t="shared" ref="L254:L260" si="71">DEGREES(F254/100)*60</f>
        <v>13.015530557192513</v>
      </c>
      <c r="M254" s="28">
        <f t="shared" ref="M254:M260" si="72">DEGREES(H254/100)*60</f>
        <v>1.5033626124291537</v>
      </c>
    </row>
    <row r="255" spans="1:13" x14ac:dyDescent="0.2">
      <c r="A255" s="409">
        <v>360</v>
      </c>
      <c r="C255" s="53">
        <f t="shared" si="70"/>
        <v>0</v>
      </c>
      <c r="D255" s="51">
        <f>VLOOKUP($A255,'5 A calc'!$A$2:$AR$398,4,FALSE)</f>
        <v>10</v>
      </c>
      <c r="E255" s="33">
        <f>VLOOKUP($A255,'5 A calc'!$A$2:$AR$398,13,FALSE)</f>
        <v>-0.18684695717598376</v>
      </c>
      <c r="F255" s="53">
        <f>VLOOKUP($A255,'5 A calc'!$A$2:$AR$398,14,FALSE)</f>
        <v>0.30434015648099838</v>
      </c>
      <c r="G255" s="33">
        <f>VLOOKUP($A255,'5 A calc'!$A$2:$AR$398,26,FALSE)*I255</f>
        <v>9.7063635916241522E-2</v>
      </c>
      <c r="H255" s="53">
        <f>VLOOKUP($A255,'5 A calc'!$A$2:$AR$398,40,FALSE)*J255</f>
        <v>3.2716585188602709E-2</v>
      </c>
      <c r="I255" s="56">
        <f>VLOOKUP($A255,'5 A calc'!$A$2:$AR$398,28,FALSE)</f>
        <v>2.5002443137406982</v>
      </c>
      <c r="J255" s="49">
        <f>VLOOKUP($A255,'5 A calc'!$A$2:$AR$398,42,FALSE)</f>
        <v>2.1948369713528701</v>
      </c>
      <c r="L255" s="28">
        <f t="shared" si="71"/>
        <v>10.462443901627353</v>
      </c>
      <c r="M255" s="28">
        <f t="shared" si="72"/>
        <v>1.1247133508322933</v>
      </c>
    </row>
    <row r="256" spans="1:13" x14ac:dyDescent="0.2">
      <c r="A256" s="409">
        <v>361</v>
      </c>
      <c r="C256" s="53">
        <f t="shared" si="70"/>
        <v>0</v>
      </c>
      <c r="D256" s="51">
        <f>VLOOKUP($A256,'5 A calc'!$A$2:$AR$398,4,FALSE)</f>
        <v>20</v>
      </c>
      <c r="E256" s="33">
        <f>VLOOKUP($A256,'5 A calc'!$A$2:$AR$398,13,FALSE)</f>
        <v>-0.15686935402990917</v>
      </c>
      <c r="F256" s="53">
        <f>VLOOKUP($A256,'5 A calc'!$A$2:$AR$398,14,FALSE)</f>
        <v>0.24463951999670613</v>
      </c>
      <c r="G256" s="33">
        <f>VLOOKUP($A256,'5 A calc'!$A$2:$AR$398,26,FALSE)*I256</f>
        <v>8.7744646798491338E-2</v>
      </c>
      <c r="H256" s="53">
        <f>VLOOKUP($A256,'5 A calc'!$A$2:$AR$398,40,FALSE)*J256</f>
        <v>2.2590901554955068E-2</v>
      </c>
      <c r="I256" s="56">
        <f>VLOOKUP($A256,'5 A calc'!$A$2:$AR$398,28,FALSE)</f>
        <v>2.5232045296973227</v>
      </c>
      <c r="J256" s="49">
        <f>VLOOKUP($A256,'5 A calc'!$A$2:$AR$398,42,FALSE)</f>
        <v>2.1519095171967448</v>
      </c>
      <c r="L256" s="28">
        <f t="shared" si="71"/>
        <v>8.4100871987505403</v>
      </c>
      <c r="M256" s="28">
        <f t="shared" si="72"/>
        <v>0.77661798869667253</v>
      </c>
    </row>
    <row r="257" spans="1:13" x14ac:dyDescent="0.2">
      <c r="A257" s="409">
        <v>362</v>
      </c>
      <c r="C257" s="53">
        <f t="shared" si="70"/>
        <v>0</v>
      </c>
      <c r="D257" s="51">
        <f>VLOOKUP($A257,'5 A calc'!$A$2:$AR$398,4,FALSE)</f>
        <v>40</v>
      </c>
      <c r="E257" s="33">
        <f>VLOOKUP($A257,'5 A calc'!$A$2:$AR$398,13,FALSE)</f>
        <v>-0.13888682659650839</v>
      </c>
      <c r="F257" s="53">
        <f>VLOOKUP($A257,'5 A calc'!$A$2:$AR$398,14,FALSE)</f>
        <v>0.20969285936160462</v>
      </c>
      <c r="G257" s="33">
        <f>VLOOKUP($A257,'5 A calc'!$A$2:$AR$398,26,FALSE)*I257</f>
        <v>7.9656805415338899E-2</v>
      </c>
      <c r="H257" s="53">
        <f>VLOOKUP($A257,'5 A calc'!$A$2:$AR$398,40,FALSE)*J257</f>
        <v>1.7723204253237285E-2</v>
      </c>
      <c r="I257" s="56">
        <f>VLOOKUP($A257,'5 A calc'!$A$2:$AR$398,28,FALSE)</f>
        <v>2.5334241864105445</v>
      </c>
      <c r="J257" s="49">
        <f>VLOOKUP($A257,'5 A calc'!$A$2:$AR$398,42,FALSE)</f>
        <v>2.1430941281343401</v>
      </c>
      <c r="L257" s="28">
        <f t="shared" si="71"/>
        <v>7.2087095012701674</v>
      </c>
      <c r="M257" s="28">
        <f t="shared" si="72"/>
        <v>0.60927888189528379</v>
      </c>
    </row>
    <row r="258" spans="1:13" x14ac:dyDescent="0.2">
      <c r="A258" s="409">
        <v>363</v>
      </c>
      <c r="C258" s="53">
        <f t="shared" si="70"/>
        <v>0</v>
      </c>
      <c r="D258" s="51">
        <f>VLOOKUP($A258,'5 A calc'!$A$2:$AR$398,4,FALSE)</f>
        <v>60</v>
      </c>
      <c r="E258" s="33">
        <f>VLOOKUP($A258,'5 A calc'!$A$2:$AR$398,13,FALSE)</f>
        <v>-0.12989576659663293</v>
      </c>
      <c r="F258" s="53">
        <f>VLOOKUP($A258,'5 A calc'!$A$2:$AR$398,14,FALSE)</f>
        <v>0.19513106310597425</v>
      </c>
      <c r="G258" s="33">
        <f>VLOOKUP($A258,'5 A calc'!$A$2:$AR$398,26,FALSE)*I258</f>
        <v>7.5465127859659836E-2</v>
      </c>
      <c r="H258" s="53">
        <f>VLOOKUP($A258,'5 A calc'!$A$2:$AR$398,40,FALSE)*J258</f>
        <v>1.5583775087800978E-2</v>
      </c>
      <c r="I258" s="56">
        <f>VLOOKUP($A258,'5 A calc'!$A$2:$AR$398,28,FALSE)</f>
        <v>2.5336281146196513</v>
      </c>
      <c r="J258" s="49">
        <f>VLOOKUP($A258,'5 A calc'!$A$2:$AR$398,42,FALSE)</f>
        <v>2.0836473908376454</v>
      </c>
      <c r="L258" s="28">
        <f t="shared" si="71"/>
        <v>6.7081118207239525</v>
      </c>
      <c r="M258" s="28">
        <f t="shared" si="72"/>
        <v>0.53573072484726603</v>
      </c>
    </row>
    <row r="259" spans="1:13" x14ac:dyDescent="0.2">
      <c r="A259" s="409">
        <v>364</v>
      </c>
      <c r="C259" s="53">
        <f t="shared" si="70"/>
        <v>0</v>
      </c>
      <c r="D259" s="51">
        <f>VLOOKUP($A259,'5 A calc'!$A$2:$AR$398,4,FALSE)</f>
        <v>100</v>
      </c>
      <c r="E259" s="33">
        <f>VLOOKUP($A259,'5 A calc'!$A$2:$AR$398,13,FALSE)</f>
        <v>-0.12190590468413766</v>
      </c>
      <c r="F259" s="53">
        <f>VLOOKUP($A259,'5 A calc'!$A$2:$AR$398,14,FALSE)</f>
        <v>0.1776589449181441</v>
      </c>
      <c r="G259" s="33">
        <f>VLOOKUP($A259,'5 A calc'!$A$2:$AR$398,26,FALSE)*I259</f>
        <v>6.7831236186093422E-2</v>
      </c>
      <c r="H259" s="53">
        <f>VLOOKUP($A259,'5 A calc'!$A$2:$AR$398,40,FALSE)*J259</f>
        <v>9.9858207803632942E-3</v>
      </c>
      <c r="I259" s="56">
        <f>VLOOKUP($A259,'5 A calc'!$A$2:$AR$398,28,FALSE)</f>
        <v>2.5304916008707572</v>
      </c>
      <c r="J259" s="49">
        <f>VLOOKUP($A259,'5 A calc'!$A$2:$AR$398,42,FALSE)</f>
        <v>2.0607579571859542</v>
      </c>
      <c r="L259" s="28">
        <f t="shared" si="71"/>
        <v>6.1074646419340937</v>
      </c>
      <c r="M259" s="28">
        <f t="shared" si="72"/>
        <v>0.34328723141331063</v>
      </c>
    </row>
    <row r="260" spans="1:13" x14ac:dyDescent="0.2">
      <c r="A260" s="409">
        <v>365</v>
      </c>
      <c r="C260" s="53">
        <f t="shared" si="70"/>
        <v>0</v>
      </c>
      <c r="D260" s="51">
        <f>VLOOKUP($A260,'5 A calc'!$A$2:$AR$398,4,FALSE)</f>
        <v>120</v>
      </c>
      <c r="E260" s="33">
        <f>VLOOKUP($A260,'5 A calc'!$A$2:$AR$398,13,FALSE)</f>
        <v>-0.1199088385771515</v>
      </c>
      <c r="F260" s="53">
        <f>VLOOKUP($A260,'5 A calc'!$A$2:$AR$398,14,FALSE)</f>
        <v>0.17329069272781703</v>
      </c>
      <c r="G260" s="33">
        <f>VLOOKUP($A260,'5 A calc'!$A$2:$AR$398,26,FALSE)*I260</f>
        <v>6.4040355521629497E-2</v>
      </c>
      <c r="H260" s="53">
        <f>VLOOKUP($A260,'5 A calc'!$A$2:$AR$398,40,FALSE)*J260</f>
        <v>8.1730350156266774E-3</v>
      </c>
      <c r="I260" s="56">
        <f>VLOOKUP($A260,'5 A calc'!$A$2:$AR$398,28,FALSE)</f>
        <v>2.5363359594027486</v>
      </c>
      <c r="J260" s="49">
        <f>VLOOKUP($A260,'5 A calc'!$A$2:$AR$398,42,FALSE)</f>
        <v>2.1628849035621274</v>
      </c>
      <c r="L260" s="28">
        <f t="shared" si="71"/>
        <v>5.9572951933213822</v>
      </c>
      <c r="M260" s="28">
        <f t="shared" si="72"/>
        <v>0.2809682473248285</v>
      </c>
    </row>
    <row r="261" spans="1:13" x14ac:dyDescent="0.2">
      <c r="C261" s="39"/>
      <c r="D261" s="52"/>
      <c r="E261" s="38"/>
      <c r="F261" s="52"/>
      <c r="G261" s="38"/>
      <c r="H261" s="52"/>
      <c r="I261" s="52"/>
      <c r="J261" s="40"/>
      <c r="L261" s="4"/>
      <c r="M261" s="4"/>
    </row>
    <row r="263" spans="1:13" x14ac:dyDescent="0.2">
      <c r="A263" s="409">
        <v>367</v>
      </c>
      <c r="C263" s="60" t="str">
        <f>"Table "&amp;L263&amp;". Ratio "&amp;LEFT(M263,FIND("/",M263)-1)&amp;":5."&amp;"  Secondary: "&amp;K263</f>
        <v>Table . Ratio 200:5.  Secondary: S1 - S2</v>
      </c>
      <c r="D263" s="18"/>
      <c r="E263" s="18"/>
      <c r="F263" s="18"/>
      <c r="G263" s="18"/>
      <c r="H263" s="10"/>
      <c r="I263" s="10"/>
      <c r="J263" s="11"/>
      <c r="K263" s="95" t="str">
        <f>VLOOKUP($A263+1,'5 A data'!$A$2:$AP$526,2,FALSE)</f>
        <v>S1 - S2</v>
      </c>
      <c r="L263" s="97"/>
      <c r="M263" s="95" t="str">
        <f>VLOOKUP($A263,'5 A calc'!$A$2:$AR$398,4,FALSE)</f>
        <v>200/5 Range, 1 turns @ 5VA burden, vs 120 AT, 200 range, 2 Stage CT</v>
      </c>
    </row>
    <row r="264" spans="1:13" x14ac:dyDescent="0.2">
      <c r="A264" s="409"/>
      <c r="C264" s="12"/>
      <c r="D264" s="13"/>
      <c r="E264" s="643" t="s">
        <v>19</v>
      </c>
      <c r="F264" s="644"/>
      <c r="G264" s="643" t="s">
        <v>20</v>
      </c>
      <c r="H264" s="644"/>
      <c r="I264" s="645" t="s">
        <v>8</v>
      </c>
      <c r="J264" s="646"/>
      <c r="L264" s="521" t="s">
        <v>497</v>
      </c>
      <c r="M264" s="522"/>
    </row>
    <row r="265" spans="1:13" ht="51" x14ac:dyDescent="0.2">
      <c r="A265" s="409"/>
      <c r="C265" s="12" t="s">
        <v>169</v>
      </c>
      <c r="D265" s="54" t="s">
        <v>241</v>
      </c>
      <c r="E265" s="54" t="s">
        <v>294</v>
      </c>
      <c r="F265" s="13" t="s">
        <v>239</v>
      </c>
      <c r="G265" s="54" t="s">
        <v>294</v>
      </c>
      <c r="H265" s="13" t="s">
        <v>239</v>
      </c>
      <c r="I265" s="54" t="s">
        <v>158</v>
      </c>
      <c r="J265" s="13" t="s">
        <v>159</v>
      </c>
      <c r="L265" s="498" t="s">
        <v>59</v>
      </c>
      <c r="M265" s="498" t="s">
        <v>478</v>
      </c>
    </row>
    <row r="266" spans="1:13" x14ac:dyDescent="0.2">
      <c r="A266" s="409">
        <v>369</v>
      </c>
      <c r="C266" s="53">
        <f t="shared" ref="C266:C272" si="73">high_burden</f>
        <v>0.2</v>
      </c>
      <c r="D266" s="57">
        <f>VLOOKUP($A266,'5 A calc'!$A$2:$AR$398,4,FALSE)</f>
        <v>5</v>
      </c>
      <c r="E266" s="33">
        <f>VLOOKUP($A266,'5 A calc'!$A$2:$AR$398,13,FALSE)</f>
        <v>-1.0892733319995935</v>
      </c>
      <c r="F266" s="53">
        <f>VLOOKUP($A266,'5 A calc'!$A$2:$AR$398,14,FALSE)</f>
        <v>0.52422249083347794</v>
      </c>
      <c r="G266" s="33">
        <f>VLOOKUP($A266,'5 A calc'!$A$2:$AR$398,26,FALSE)*I266</f>
        <v>0.11763706209924493</v>
      </c>
      <c r="H266" s="53">
        <f>VLOOKUP($A266,'5 A calc'!$A$2:$AR$398,40,FALSE)*J266</f>
        <v>6.3862592898201814E-2</v>
      </c>
      <c r="I266" s="56">
        <f>VLOOKUP($A266,'5 A calc'!$A$2:$AR$398,28,FALSE)</f>
        <v>2.2342339334408421</v>
      </c>
      <c r="J266" s="49">
        <f>VLOOKUP($A266,'5 A calc'!$A$2:$AR$398,42,FALSE)</f>
        <v>2.072908284343741</v>
      </c>
      <c r="L266" s="4">
        <f t="shared" ref="L266:L272" si="74">DEGREES(F266/100)*60</f>
        <v>18.02144175035626</v>
      </c>
      <c r="M266" s="4">
        <f>DEGREES(H266/100)*60</f>
        <v>2.1954342250974648</v>
      </c>
    </row>
    <row r="267" spans="1:13" x14ac:dyDescent="0.2">
      <c r="A267" s="409">
        <v>370</v>
      </c>
      <c r="C267" s="53">
        <f t="shared" si="73"/>
        <v>0.2</v>
      </c>
      <c r="D267" s="57">
        <f>VLOOKUP($A267,'5 A calc'!$A$2:$AR$398,4,FALSE)</f>
        <v>10</v>
      </c>
      <c r="E267" s="33">
        <f>VLOOKUP($A267,'5 A calc'!$A$2:$AR$398,13,FALSE)</f>
        <v>-0.95136278792662621</v>
      </c>
      <c r="F267" s="53">
        <f>VLOOKUP($A267,'5 A calc'!$A$2:$AR$398,14,FALSE)</f>
        <v>0.44267540775431174</v>
      </c>
      <c r="G267" s="33">
        <f>VLOOKUP($A267,'5 A calc'!$A$2:$AR$398,26,FALSE)*I267</f>
        <v>0.10150038245785822</v>
      </c>
      <c r="H267" s="53">
        <f>VLOOKUP($A267,'5 A calc'!$A$2:$AR$398,40,FALSE)*J267</f>
        <v>3.6321541366710196E-2</v>
      </c>
      <c r="I267" s="56">
        <f>VLOOKUP($A267,'5 A calc'!$A$2:$AR$398,28,FALSE)</f>
        <v>2.2868629555098439</v>
      </c>
      <c r="J267" s="49">
        <f>VLOOKUP($A267,'5 A calc'!$A$2:$AR$398,42,FALSE)</f>
        <v>2.1524400808803885</v>
      </c>
      <c r="L267" s="4">
        <f t="shared" si="74"/>
        <v>15.218059535132916</v>
      </c>
      <c r="M267" s="4">
        <f t="shared" ref="M267:M272" si="75">DEGREES(H267/100)*60</f>
        <v>1.2486426154333956</v>
      </c>
    </row>
    <row r="268" spans="1:13" x14ac:dyDescent="0.2">
      <c r="A268" s="409">
        <v>371</v>
      </c>
      <c r="C268" s="53">
        <f t="shared" si="73"/>
        <v>0.2</v>
      </c>
      <c r="D268" s="57">
        <f>VLOOKUP($A268,'5 A calc'!$A$2:$AR$398,4,FALSE)</f>
        <v>20</v>
      </c>
      <c r="E268" s="33">
        <f>VLOOKUP($A268,'5 A calc'!$A$2:$AR$398,13,FALSE)</f>
        <v>-0.84343455105695664</v>
      </c>
      <c r="F268" s="53">
        <f>VLOOKUP($A268,'5 A calc'!$A$2:$AR$398,14,FALSE)</f>
        <v>0.37860628965086224</v>
      </c>
      <c r="G268" s="33">
        <f>VLOOKUP($A268,'5 A calc'!$A$2:$AR$398,26,FALSE)*I268</f>
        <v>8.9014629006586021E-2</v>
      </c>
      <c r="H268" s="53">
        <f>VLOOKUP($A268,'5 A calc'!$A$2:$AR$398,40,FALSE)*J268</f>
        <v>3.0784236809554853E-2</v>
      </c>
      <c r="I268" s="56">
        <f>VLOOKUP($A268,'5 A calc'!$A$2:$AR$398,28,FALSE)</f>
        <v>2.3252286893439966</v>
      </c>
      <c r="J268" s="49">
        <f>VLOOKUP($A268,'5 A calc'!$A$2:$AR$398,42,FALSE)</f>
        <v>2.1416272776416054</v>
      </c>
      <c r="L268" s="4">
        <f t="shared" si="74"/>
        <v>13.015525496461191</v>
      </c>
      <c r="M268" s="4">
        <f t="shared" si="75"/>
        <v>1.0582841068312605</v>
      </c>
    </row>
    <row r="269" spans="1:13" x14ac:dyDescent="0.2">
      <c r="A269" s="409">
        <v>372</v>
      </c>
      <c r="C269" s="53">
        <f t="shared" si="73"/>
        <v>0.2</v>
      </c>
      <c r="D269" s="57">
        <f>VLOOKUP($A269,'5 A calc'!$A$2:$AR$398,4,FALSE)</f>
        <v>40</v>
      </c>
      <c r="E269" s="33">
        <f>VLOOKUP($A269,'5 A calc'!$A$2:$AR$398,13,FALSE)</f>
        <v>-0.76149252928624722</v>
      </c>
      <c r="F269" s="53">
        <f>VLOOKUP($A269,'5 A calc'!$A$2:$AR$398,14,FALSE)</f>
        <v>0.32618570253913171</v>
      </c>
      <c r="G269" s="33">
        <f>VLOOKUP($A269,'5 A calc'!$A$2:$AR$398,26,FALSE)*I269</f>
        <v>7.9324264275962175E-2</v>
      </c>
      <c r="H269" s="53">
        <f>VLOOKUP($A269,'5 A calc'!$A$2:$AR$398,40,FALSE)*J269</f>
        <v>2.6498195789823088E-2</v>
      </c>
      <c r="I269" s="56">
        <f>VLOOKUP($A269,'5 A calc'!$A$2:$AR$398,28,FALSE)</f>
        <v>2.4420833860640343</v>
      </c>
      <c r="J269" s="49">
        <f>VLOOKUP($A269,'5 A calc'!$A$2:$AR$398,42,FALSE)</f>
        <v>2.0975181287956901</v>
      </c>
      <c r="L269" s="4">
        <f t="shared" si="74"/>
        <v>11.213438455801169</v>
      </c>
      <c r="M269" s="4">
        <f t="shared" si="75"/>
        <v>0.91094087008091396</v>
      </c>
    </row>
    <row r="270" spans="1:13" x14ac:dyDescent="0.2">
      <c r="A270" s="409">
        <v>373</v>
      </c>
      <c r="C270" s="53">
        <f t="shared" si="73"/>
        <v>0.2</v>
      </c>
      <c r="D270" s="51">
        <f>VLOOKUP($A270,'5 A calc'!$A$2:$AR$398,4,FALSE)</f>
        <v>60</v>
      </c>
      <c r="E270" s="33">
        <f>VLOOKUP($A270,'5 A calc'!$A$2:$AR$398,13,FALSE)</f>
        <v>-0.72152108921673785</v>
      </c>
      <c r="F270" s="53">
        <f>VLOOKUP($A270,'5 A calc'!$A$2:$AR$398,14,FALSE)</f>
        <v>0.28541301656855783</v>
      </c>
      <c r="G270" s="33">
        <f>VLOOKUP($A270,'5 A calc'!$A$2:$AR$398,26,FALSE)*I270</f>
        <v>7.6540162325251154E-2</v>
      </c>
      <c r="H270" s="53">
        <f>VLOOKUP($A270,'5 A calc'!$A$2:$AR$398,40,FALSE)*J270</f>
        <v>4.366723157322077E-2</v>
      </c>
      <c r="I270" s="56">
        <f>VLOOKUP($A270,'5 A calc'!$A$2:$AR$398,28,FALSE)</f>
        <v>2.3331693601892054</v>
      </c>
      <c r="J270" s="49">
        <f>VLOOKUP($A270,'5 A calc'!$A$2:$AR$398,42,FALSE)</f>
        <v>2.2934947184802357</v>
      </c>
      <c r="L270" s="4">
        <f t="shared" si="74"/>
        <v>9.8117767604854809</v>
      </c>
      <c r="M270" s="4">
        <f t="shared" si="75"/>
        <v>1.5011688432995784</v>
      </c>
    </row>
    <row r="271" spans="1:13" x14ac:dyDescent="0.2">
      <c r="A271" s="409">
        <v>374</v>
      </c>
      <c r="C271" s="53">
        <f t="shared" si="73"/>
        <v>0.2</v>
      </c>
      <c r="D271" s="51">
        <f>VLOOKUP($A271,'5 A calc'!$A$2:$AR$398,4,FALSE)</f>
        <v>100</v>
      </c>
      <c r="E271" s="33">
        <f>VLOOKUP($A271,'5 A calc'!$A$2:$AR$398,13,FALSE)</f>
        <v>-0.65356920136301588</v>
      </c>
      <c r="F271" s="53">
        <f>VLOOKUP($A271,'5 A calc'!$A$2:$AR$398,14,FALSE)</f>
        <v>0.20095751355364952</v>
      </c>
      <c r="G271" s="33">
        <f>VLOOKUP($A271,'5 A calc'!$A$2:$AR$398,26,FALSE)*I271</f>
        <v>6.7694109174433359E-2</v>
      </c>
      <c r="H271" s="53">
        <f>VLOOKUP($A271,'5 A calc'!$A$2:$AR$398,40,FALSE)*J271</f>
        <v>1.6069447671537781E-2</v>
      </c>
      <c r="I271" s="56">
        <f>VLOOKUP($A271,'5 A calc'!$A$2:$AR$398,28,FALSE)</f>
        <v>2.4433329170526319</v>
      </c>
      <c r="J271" s="49">
        <f>VLOOKUP($A271,'5 A calc'!$A$2:$AR$398,42,FALSE)</f>
        <v>2.1033048182782719</v>
      </c>
      <c r="L271" s="4">
        <f t="shared" si="74"/>
        <v>6.9084104328402933</v>
      </c>
      <c r="M271" s="4">
        <f t="shared" si="75"/>
        <v>0.55242691841126568</v>
      </c>
    </row>
    <row r="272" spans="1:13" x14ac:dyDescent="0.2">
      <c r="A272" s="409">
        <v>375</v>
      </c>
      <c r="C272" s="53">
        <f t="shared" si="73"/>
        <v>0.2</v>
      </c>
      <c r="D272" s="51">
        <f>VLOOKUP($A272,'5 A calc'!$A$2:$AR$398,4,FALSE)</f>
        <v>120</v>
      </c>
      <c r="E272" s="33">
        <f>VLOOKUP($A272,'5 A calc'!$A$2:$AR$398,13,FALSE)</f>
        <v>-0.62159112228541624</v>
      </c>
      <c r="F272" s="53">
        <f>VLOOKUP($A272,'5 A calc'!$A$2:$AR$398,14,FALSE)</f>
        <v>0.17474685326753611</v>
      </c>
      <c r="G272" s="33">
        <f>VLOOKUP($A272,'5 A calc'!$A$2:$AR$398,26,FALSE)*I272</f>
        <v>6.397923451522973E-2</v>
      </c>
      <c r="H272" s="53">
        <f>VLOOKUP($A272,'5 A calc'!$A$2:$AR$398,40,FALSE)*J272</f>
        <v>1.0337082437242951E-2</v>
      </c>
      <c r="I272" s="56">
        <f>VLOOKUP($A272,'5 A calc'!$A$2:$AR$398,28,FALSE)</f>
        <v>2.516305656806181</v>
      </c>
      <c r="J272" s="49">
        <f>VLOOKUP($A272,'5 A calc'!$A$2:$AR$398,42,FALSE)</f>
        <v>2.1585486752071761</v>
      </c>
      <c r="L272" s="4">
        <f t="shared" si="74"/>
        <v>6.0073543052530196</v>
      </c>
      <c r="M272" s="4">
        <f t="shared" si="75"/>
        <v>0.35536271767969668</v>
      </c>
    </row>
    <row r="273" spans="1:13" x14ac:dyDescent="0.2">
      <c r="C273" s="119"/>
      <c r="D273" s="113"/>
      <c r="E273" s="119"/>
      <c r="F273" s="115"/>
      <c r="G273" s="114"/>
      <c r="H273" s="115"/>
      <c r="I273" s="116"/>
      <c r="J273" s="117"/>
      <c r="L273" s="27"/>
      <c r="M273" s="27"/>
    </row>
    <row r="274" spans="1:13" x14ac:dyDescent="0.2">
      <c r="A274" s="409">
        <v>377</v>
      </c>
      <c r="C274" s="53">
        <f t="shared" ref="C274:C280" si="76">low__burden</f>
        <v>0</v>
      </c>
      <c r="D274" s="51">
        <f>VLOOKUP($A274,'5 A calc'!$A$2:$AR$398,4,FALSE)</f>
        <v>5</v>
      </c>
      <c r="E274" s="33">
        <f>VLOOKUP($A274,'5 A calc'!$A$2:$AR$398,13,FALSE)</f>
        <v>-0.22582015844592657</v>
      </c>
      <c r="F274" s="53">
        <f>VLOOKUP($A274,'5 A calc'!$A$2:$AR$398,14,FALSE)</f>
        <v>0.39316804225876012</v>
      </c>
      <c r="G274" s="33">
        <f>VLOOKUP($A274,'5 A calc'!$A$2:$AR$398,26,FALSE)*I274</f>
        <v>0.10958090226100152</v>
      </c>
      <c r="H274" s="53">
        <f>VLOOKUP($A274,'5 A calc'!$A$2:$AR$398,40,FALSE)*J274</f>
        <v>5.1993965081363655E-2</v>
      </c>
      <c r="I274" s="56">
        <f>VLOOKUP($A274,'5 A calc'!$A$2:$AR$398,28,FALSE)</f>
        <v>2.4706049072305269</v>
      </c>
      <c r="J274" s="49">
        <f>VLOOKUP($A274,'5 A calc'!$A$2:$AR$398,42,FALSE)</f>
        <v>2.1950770234029093</v>
      </c>
      <c r="L274" s="28">
        <f t="shared" ref="L274:L280" si="77">DEGREES(F274/100)*60</f>
        <v>13.516121676508892</v>
      </c>
      <c r="M274" s="28">
        <f t="shared" ref="M274:M280" si="78">DEGREES(H274/100)*60</f>
        <v>1.7874208555876281</v>
      </c>
    </row>
    <row r="275" spans="1:13" x14ac:dyDescent="0.2">
      <c r="A275" s="409">
        <v>378</v>
      </c>
      <c r="C275" s="53">
        <f t="shared" si="76"/>
        <v>0</v>
      </c>
      <c r="D275" s="51">
        <f>VLOOKUP($A275,'5 A calc'!$A$2:$AR$398,4,FALSE)</f>
        <v>10</v>
      </c>
      <c r="E275" s="33">
        <f>VLOOKUP($A275,'5 A calc'!$A$2:$AR$398,13,FALSE)</f>
        <v>-0.18284948877990198</v>
      </c>
      <c r="F275" s="53">
        <f>VLOOKUP($A275,'5 A calc'!$A$2:$AR$398,14,FALSE)</f>
        <v>0.29705935378240289</v>
      </c>
      <c r="G275" s="33">
        <f>VLOOKUP($A275,'5 A calc'!$A$2:$AR$398,26,FALSE)*I275</f>
        <v>9.7593537523127077E-2</v>
      </c>
      <c r="H275" s="53">
        <f>VLOOKUP($A275,'5 A calc'!$A$2:$AR$398,40,FALSE)*J275</f>
        <v>3.1257650317348264E-2</v>
      </c>
      <c r="I275" s="56">
        <f>VLOOKUP($A275,'5 A calc'!$A$2:$AR$398,28,FALSE)</f>
        <v>2.5086094364689449</v>
      </c>
      <c r="J275" s="49">
        <f>VLOOKUP($A275,'5 A calc'!$A$2:$AR$398,42,FALSE)</f>
        <v>2.1713984500118388</v>
      </c>
      <c r="L275" s="28">
        <f t="shared" si="77"/>
        <v>10.212148341969165</v>
      </c>
      <c r="M275" s="28">
        <f t="shared" si="78"/>
        <v>1.0745588644078883</v>
      </c>
    </row>
    <row r="276" spans="1:13" x14ac:dyDescent="0.2">
      <c r="A276" s="409">
        <v>379</v>
      </c>
      <c r="C276" s="53">
        <f t="shared" si="76"/>
        <v>0</v>
      </c>
      <c r="D276" s="51">
        <f>VLOOKUP($A276,'5 A calc'!$A$2:$AR$398,4,FALSE)</f>
        <v>20</v>
      </c>
      <c r="E276" s="33">
        <f>VLOOKUP($A276,'5 A calc'!$A$2:$AR$398,13,FALSE)</f>
        <v>-0.15686935402990917</v>
      </c>
      <c r="F276" s="53">
        <f>VLOOKUP($A276,'5 A calc'!$A$2:$AR$398,14,FALSE)</f>
        <v>0.24172719891726796</v>
      </c>
      <c r="G276" s="33">
        <f>VLOOKUP($A276,'5 A calc'!$A$2:$AR$398,26,FALSE)*I276</f>
        <v>8.7222835579398056E-2</v>
      </c>
      <c r="H276" s="53">
        <f>VLOOKUP($A276,'5 A calc'!$A$2:$AR$398,40,FALSE)*J276</f>
        <v>2.3505846360676E-2</v>
      </c>
      <c r="I276" s="56">
        <f>VLOOKUP($A276,'5 A calc'!$A$2:$AR$398,28,FALSE)</f>
        <v>2.5194117651686048</v>
      </c>
      <c r="J276" s="49">
        <f>VLOOKUP($A276,'5 A calc'!$A$2:$AR$398,42,FALSE)</f>
        <v>2.1579815301037546</v>
      </c>
      <c r="L276" s="28">
        <f t="shared" si="77"/>
        <v>8.3099689748872656</v>
      </c>
      <c r="M276" s="28">
        <f t="shared" si="78"/>
        <v>0.8080714742098084</v>
      </c>
    </row>
    <row r="277" spans="1:13" x14ac:dyDescent="0.2">
      <c r="A277" s="409">
        <v>380</v>
      </c>
      <c r="C277" s="53">
        <f t="shared" si="76"/>
        <v>0</v>
      </c>
      <c r="D277" s="51">
        <f>VLOOKUP($A277,'5 A calc'!$A$2:$AR$398,4,FALSE)</f>
        <v>40</v>
      </c>
      <c r="E277" s="33">
        <f>VLOOKUP($A277,'5 A calc'!$A$2:$AR$398,13,FALSE)</f>
        <v>-0.1368880923984675</v>
      </c>
      <c r="F277" s="53">
        <f>VLOOKUP($A277,'5 A calc'!$A$2:$AR$398,14,FALSE)</f>
        <v>0.20386821720272824</v>
      </c>
      <c r="G277" s="33">
        <f>VLOOKUP($A277,'5 A calc'!$A$2:$AR$398,26,FALSE)*I277</f>
        <v>7.9408752961949713E-2</v>
      </c>
      <c r="H277" s="53">
        <f>VLOOKUP($A277,'5 A calc'!$A$2:$AR$398,40,FALSE)*J277</f>
        <v>1.7276913732548766E-2</v>
      </c>
      <c r="I277" s="56">
        <f>VLOOKUP($A277,'5 A calc'!$A$2:$AR$398,28,FALSE)</f>
        <v>2.5348581439436071</v>
      </c>
      <c r="J277" s="49">
        <f>VLOOKUP($A277,'5 A calc'!$A$2:$AR$398,42,FALSE)</f>
        <v>2.1438532090524034</v>
      </c>
      <c r="L277" s="28">
        <f t="shared" si="77"/>
        <v>7.008473053543617</v>
      </c>
      <c r="M277" s="28">
        <f t="shared" si="78"/>
        <v>0.59393654393199491</v>
      </c>
    </row>
    <row r="278" spans="1:13" x14ac:dyDescent="0.2">
      <c r="A278" s="409">
        <v>381</v>
      </c>
      <c r="C278" s="53">
        <f t="shared" si="76"/>
        <v>0</v>
      </c>
      <c r="D278" s="51">
        <f>VLOOKUP($A278,'5 A calc'!$A$2:$AR$398,4,FALSE)</f>
        <v>60</v>
      </c>
      <c r="E278" s="33">
        <f>VLOOKUP($A278,'5 A calc'!$A$2:$AR$398,13,FALSE)</f>
        <v>-0.12939608304712269</v>
      </c>
      <c r="F278" s="53">
        <f>VLOOKUP($A278,'5 A calc'!$A$2:$AR$398,14,FALSE)</f>
        <v>0.19076258148681702</v>
      </c>
      <c r="G278" s="33">
        <f>VLOOKUP($A278,'5 A calc'!$A$2:$AR$398,26,FALSE)*I278</f>
        <v>7.5269988354951273E-2</v>
      </c>
      <c r="H278" s="53">
        <f>VLOOKUP($A278,'5 A calc'!$A$2:$AR$398,40,FALSE)*J278</f>
        <v>1.4968346563459568E-2</v>
      </c>
      <c r="I278" s="56">
        <f>VLOOKUP($A278,'5 A calc'!$A$2:$AR$398,28,FALSE)</f>
        <v>2.5324652139228263</v>
      </c>
      <c r="J278" s="49">
        <f>VLOOKUP($A278,'5 A calc'!$A$2:$AR$398,42,FALSE)</f>
        <v>2.085950803219101</v>
      </c>
      <c r="L278" s="28">
        <f t="shared" si="77"/>
        <v>6.5579344849290404</v>
      </c>
      <c r="M278" s="28">
        <f t="shared" si="78"/>
        <v>0.51457385062522965</v>
      </c>
    </row>
    <row r="279" spans="1:13" x14ac:dyDescent="0.2">
      <c r="A279" s="409">
        <v>382</v>
      </c>
      <c r="C279" s="53">
        <f t="shared" si="76"/>
        <v>0</v>
      </c>
      <c r="D279" s="51">
        <f>VLOOKUP($A279,'5 A calc'!$A$2:$AR$398,4,FALSE)</f>
        <v>100</v>
      </c>
      <c r="E279" s="33">
        <f>VLOOKUP($A279,'5 A calc'!$A$2:$AR$398,13,FALSE)</f>
        <v>-0.120406854035607</v>
      </c>
      <c r="F279" s="53">
        <f>VLOOKUP($A279,'5 A calc'!$A$2:$AR$398,14,FALSE)</f>
        <v>0.17620278437842499</v>
      </c>
      <c r="G279" s="33">
        <f>VLOOKUP($A279,'5 A calc'!$A$2:$AR$398,26,FALSE)*I279</f>
        <v>6.7767051103745313E-2</v>
      </c>
      <c r="H279" s="53">
        <f>VLOOKUP($A279,'5 A calc'!$A$2:$AR$398,40,FALSE)*J279</f>
        <v>9.8746948477705463E-3</v>
      </c>
      <c r="I279" s="56">
        <f>VLOOKUP($A279,'5 A calc'!$A$2:$AR$398,28,FALSE)</f>
        <v>2.530299332560153</v>
      </c>
      <c r="J279" s="49">
        <f>VLOOKUP($A279,'5 A calc'!$A$2:$AR$398,42,FALSE)</f>
        <v>2.0641831985701629</v>
      </c>
      <c r="L279" s="28">
        <f t="shared" si="77"/>
        <v>6.0574055300024554</v>
      </c>
      <c r="M279" s="28">
        <f t="shared" si="78"/>
        <v>0.33946700325409879</v>
      </c>
    </row>
    <row r="280" spans="1:13" x14ac:dyDescent="0.2">
      <c r="A280" s="409">
        <v>383</v>
      </c>
      <c r="C280" s="53">
        <f t="shared" si="76"/>
        <v>0</v>
      </c>
      <c r="D280" s="51">
        <f>VLOOKUP($A280,'5 A calc'!$A$2:$AR$398,4,FALSE)</f>
        <v>120</v>
      </c>
      <c r="E280" s="33">
        <f>VLOOKUP($A280,'5 A calc'!$A$2:$AR$398,13,FALSE)</f>
        <v>-0.11791010437911061</v>
      </c>
      <c r="F280" s="53">
        <f>VLOOKUP($A280,'5 A calc'!$A$2:$AR$398,14,FALSE)</f>
        <v>0.17183453218809797</v>
      </c>
      <c r="G280" s="33">
        <f>VLOOKUP($A280,'5 A calc'!$A$2:$AR$398,26,FALSE)*I280</f>
        <v>6.4040417641053032E-2</v>
      </c>
      <c r="H280" s="53">
        <f>VLOOKUP($A280,'5 A calc'!$A$2:$AR$398,40,FALSE)*J280</f>
        <v>8.1669662978509725E-3</v>
      </c>
      <c r="I280" s="56">
        <f>VLOOKUP($A280,'5 A calc'!$A$2:$AR$398,28,FALSE)</f>
        <v>2.5363535542987026</v>
      </c>
      <c r="J280" s="49">
        <f>VLOOKUP($A280,'5 A calc'!$A$2:$AR$398,42,FALSE)</f>
        <v>2.1639355826756943</v>
      </c>
      <c r="L280" s="28">
        <f t="shared" si="77"/>
        <v>5.9072360813897449</v>
      </c>
      <c r="M280" s="28">
        <f t="shared" si="78"/>
        <v>0.28075962017546613</v>
      </c>
    </row>
    <row r="281" spans="1:13" x14ac:dyDescent="0.2">
      <c r="C281" s="39"/>
      <c r="D281" s="52"/>
      <c r="E281" s="38"/>
      <c r="F281" s="52"/>
      <c r="G281" s="38"/>
      <c r="H281" s="52"/>
      <c r="I281" s="52"/>
      <c r="J281" s="40"/>
      <c r="L281" s="4"/>
      <c r="M281" s="4"/>
    </row>
    <row r="283" spans="1:13" x14ac:dyDescent="0.2">
      <c r="A283" s="409">
        <v>385</v>
      </c>
      <c r="C283" s="60" t="str">
        <f>"Table "&amp;L283&amp;". Ratio "&amp;LEFT(M283,FIND("/",M283)-1)&amp;":5."&amp;"  Secondary: "&amp;K283</f>
        <v>Table . Ratio 200:5.  Secondary: S1 - S2</v>
      </c>
      <c r="D283" s="18"/>
      <c r="E283" s="18"/>
      <c r="F283" s="18"/>
      <c r="G283" s="18"/>
      <c r="H283" s="10"/>
      <c r="I283" s="10"/>
      <c r="J283" s="11"/>
      <c r="K283" s="95" t="str">
        <f>VLOOKUP($A283+1,'5 A data'!$A$2:$AP$526,2,FALSE)</f>
        <v>S1 - S2</v>
      </c>
      <c r="L283" s="97"/>
      <c r="M283" s="95" t="str">
        <f>VLOOKUP($A283,'5 A calc'!$A$2:$AR$398,4,FALSE)</f>
        <v>200/5 Range, 1 turns @ 5VA burden, vs 120 AT, 200 range, 2 Stage CT</v>
      </c>
    </row>
    <row r="284" spans="1:13" x14ac:dyDescent="0.2">
      <c r="A284" s="409"/>
      <c r="C284" s="12"/>
      <c r="D284" s="13"/>
      <c r="E284" s="643" t="s">
        <v>19</v>
      </c>
      <c r="F284" s="644"/>
      <c r="G284" s="643" t="s">
        <v>20</v>
      </c>
      <c r="H284" s="644"/>
      <c r="I284" s="645" t="s">
        <v>8</v>
      </c>
      <c r="J284" s="646"/>
      <c r="L284" s="67"/>
    </row>
    <row r="285" spans="1:13" ht="51" x14ac:dyDescent="0.2">
      <c r="A285" s="409"/>
      <c r="C285" s="12" t="s">
        <v>169</v>
      </c>
      <c r="D285" s="54" t="s">
        <v>241</v>
      </c>
      <c r="E285" s="54" t="s">
        <v>294</v>
      </c>
      <c r="F285" s="13" t="s">
        <v>239</v>
      </c>
      <c r="G285" s="54" t="s">
        <v>294</v>
      </c>
      <c r="H285" s="13" t="s">
        <v>239</v>
      </c>
      <c r="I285" s="54" t="s">
        <v>158</v>
      </c>
      <c r="J285" s="13" t="s">
        <v>159</v>
      </c>
      <c r="L285" s="498" t="s">
        <v>59</v>
      </c>
      <c r="M285" s="498" t="s">
        <v>478</v>
      </c>
    </row>
    <row r="286" spans="1:13" x14ac:dyDescent="0.2">
      <c r="A286" s="409">
        <v>387</v>
      </c>
      <c r="C286" s="53">
        <f t="shared" ref="C286:C292" si="79">high_burden</f>
        <v>0.2</v>
      </c>
      <c r="D286" s="57">
        <f>VLOOKUP($A286,'5 A calc'!$A$2:$AR$398,4,FALSE)</f>
        <v>5</v>
      </c>
      <c r="E286" s="33">
        <f>VLOOKUP($A286,'5 A calc'!$A$2:$AR$398,13,FALSE)</f>
        <v>-0.68752775819337331</v>
      </c>
      <c r="F286" s="53">
        <f>VLOOKUP($A286,'5 A calc'!$A$2:$AR$398,14,FALSE)</f>
        <v>1.04844028513235</v>
      </c>
      <c r="G286" s="33">
        <f>VLOOKUP($A286,'5 A calc'!$A$2:$AR$398,26,FALSE)*I286</f>
        <v>6.3056762351687251E-2</v>
      </c>
      <c r="H286" s="53">
        <f>VLOOKUP($A286,'5 A calc'!$A$2:$AR$398,40,FALSE)*J286</f>
        <v>9.7860834232682395E-2</v>
      </c>
      <c r="I286" s="56">
        <f>VLOOKUP($A286,'5 A calc'!$A$2:$AR$398,28,FALSE)</f>
        <v>2.2376654912875051</v>
      </c>
      <c r="J286" s="49">
        <f>VLOOKUP($A286,'5 A calc'!$A$2:$AR$398,42,FALSE)</f>
        <v>2.1711304835876222</v>
      </c>
      <c r="L286" s="4">
        <f t="shared" ref="L286:L292" si="80">DEGREES(F286/100)*60</f>
        <v>36.042722045745776</v>
      </c>
      <c r="M286" s="4">
        <f>DEGREES(H286/100)*60</f>
        <v>3.3642076686972415</v>
      </c>
    </row>
    <row r="287" spans="1:13" x14ac:dyDescent="0.2">
      <c r="A287" s="409">
        <v>388</v>
      </c>
      <c r="C287" s="53">
        <f t="shared" si="79"/>
        <v>0.2</v>
      </c>
      <c r="D287" s="57">
        <f>VLOOKUP($A287,'5 A calc'!$A$2:$AR$398,4,FALSE)</f>
        <v>10</v>
      </c>
      <c r="E287" s="33">
        <f>VLOOKUP($A287,'5 A calc'!$A$2:$AR$398,13,FALSE)</f>
        <v>-0.61357670845771495</v>
      </c>
      <c r="F287" s="53">
        <f>VLOOKUP($A287,'5 A calc'!$A$2:$AR$398,14,FALSE)</f>
        <v>0.90864678046442038</v>
      </c>
      <c r="G287" s="33">
        <f>VLOOKUP($A287,'5 A calc'!$A$2:$AR$398,26,FALSE)*I287</f>
        <v>5.6464402699342046E-2</v>
      </c>
      <c r="H287" s="53">
        <f>VLOOKUP($A287,'5 A calc'!$A$2:$AR$398,40,FALSE)*J287</f>
        <v>8.6856868396615938E-2</v>
      </c>
      <c r="I287" s="56">
        <f>VLOOKUP($A287,'5 A calc'!$A$2:$AR$398,28,FALSE)</f>
        <v>2.2930126625503742</v>
      </c>
      <c r="J287" s="49">
        <f>VLOOKUP($A287,'5 A calc'!$A$2:$AR$398,42,FALSE)</f>
        <v>2.2070084257546765</v>
      </c>
      <c r="L287" s="4">
        <f t="shared" si="80"/>
        <v>31.236975353256931</v>
      </c>
      <c r="M287" s="4">
        <f t="shared" ref="M287:M292" si="81">DEGREES(H287/100)*60</f>
        <v>2.9859191885095888</v>
      </c>
    </row>
    <row r="288" spans="1:13" x14ac:dyDescent="0.2">
      <c r="A288" s="409">
        <v>389</v>
      </c>
      <c r="C288" s="53">
        <f t="shared" si="79"/>
        <v>0.2</v>
      </c>
      <c r="D288" s="57">
        <f>VLOOKUP($A288,'5 A calc'!$A$2:$AR$398,4,FALSE)</f>
        <v>20</v>
      </c>
      <c r="E288" s="33">
        <f>VLOOKUP($A288,'5 A calc'!$A$2:$AR$398,13,FALSE)</f>
        <v>-0.55761556073710872</v>
      </c>
      <c r="F288" s="53">
        <f>VLOOKUP($A288,'5 A calc'!$A$2:$AR$398,14,FALSE)</f>
        <v>0.79215588293108352</v>
      </c>
      <c r="G288" s="33">
        <f>VLOOKUP($A288,'5 A calc'!$A$2:$AR$398,26,FALSE)*I288</f>
        <v>5.2353367427486433E-2</v>
      </c>
      <c r="H288" s="53">
        <f>VLOOKUP($A288,'5 A calc'!$A$2:$AR$398,40,FALSE)*J288</f>
        <v>7.3975210680851736E-2</v>
      </c>
      <c r="I288" s="56">
        <f>VLOOKUP($A288,'5 A calc'!$A$2:$AR$398,28,FALSE)</f>
        <v>2.3086761857338782</v>
      </c>
      <c r="J288" s="49">
        <f>VLOOKUP($A288,'5 A calc'!$A$2:$AR$398,42,FALSE)</f>
        <v>2.2473449155811607</v>
      </c>
      <c r="L288" s="4">
        <f t="shared" si="80"/>
        <v>27.232313285046249</v>
      </c>
      <c r="M288" s="4">
        <f t="shared" si="81"/>
        <v>2.5430804163623359</v>
      </c>
    </row>
    <row r="289" spans="1:18" x14ac:dyDescent="0.2">
      <c r="A289" s="409">
        <v>390</v>
      </c>
      <c r="C289" s="53">
        <f t="shared" si="79"/>
        <v>0.2</v>
      </c>
      <c r="D289" s="57">
        <f>VLOOKUP($A289,'5 A calc'!$A$2:$AR$398,4,FALSE)</f>
        <v>40</v>
      </c>
      <c r="E289" s="33">
        <f>VLOOKUP($A289,'5 A calc'!$A$2:$AR$398,13,FALSE)</f>
        <v>-0.50765328613505356</v>
      </c>
      <c r="F289" s="53">
        <f>VLOOKUP($A289,'5 A calc'!$A$2:$AR$398,14,FALSE)</f>
        <v>0.7106120850249712</v>
      </c>
      <c r="G289" s="33">
        <f>VLOOKUP($A289,'5 A calc'!$A$2:$AR$398,26,FALSE)*I289</f>
        <v>4.6922796793551214E-2</v>
      </c>
      <c r="H289" s="53">
        <f>VLOOKUP($A289,'5 A calc'!$A$2:$AR$398,40,FALSE)*J289</f>
        <v>6.7271712404287351E-2</v>
      </c>
      <c r="I289" s="56">
        <f>VLOOKUP($A289,'5 A calc'!$A$2:$AR$398,28,FALSE)</f>
        <v>2.4820799032206762</v>
      </c>
      <c r="J289" s="49">
        <f>VLOOKUP($A289,'5 A calc'!$A$2:$AR$398,42,FALSE)</f>
        <v>2.2492772805253902</v>
      </c>
      <c r="L289" s="4">
        <f t="shared" si="80"/>
        <v>24.429044005753475</v>
      </c>
      <c r="M289" s="4">
        <f t="shared" si="81"/>
        <v>2.3126311208301198</v>
      </c>
    </row>
    <row r="290" spans="1:18" x14ac:dyDescent="0.2">
      <c r="A290" s="409">
        <v>391</v>
      </c>
      <c r="C290" s="53">
        <f t="shared" si="79"/>
        <v>0.2</v>
      </c>
      <c r="D290" s="51">
        <f>VLOOKUP($A290,'5 A calc'!$A$2:$AR$398,4,FALSE)</f>
        <v>60</v>
      </c>
      <c r="E290" s="33">
        <f>VLOOKUP($A290,'5 A calc'!$A$2:$AR$398,13,FALSE)</f>
        <v>-0.49566412483811673</v>
      </c>
      <c r="F290" s="53">
        <f>VLOOKUP($A290,'5 A calc'!$A$2:$AR$398,14,FALSE)</f>
        <v>0.64071618826001553</v>
      </c>
      <c r="G290" s="33">
        <f>VLOOKUP($A290,'5 A calc'!$A$2:$AR$398,26,FALSE)*I290</f>
        <v>4.6428744509845771E-2</v>
      </c>
      <c r="H290" s="53">
        <f>VLOOKUP($A290,'5 A calc'!$A$2:$AR$398,40,FALSE)*J290</f>
        <v>7.28140319206068E-2</v>
      </c>
      <c r="I290" s="56">
        <f>VLOOKUP($A290,'5 A calc'!$A$2:$AR$398,28,FALSE)</f>
        <v>2.4467636184012562</v>
      </c>
      <c r="J290" s="49">
        <f>VLOOKUP($A290,'5 A calc'!$A$2:$AR$398,42,FALSE)</f>
        <v>2.1878443090257851</v>
      </c>
      <c r="L290" s="4">
        <f t="shared" si="80"/>
        <v>22.026200071805036</v>
      </c>
      <c r="M290" s="4">
        <f t="shared" si="81"/>
        <v>2.5031620310289751</v>
      </c>
    </row>
    <row r="291" spans="1:18" x14ac:dyDescent="0.2">
      <c r="A291" s="409">
        <v>392</v>
      </c>
      <c r="C291" s="53">
        <f t="shared" si="79"/>
        <v>0.2</v>
      </c>
      <c r="D291" s="51">
        <f>VLOOKUP($A291,'5 A calc'!$A$2:$AR$398,4,FALSE)</f>
        <v>100</v>
      </c>
      <c r="E291" s="33">
        <f>VLOOKUP($A291,'5 A calc'!$A$2:$AR$398,13,FALSE)</f>
        <v>-0.47568185773737615</v>
      </c>
      <c r="F291" s="53">
        <f>VLOOKUP($A291,'5 A calc'!$A$2:$AR$398,14,FALSE)</f>
        <v>0.52422515337128717</v>
      </c>
      <c r="G291" s="33">
        <f>VLOOKUP($A291,'5 A calc'!$A$2:$AR$398,26,FALSE)*I291</f>
        <v>4.5013788225144291E-2</v>
      </c>
      <c r="H291" s="53">
        <f>VLOOKUP($A291,'5 A calc'!$A$2:$AR$398,40,FALSE)*J291</f>
        <v>4.6357750802571172E-2</v>
      </c>
      <c r="I291" s="56">
        <f>VLOOKUP($A291,'5 A calc'!$A$2:$AR$398,28,FALSE)</f>
        <v>2.4601950878970582</v>
      </c>
      <c r="J291" s="49">
        <f>VLOOKUP($A291,'5 A calc'!$A$2:$AR$398,42,FALSE)</f>
        <v>2.2361452757219369</v>
      </c>
      <c r="L291" s="4">
        <f t="shared" si="80"/>
        <v>18.021533281663817</v>
      </c>
      <c r="M291" s="4">
        <f t="shared" si="81"/>
        <v>1.5936620812239197</v>
      </c>
    </row>
    <row r="292" spans="1:18" x14ac:dyDescent="0.2">
      <c r="A292" s="409">
        <v>393</v>
      </c>
      <c r="C292" s="53">
        <f t="shared" si="79"/>
        <v>0.2</v>
      </c>
      <c r="D292" s="51">
        <f>VLOOKUP($A292,'5 A calc'!$A$2:$AR$398,4,FALSE)</f>
        <v>120</v>
      </c>
      <c r="E292" s="33">
        <f>VLOOKUP($A292,'5 A calc'!$A$2:$AR$398,13,FALSE)</f>
        <v>-0.46169238644214461</v>
      </c>
      <c r="F292" s="53">
        <f>VLOOKUP($A292,'5 A calc'!$A$2:$AR$398,14,FALSE)</f>
        <v>0.483452887687983</v>
      </c>
      <c r="G292" s="33">
        <f>VLOOKUP($A292,'5 A calc'!$A$2:$AR$398,26,FALSE)*I292</f>
        <v>4.3517875189631093E-2</v>
      </c>
      <c r="H292" s="53">
        <f>VLOOKUP($A292,'5 A calc'!$A$2:$AR$398,40,FALSE)*J292</f>
        <v>3.9993472938487692E-2</v>
      </c>
      <c r="I292" s="56">
        <f>VLOOKUP($A292,'5 A calc'!$A$2:$AR$398,28,FALSE)</f>
        <v>2.5009267560257977</v>
      </c>
      <c r="J292" s="49">
        <f>VLOOKUP($A292,'5 A calc'!$A$2:$AR$398,42,FALSE)</f>
        <v>2.332604978505266</v>
      </c>
      <c r="L292" s="4">
        <f t="shared" si="80"/>
        <v>16.619886034760178</v>
      </c>
      <c r="M292" s="4">
        <f t="shared" si="81"/>
        <v>1.3748743244676094</v>
      </c>
    </row>
    <row r="293" spans="1:18" x14ac:dyDescent="0.2">
      <c r="C293" s="119"/>
      <c r="D293" s="113"/>
      <c r="E293" s="119"/>
      <c r="F293" s="115"/>
      <c r="G293" s="114"/>
      <c r="H293" s="115"/>
      <c r="I293" s="116"/>
      <c r="J293" s="117"/>
      <c r="L293" s="27"/>
      <c r="M293" s="27"/>
    </row>
    <row r="294" spans="1:18" x14ac:dyDescent="0.2">
      <c r="A294" s="409">
        <v>395</v>
      </c>
      <c r="C294" s="53">
        <f t="shared" ref="C294:C300" si="82">low__burden</f>
        <v>0</v>
      </c>
      <c r="D294" s="51">
        <f>VLOOKUP($A294,'5 A calc'!$A$2:$AR$398,4,FALSE)</f>
        <v>5</v>
      </c>
      <c r="E294" s="33">
        <f>VLOOKUP($A294,'5 A calc'!$A$2:$AR$398,13,FALSE)</f>
        <v>-0.22382142424788565</v>
      </c>
      <c r="F294" s="53">
        <f>VLOOKUP($A294,'5 A calc'!$A$2:$AR$398,14,FALSE)</f>
        <v>0.39899268441763647</v>
      </c>
      <c r="G294" s="33">
        <f>VLOOKUP($A294,'5 A calc'!$A$2:$AR$398,26,FALSE)*I294</f>
        <v>5.9339267906436406E-2</v>
      </c>
      <c r="H294" s="53">
        <f>VLOOKUP($A294,'5 A calc'!$A$2:$AR$398,40,FALSE)*J294</f>
        <v>8.8710508399297075E-2</v>
      </c>
      <c r="I294" s="56">
        <f>VLOOKUP($A294,'5 A calc'!$A$2:$AR$398,28,FALSE)</f>
        <v>2.3593967371284044</v>
      </c>
      <c r="J294" s="49">
        <f>VLOOKUP($A294,'5 A calc'!$A$2:$AR$398,42,FALSE)</f>
        <v>2.2146268126743909</v>
      </c>
      <c r="L294" s="28">
        <f t="shared" ref="L294:L300" si="83">DEGREES(F294/100)*60</f>
        <v>13.716358124235441</v>
      </c>
      <c r="M294" s="28">
        <f t="shared" ref="M294:M300" si="84">DEGREES(H294/100)*60</f>
        <v>3.0496426378437378</v>
      </c>
    </row>
    <row r="295" spans="1:18" x14ac:dyDescent="0.2">
      <c r="A295" s="409">
        <v>396</v>
      </c>
      <c r="C295" s="53">
        <f t="shared" si="82"/>
        <v>0</v>
      </c>
      <c r="D295" s="51">
        <f>VLOOKUP($A295,'5 A calc'!$A$2:$AR$398,4,FALSE)</f>
        <v>10</v>
      </c>
      <c r="E295" s="33">
        <f>VLOOKUP($A295,'5 A calc'!$A$2:$AR$398,13,FALSE)</f>
        <v>-0.18284948877990198</v>
      </c>
      <c r="F295" s="53">
        <f>VLOOKUP($A295,'5 A calc'!$A$2:$AR$398,14,FALSE)</f>
        <v>0.29851551432212203</v>
      </c>
      <c r="G295" s="33">
        <f>VLOOKUP($A295,'5 A calc'!$A$2:$AR$398,26,FALSE)*I295</f>
        <v>5.46967321405218E-2</v>
      </c>
      <c r="H295" s="53">
        <f>VLOOKUP($A295,'5 A calc'!$A$2:$AR$398,40,FALSE)*J295</f>
        <v>7.8047684790711086E-2</v>
      </c>
      <c r="I295" s="56">
        <f>VLOOKUP($A295,'5 A calc'!$A$2:$AR$398,28,FALSE)</f>
        <v>2.4422134861922968</v>
      </c>
      <c r="J295" s="49">
        <f>VLOOKUP($A295,'5 A calc'!$A$2:$AR$398,42,FALSE)</f>
        <v>2.357511502008439</v>
      </c>
      <c r="L295" s="28">
        <f t="shared" si="83"/>
        <v>10.262207453900803</v>
      </c>
      <c r="M295" s="28">
        <f t="shared" si="84"/>
        <v>2.6830817635650788</v>
      </c>
    </row>
    <row r="296" spans="1:18" x14ac:dyDescent="0.2">
      <c r="A296" s="409">
        <v>397</v>
      </c>
      <c r="C296" s="53">
        <f t="shared" si="82"/>
        <v>0</v>
      </c>
      <c r="D296" s="51">
        <f>VLOOKUP($A296,'5 A calc'!$A$2:$AR$398,4,FALSE)</f>
        <v>20</v>
      </c>
      <c r="E296" s="33">
        <f>VLOOKUP($A296,'5 A calc'!$A$2:$AR$398,13,FALSE)</f>
        <v>-0.15586998693088872</v>
      </c>
      <c r="F296" s="53">
        <f>VLOOKUP($A296,'5 A calc'!$A$2:$AR$398,14,FALSE)</f>
        <v>0.24027103837754887</v>
      </c>
      <c r="G296" s="33">
        <f>VLOOKUP($A296,'5 A calc'!$A$2:$AR$398,26,FALSE)*I296</f>
        <v>5.0995491262350971E-2</v>
      </c>
      <c r="H296" s="53">
        <f>VLOOKUP($A296,'5 A calc'!$A$2:$AR$398,40,FALSE)*J296</f>
        <v>6.9962838906431207E-2</v>
      </c>
      <c r="I296" s="56">
        <f>VLOOKUP($A296,'5 A calc'!$A$2:$AR$398,28,FALSE)</f>
        <v>2.4894845708344819</v>
      </c>
      <c r="J296" s="49">
        <f>VLOOKUP($A296,'5 A calc'!$A$2:$AR$398,42,FALSE)</f>
        <v>2.4386192483457672</v>
      </c>
      <c r="L296" s="28">
        <f t="shared" si="83"/>
        <v>8.2599098629556273</v>
      </c>
      <c r="M296" s="28">
        <f t="shared" si="84"/>
        <v>2.4051452352553082</v>
      </c>
    </row>
    <row r="297" spans="1:18" x14ac:dyDescent="0.2">
      <c r="A297" s="409">
        <v>398</v>
      </c>
      <c r="C297" s="53">
        <f t="shared" si="82"/>
        <v>0</v>
      </c>
      <c r="D297" s="51">
        <f>VLOOKUP($A297,'5 A calc'!$A$2:$AR$398,4,FALSE)</f>
        <v>40</v>
      </c>
      <c r="E297" s="33">
        <f>VLOOKUP($A297,'5 A calc'!$A$2:$AR$398,13,FALSE)</f>
        <v>-0.13788745949748793</v>
      </c>
      <c r="F297" s="53">
        <f>VLOOKUP($A297,'5 A calc'!$A$2:$AR$398,14,FALSE)</f>
        <v>0.20532437774244733</v>
      </c>
      <c r="G297" s="33">
        <f>VLOOKUP($A297,'5 A calc'!$A$2:$AR$398,26,FALSE)*I297</f>
        <v>4.6976941368514803E-2</v>
      </c>
      <c r="H297" s="53">
        <f>VLOOKUP($A297,'5 A calc'!$A$2:$AR$398,40,FALSE)*J297</f>
        <v>6.3999434146057479E-2</v>
      </c>
      <c r="I297" s="56">
        <f>VLOOKUP($A297,'5 A calc'!$A$2:$AR$398,28,FALSE)</f>
        <v>2.5205314740171678</v>
      </c>
      <c r="J297" s="49">
        <f>VLOOKUP($A297,'5 A calc'!$A$2:$AR$398,42,FALSE)</f>
        <v>2.4798730372715028</v>
      </c>
      <c r="L297" s="28">
        <f t="shared" si="83"/>
        <v>7.0585321654752544</v>
      </c>
      <c r="M297" s="28">
        <f t="shared" si="84"/>
        <v>2.200138480676725</v>
      </c>
    </row>
    <row r="298" spans="1:18" x14ac:dyDescent="0.2">
      <c r="A298" s="409">
        <v>399</v>
      </c>
      <c r="C298" s="53">
        <f t="shared" si="82"/>
        <v>0</v>
      </c>
      <c r="D298" s="51">
        <f>VLOOKUP($A298,'5 A calc'!$A$2:$AR$398,4,FALSE)</f>
        <v>60</v>
      </c>
      <c r="E298" s="33">
        <f>VLOOKUP($A298,'5 A calc'!$A$2:$AR$398,13,FALSE)</f>
        <v>-0.12989576659663293</v>
      </c>
      <c r="F298" s="53">
        <f>VLOOKUP($A298,'5 A calc'!$A$2:$AR$398,14,FALSE)</f>
        <v>0.19076258148681702</v>
      </c>
      <c r="G298" s="33">
        <f>VLOOKUP($A298,'5 A calc'!$A$2:$AR$398,26,FALSE)*I298</f>
        <v>4.6463006184824927E-2</v>
      </c>
      <c r="H298" s="53">
        <f>VLOOKUP($A298,'5 A calc'!$A$2:$AR$398,40,FALSE)*J298</f>
        <v>5.6984785655866767E-2</v>
      </c>
      <c r="I298" s="56">
        <f>VLOOKUP($A298,'5 A calc'!$A$2:$AR$398,28,FALSE)</f>
        <v>2.5174048221417205</v>
      </c>
      <c r="J298" s="49">
        <f>VLOOKUP($A298,'5 A calc'!$A$2:$AR$398,42,FALSE)</f>
        <v>2.4616526616486718</v>
      </c>
      <c r="L298" s="28">
        <f t="shared" si="83"/>
        <v>6.5579344849290404</v>
      </c>
      <c r="M298" s="28">
        <f t="shared" si="84"/>
        <v>1.9589926287232793</v>
      </c>
    </row>
    <row r="299" spans="1:18" x14ac:dyDescent="0.2">
      <c r="A299" s="409">
        <v>400</v>
      </c>
      <c r="C299" s="53">
        <f t="shared" si="82"/>
        <v>0</v>
      </c>
      <c r="D299" s="51">
        <f>VLOOKUP($A299,'5 A calc'!$A$2:$AR$398,4,FALSE)</f>
        <v>100</v>
      </c>
      <c r="E299" s="33">
        <f>VLOOKUP($A299,'5 A calc'!$A$2:$AR$398,13,FALSE)</f>
        <v>-0.12090653758511721</v>
      </c>
      <c r="F299" s="53">
        <f>VLOOKUP($A299,'5 A calc'!$A$2:$AR$398,14,FALSE)</f>
        <v>0.17474662383870593</v>
      </c>
      <c r="G299" s="33">
        <f>VLOOKUP($A299,'5 A calc'!$A$2:$AR$398,26,FALSE)*I299</f>
        <v>4.5064233346043495E-2</v>
      </c>
      <c r="H299" s="53">
        <f>VLOOKUP($A299,'5 A calc'!$A$2:$AR$398,40,FALSE)*J299</f>
        <v>4.4263539700820372E-2</v>
      </c>
      <c r="I299" s="56">
        <f>VLOOKUP($A299,'5 A calc'!$A$2:$AR$398,28,FALSE)</f>
        <v>2.5163909464323861</v>
      </c>
      <c r="J299" s="49">
        <f>VLOOKUP($A299,'5 A calc'!$A$2:$AR$398,42,FALSE)</f>
        <v>2.4532537988332153</v>
      </c>
      <c r="L299" s="28">
        <f t="shared" si="83"/>
        <v>6.007346418070818</v>
      </c>
      <c r="M299" s="28">
        <f t="shared" si="84"/>
        <v>1.5216684067000619</v>
      </c>
    </row>
    <row r="300" spans="1:18" x14ac:dyDescent="0.2">
      <c r="A300" s="409">
        <v>401</v>
      </c>
      <c r="C300" s="53">
        <f t="shared" si="82"/>
        <v>0</v>
      </c>
      <c r="D300" s="51">
        <f>VLOOKUP($A300,'5 A calc'!$A$2:$AR$398,4,FALSE)</f>
        <v>120</v>
      </c>
      <c r="E300" s="33">
        <f>VLOOKUP($A300,'5 A calc'!$A$2:$AR$398,13,FALSE)</f>
        <v>-0.11890947147813105</v>
      </c>
      <c r="F300" s="53">
        <f>VLOOKUP($A300,'5 A calc'!$A$2:$AR$398,14,FALSE)</f>
        <v>0.17183453218809797</v>
      </c>
      <c r="G300" s="33">
        <f>VLOOKUP($A300,'5 A calc'!$A$2:$AR$398,26,FALSE)*I300</f>
        <v>4.3567921812953103E-2</v>
      </c>
      <c r="H300" s="53">
        <f>VLOOKUP($A300,'5 A calc'!$A$2:$AR$398,40,FALSE)*J300</f>
        <v>3.9471413508775893E-2</v>
      </c>
      <c r="I300" s="56">
        <f>VLOOKUP($A300,'5 A calc'!$A$2:$AR$398,28,FALSE)</f>
        <v>2.5297763834274107</v>
      </c>
      <c r="J300" s="49">
        <f>VLOOKUP($A300,'5 A calc'!$A$2:$AR$398,42,FALSE)</f>
        <v>2.4649667671133018</v>
      </c>
      <c r="L300" s="28">
        <f t="shared" si="83"/>
        <v>5.9072360813897449</v>
      </c>
      <c r="M300" s="28">
        <f t="shared" si="84"/>
        <v>1.3569272432811135</v>
      </c>
    </row>
    <row r="301" spans="1:18" x14ac:dyDescent="0.2">
      <c r="C301" s="39"/>
      <c r="D301" s="52"/>
      <c r="E301" s="38"/>
      <c r="F301" s="52"/>
      <c r="G301" s="38"/>
      <c r="H301" s="52"/>
      <c r="I301" s="52"/>
      <c r="J301" s="40"/>
      <c r="L301" s="4"/>
      <c r="M301" s="4"/>
    </row>
    <row r="303" spans="1:18" x14ac:dyDescent="0.2">
      <c r="A303" s="409">
        <v>403</v>
      </c>
      <c r="C303" s="60" t="str">
        <f>"Table "&amp;L303&amp;". Ratio "&amp;LEFT(M303,FIND("/",M303)-1)&amp;":5."&amp;"  Secondary: "&amp;K303</f>
        <v>Table . Ratio 200:5.  Secondary: S1 - S2</v>
      </c>
      <c r="D303" s="18"/>
      <c r="E303" s="18"/>
      <c r="F303" s="18"/>
      <c r="G303" s="18"/>
      <c r="H303" s="10"/>
      <c r="I303" s="10"/>
      <c r="J303" s="11"/>
      <c r="K303" s="95" t="str">
        <f>VLOOKUP($A303+1,'5 A data'!$A$2:$AP$526,2,FALSE)</f>
        <v>S1 - S2</v>
      </c>
      <c r="L303" s="97"/>
      <c r="M303" s="534" t="str">
        <f>VLOOKUP($A303,'5 A calc'!$A$2:$AR$398,4,FALSE)</f>
        <v>200/5 Range, 1 turns @ 1VA burden, vs 120 AT, 200 range, 2 Stage CT</v>
      </c>
      <c r="N303" s="534"/>
      <c r="O303" s="534"/>
      <c r="P303" s="534"/>
      <c r="Q303" s="534"/>
      <c r="R303" s="534"/>
    </row>
    <row r="304" spans="1:18" x14ac:dyDescent="0.2">
      <c r="A304" s="409"/>
      <c r="C304" s="12"/>
      <c r="D304" s="13"/>
      <c r="E304" s="643" t="s">
        <v>19</v>
      </c>
      <c r="F304" s="644"/>
      <c r="G304" s="643" t="s">
        <v>20</v>
      </c>
      <c r="H304" s="644"/>
      <c r="I304" s="645" t="s">
        <v>8</v>
      </c>
      <c r="J304" s="646"/>
      <c r="L304" s="67"/>
    </row>
    <row r="305" spans="1:13" ht="51" x14ac:dyDescent="0.2">
      <c r="A305" s="409"/>
      <c r="C305" s="12" t="s">
        <v>169</v>
      </c>
      <c r="D305" s="54" t="s">
        <v>241</v>
      </c>
      <c r="E305" s="54" t="s">
        <v>294</v>
      </c>
      <c r="F305" s="13" t="s">
        <v>239</v>
      </c>
      <c r="G305" s="54" t="s">
        <v>294</v>
      </c>
      <c r="H305" s="13" t="s">
        <v>239</v>
      </c>
      <c r="I305" s="54" t="s">
        <v>158</v>
      </c>
      <c r="J305" s="13" t="s">
        <v>159</v>
      </c>
      <c r="L305" s="498" t="s">
        <v>59</v>
      </c>
      <c r="M305" s="498" t="s">
        <v>478</v>
      </c>
    </row>
    <row r="306" spans="1:13" x14ac:dyDescent="0.2">
      <c r="A306" s="409">
        <v>405</v>
      </c>
      <c r="C306" s="53">
        <v>0.05</v>
      </c>
      <c r="D306" s="57">
        <f>VLOOKUP($A306,'5 A calc'!$A$2:$AR$398,4,FALSE)</f>
        <v>5</v>
      </c>
      <c r="E306" s="33">
        <f>VLOOKUP($A306,'5 A calc'!$A$2:$AR$398,13,FALSE)</f>
        <v>-0.32775560254601221</v>
      </c>
      <c r="F306" s="53">
        <f>VLOOKUP($A306,'5 A calc'!$A$2:$AR$398,14,FALSE)</f>
        <v>0.53587177515123063</v>
      </c>
      <c r="G306" s="33">
        <f>VLOOKUP($A306,'5 A calc'!$A$2:$AR$398,26,FALSE)*I306</f>
        <v>2.6786558577487865E-2</v>
      </c>
      <c r="H306" s="53">
        <f>VLOOKUP($A306,'5 A calc'!$A$2:$AR$398,40,FALSE)*J306</f>
        <v>5.4739229305840895E-2</v>
      </c>
      <c r="I306" s="56">
        <f>VLOOKUP($A306,'5 A calc'!$A$2:$AR$398,28,FALSE)</f>
        <v>2.1906799911184551</v>
      </c>
      <c r="J306" s="49">
        <f>VLOOKUP($A306,'5 A calc'!$A$2:$AR$398,42,FALSE)</f>
        <v>2.205009153241658</v>
      </c>
      <c r="L306" s="4">
        <f t="shared" ref="L306:L312" si="85">DEGREES(F306/100)*60</f>
        <v>18.421914645809359</v>
      </c>
      <c r="M306" s="4">
        <f>DEGREES(H306/100)*60</f>
        <v>1.8817960878141085</v>
      </c>
    </row>
    <row r="307" spans="1:13" x14ac:dyDescent="0.2">
      <c r="A307" s="409">
        <v>406</v>
      </c>
      <c r="C307" s="53">
        <v>0.05</v>
      </c>
      <c r="D307" s="57">
        <f>VLOOKUP($A307,'5 A calc'!$A$2:$AR$398,4,FALSE)</f>
        <v>10</v>
      </c>
      <c r="E307" s="33">
        <f>VLOOKUP($A307,'5 A calc'!$A$2:$AR$398,13,FALSE)</f>
        <v>-0.27878873028586498</v>
      </c>
      <c r="F307" s="53">
        <f>VLOOKUP($A307,'5 A calc'!$A$2:$AR$398,14,FALSE)</f>
        <v>0.43393844451599733</v>
      </c>
      <c r="G307" s="33">
        <f>VLOOKUP($A307,'5 A calc'!$A$2:$AR$398,26,FALSE)*I307</f>
        <v>2.0770657880893151E-2</v>
      </c>
      <c r="H307" s="53">
        <f>VLOOKUP($A307,'5 A calc'!$A$2:$AR$398,40,FALSE)*J307</f>
        <v>3.8335193877172123E-2</v>
      </c>
      <c r="I307" s="56">
        <f>VLOOKUP($A307,'5 A calc'!$A$2:$AR$398,28,FALSE)</f>
        <v>2.2125690560257594</v>
      </c>
      <c r="J307" s="49">
        <f>VLOOKUP($A307,'5 A calc'!$A$2:$AR$398,42,FALSE)</f>
        <v>2.2504842162251486</v>
      </c>
      <c r="L307" s="4">
        <f t="shared" si="85"/>
        <v>14.917704863543094</v>
      </c>
      <c r="M307" s="4">
        <f t="shared" ref="M307:M312" si="86">DEGREES(H307/100)*60</f>
        <v>1.3178668895866306</v>
      </c>
    </row>
    <row r="308" spans="1:13" x14ac:dyDescent="0.2">
      <c r="A308" s="409">
        <v>407</v>
      </c>
      <c r="C308" s="53">
        <v>0.05</v>
      </c>
      <c r="D308" s="57">
        <f>VLOOKUP($A308,'5 A calc'!$A$2:$AR$398,4,FALSE)</f>
        <v>20</v>
      </c>
      <c r="E308" s="33">
        <f>VLOOKUP($A308,'5 A calc'!$A$2:$AR$398,13,FALSE)</f>
        <v>-0.24081619034762677</v>
      </c>
      <c r="F308" s="53">
        <f>VLOOKUP($A308,'5 A calc'!$A$2:$AR$398,14,FALSE)</f>
        <v>0.36113236317423325</v>
      </c>
      <c r="G308" s="33">
        <f>VLOOKUP($A308,'5 A calc'!$A$2:$AR$398,26,FALSE)*I308</f>
        <v>1.4118002595676769E-2</v>
      </c>
      <c r="H308" s="53">
        <f>VLOOKUP($A308,'5 A calc'!$A$2:$AR$398,40,FALSE)*J308</f>
        <v>2.5821348122141048E-2</v>
      </c>
      <c r="I308" s="56">
        <f>VLOOKUP($A308,'5 A calc'!$A$2:$AR$398,28,FALSE)</f>
        <v>2.1790194900317337</v>
      </c>
      <c r="J308" s="49">
        <f>VLOOKUP($A308,'5 A calc'!$A$2:$AR$398,42,FALSE)</f>
        <v>2.1968229873073155</v>
      </c>
      <c r="L308" s="4">
        <f t="shared" si="85"/>
        <v>12.414816153281542</v>
      </c>
      <c r="M308" s="4">
        <f t="shared" si="86"/>
        <v>0.88767256124204141</v>
      </c>
    </row>
    <row r="309" spans="1:13" x14ac:dyDescent="0.2">
      <c r="A309" s="409">
        <v>408</v>
      </c>
      <c r="C309" s="53">
        <v>0.05</v>
      </c>
      <c r="D309" s="57">
        <f>VLOOKUP($A309,'5 A calc'!$A$2:$AR$398,4,FALSE)</f>
        <v>40</v>
      </c>
      <c r="E309" s="33">
        <f>VLOOKUP($A309,'5 A calc'!$A$2:$AR$398,13,FALSE)</f>
        <v>-0.21783682741912375</v>
      </c>
      <c r="F309" s="53">
        <f>VLOOKUP($A309,'5 A calc'!$A$2:$AR$398,14,FALSE)</f>
        <v>0.31453641822137907</v>
      </c>
      <c r="G309" s="33">
        <f>VLOOKUP($A309,'5 A calc'!$A$2:$AR$398,26,FALSE)*I309</f>
        <v>1.0962753504210058E-2</v>
      </c>
      <c r="H309" s="53">
        <f>VLOOKUP($A309,'5 A calc'!$A$2:$AR$398,40,FALSE)*J309</f>
        <v>1.728777328130832E-2</v>
      </c>
      <c r="I309" s="56">
        <f>VLOOKUP($A309,'5 A calc'!$A$2:$AR$398,28,FALSE)</f>
        <v>2.2027268638332083</v>
      </c>
      <c r="J309" s="49">
        <f>VLOOKUP($A309,'5 A calc'!$A$2:$AR$398,42,FALSE)</f>
        <v>2.0950813874546657</v>
      </c>
      <c r="L309" s="4">
        <f t="shared" si="85"/>
        <v>10.812965560348072</v>
      </c>
      <c r="M309" s="4">
        <f t="shared" si="86"/>
        <v>0.59430986771879835</v>
      </c>
    </row>
    <row r="310" spans="1:13" x14ac:dyDescent="0.2">
      <c r="A310" s="409">
        <v>409</v>
      </c>
      <c r="C310" s="53">
        <v>0.05</v>
      </c>
      <c r="D310" s="51">
        <f>VLOOKUP($A310,'5 A calc'!$A$2:$AR$398,4,FALSE)</f>
        <v>60</v>
      </c>
      <c r="E310" s="33">
        <f>VLOOKUP($A310,'5 A calc'!$A$2:$AR$398,13,FALSE)</f>
        <v>-0.20584766612218691</v>
      </c>
      <c r="F310" s="53">
        <f>VLOOKUP($A310,'5 A calc'!$A$2:$AR$398,14,FALSE)</f>
        <v>0.29414997980687235</v>
      </c>
      <c r="G310" s="33">
        <f>VLOOKUP($A310,'5 A calc'!$A$2:$AR$398,26,FALSE)*I310</f>
        <v>1.0929051379071823E-2</v>
      </c>
      <c r="H310" s="53">
        <f>VLOOKUP($A310,'5 A calc'!$A$2:$AR$398,40,FALSE)*J310</f>
        <v>1.7469700069141576E-2</v>
      </c>
      <c r="I310" s="56">
        <f>VLOOKUP($A310,'5 A calc'!$A$2:$AR$398,28,FALSE)</f>
        <v>2.1767634569779699</v>
      </c>
      <c r="J310" s="49">
        <f>VLOOKUP($A310,'5 A calc'!$A$2:$AR$398,42,FALSE)</f>
        <v>2.0900434260721883</v>
      </c>
      <c r="L310" s="4">
        <f t="shared" si="85"/>
        <v>10.112131432075307</v>
      </c>
      <c r="M310" s="4">
        <f t="shared" si="86"/>
        <v>0.60056404999272883</v>
      </c>
    </row>
    <row r="311" spans="1:13" x14ac:dyDescent="0.2">
      <c r="A311" s="409">
        <v>410</v>
      </c>
      <c r="C311" s="53">
        <v>0.05</v>
      </c>
      <c r="D311" s="51">
        <f>VLOOKUP($A311,'5 A calc'!$A$2:$AR$398,4,FALSE)</f>
        <v>100</v>
      </c>
      <c r="E311" s="33">
        <f>VLOOKUP($A311,'5 A calc'!$A$2:$AR$398,13,FALSE)</f>
        <v>-0.19186160161556901</v>
      </c>
      <c r="F311" s="53">
        <f>VLOOKUP($A311,'5 A calc'!$A$2:$AR$398,14,FALSE)</f>
        <v>0.27085321946016577</v>
      </c>
      <c r="G311" s="33">
        <f>VLOOKUP($A311,'5 A calc'!$A$2:$AR$398,26,FALSE)*I311</f>
        <v>9.5172153410252071E-3</v>
      </c>
      <c r="H311" s="53">
        <f>VLOOKUP($A311,'5 A calc'!$A$2:$AR$398,40,FALSE)*J311</f>
        <v>1.4610565974334537E-2</v>
      </c>
      <c r="I311" s="56">
        <f>VLOOKUP($A311,'5 A calc'!$A$2:$AR$398,28,FALSE)</f>
        <v>2.2066505394090044</v>
      </c>
      <c r="J311" s="49">
        <f>VLOOKUP($A311,'5 A calc'!$A$2:$AR$398,42,FALSE)</f>
        <v>2.0979159444694098</v>
      </c>
      <c r="L311" s="4">
        <f t="shared" si="85"/>
        <v>9.3112478055588923</v>
      </c>
      <c r="M311" s="4">
        <f t="shared" si="86"/>
        <v>0.50227425997608866</v>
      </c>
    </row>
    <row r="312" spans="1:13" x14ac:dyDescent="0.2">
      <c r="A312" s="409">
        <v>411</v>
      </c>
      <c r="C312" s="53">
        <v>0.05</v>
      </c>
      <c r="D312" s="51">
        <f>VLOOKUP($A312,'5 A calc'!$A$2:$AR$398,4,FALSE)</f>
        <v>120</v>
      </c>
      <c r="E312" s="33">
        <f>VLOOKUP($A312,'5 A calc'!$A$2:$AR$398,13,FALSE)</f>
        <v>-0.18986453550858284</v>
      </c>
      <c r="F312" s="53">
        <f>VLOOKUP($A312,'5 A calc'!$A$2:$AR$398,14,FALSE)</f>
        <v>0.26066032511096227</v>
      </c>
      <c r="G312" s="33">
        <f>VLOOKUP($A312,'5 A calc'!$A$2:$AR$398,26,FALSE)*I312</f>
        <v>9.1157528184020384E-3</v>
      </c>
      <c r="H312" s="53">
        <f>VLOOKUP($A312,'5 A calc'!$A$2:$AR$398,40,FALSE)*J312</f>
        <v>1.2687139150644632E-2</v>
      </c>
      <c r="I312" s="56">
        <f>VLOOKUP($A312,'5 A calc'!$A$2:$AR$398,28,FALSE)</f>
        <v>2.3206873216061488</v>
      </c>
      <c r="J312" s="49">
        <f>VLOOKUP($A312,'5 A calc'!$A$2:$AR$398,42,FALSE)</f>
        <v>2.1581713222788297</v>
      </c>
      <c r="L312" s="4">
        <f t="shared" si="85"/>
        <v>8.9608419092196296</v>
      </c>
      <c r="M312" s="4">
        <f t="shared" si="86"/>
        <v>0.43615171645627765</v>
      </c>
    </row>
    <row r="313" spans="1:13" x14ac:dyDescent="0.2">
      <c r="C313" s="119"/>
      <c r="D313" s="113"/>
      <c r="E313" s="119"/>
      <c r="F313" s="115"/>
      <c r="G313" s="114"/>
      <c r="H313" s="115"/>
      <c r="I313" s="116"/>
      <c r="J313" s="117"/>
      <c r="L313" s="27"/>
      <c r="M313" s="27"/>
    </row>
    <row r="314" spans="1:13" x14ac:dyDescent="0.2">
      <c r="A314" s="409">
        <v>413</v>
      </c>
      <c r="C314" s="53">
        <f t="shared" ref="C314:C320" si="87">low__burden</f>
        <v>0</v>
      </c>
      <c r="D314" s="51">
        <f>VLOOKUP($A314,'5 A calc'!$A$2:$AR$398,4,FALSE)</f>
        <v>5</v>
      </c>
      <c r="E314" s="33">
        <f>VLOOKUP($A314,'5 A calc'!$A$2:$AR$398,13,FALSE)</f>
        <v>-0.226819525544947</v>
      </c>
      <c r="F314" s="53">
        <f>VLOOKUP($A314,'5 A calc'!$A$2:$AR$398,14,FALSE)</f>
        <v>0.39462420279847921</v>
      </c>
      <c r="G314" s="33">
        <f>VLOOKUP($A314,'5 A calc'!$A$2:$AR$398,26,FALSE)*I314</f>
        <v>2.3529078791489175E-2</v>
      </c>
      <c r="H314" s="53">
        <f>VLOOKUP($A314,'5 A calc'!$A$2:$AR$398,40,FALSE)*J314</f>
        <v>5.1578861487090663E-2</v>
      </c>
      <c r="I314" s="56">
        <f>VLOOKUP($A314,'5 A calc'!$A$2:$AR$398,28,FALSE)</f>
        <v>2.1495497781755017</v>
      </c>
      <c r="J314" s="49">
        <f>VLOOKUP($A314,'5 A calc'!$A$2:$AR$398,42,FALSE)</f>
        <v>2.1856357189400724</v>
      </c>
      <c r="L314" s="28">
        <f t="shared" ref="L314:L320" si="88">DEGREES(F314/100)*60</f>
        <v>13.566180788440532</v>
      </c>
      <c r="M314" s="28">
        <f t="shared" ref="M314:M320" si="89">DEGREES(H314/100)*60</f>
        <v>1.7731506451800962</v>
      </c>
    </row>
    <row r="315" spans="1:13" x14ac:dyDescent="0.2">
      <c r="A315" s="409">
        <v>414</v>
      </c>
      <c r="C315" s="53">
        <f t="shared" si="87"/>
        <v>0</v>
      </c>
      <c r="D315" s="51">
        <f>VLOOKUP($A315,'5 A calc'!$A$2:$AR$398,4,FALSE)</f>
        <v>10</v>
      </c>
      <c r="E315" s="33">
        <f>VLOOKUP($A315,'5 A calc'!$A$2:$AR$398,13,FALSE)</f>
        <v>-0.1858475900769633</v>
      </c>
      <c r="F315" s="53">
        <f>VLOOKUP($A315,'5 A calc'!$A$2:$AR$398,14,FALSE)</f>
        <v>0.29997167486184112</v>
      </c>
      <c r="G315" s="33">
        <f>VLOOKUP($A315,'5 A calc'!$A$2:$AR$398,26,FALSE)*I315</f>
        <v>1.7213237543663471E-2</v>
      </c>
      <c r="H315" s="53">
        <f>VLOOKUP($A315,'5 A calc'!$A$2:$AR$398,40,FALSE)*J315</f>
        <v>3.1945456846833142E-2</v>
      </c>
      <c r="I315" s="56">
        <f>VLOOKUP($A315,'5 A calc'!$A$2:$AR$398,28,FALSE)</f>
        <v>2.1632564808182768</v>
      </c>
      <c r="J315" s="49">
        <f>VLOOKUP($A315,'5 A calc'!$A$2:$AR$398,42,FALSE)</f>
        <v>2.1923296134444654</v>
      </c>
      <c r="L315" s="28">
        <f t="shared" si="88"/>
        <v>10.312266565832442</v>
      </c>
      <c r="M315" s="28">
        <f t="shared" si="89"/>
        <v>1.0982039111645028</v>
      </c>
    </row>
    <row r="316" spans="1:13" x14ac:dyDescent="0.2">
      <c r="A316" s="409">
        <v>415</v>
      </c>
      <c r="C316" s="53">
        <f t="shared" si="87"/>
        <v>0</v>
      </c>
      <c r="D316" s="51">
        <f>VLOOKUP($A316,'5 A calc'!$A$2:$AR$398,4,FALSE)</f>
        <v>20</v>
      </c>
      <c r="E316" s="33">
        <f>VLOOKUP($A316,'5 A calc'!$A$2:$AR$398,13,FALSE)</f>
        <v>-0.15686935402990917</v>
      </c>
      <c r="F316" s="53">
        <f>VLOOKUP($A316,'5 A calc'!$A$2:$AR$398,14,FALSE)</f>
        <v>0.24172719891726796</v>
      </c>
      <c r="G316" s="33">
        <f>VLOOKUP($A316,'5 A calc'!$A$2:$AR$398,26,FALSE)*I316</f>
        <v>1.2841463569121322E-2</v>
      </c>
      <c r="H316" s="53">
        <f>VLOOKUP($A316,'5 A calc'!$A$2:$AR$398,40,FALSE)*J316</f>
        <v>2.1896224367873949E-2</v>
      </c>
      <c r="I316" s="56">
        <f>VLOOKUP($A316,'5 A calc'!$A$2:$AR$398,28,FALSE)</f>
        <v>2.179216184883241</v>
      </c>
      <c r="J316" s="49">
        <f>VLOOKUP($A316,'5 A calc'!$A$2:$AR$398,42,FALSE)</f>
        <v>2.1558026859399315</v>
      </c>
      <c r="L316" s="28">
        <f t="shared" si="88"/>
        <v>8.3099689748872656</v>
      </c>
      <c r="M316" s="28">
        <f t="shared" si="89"/>
        <v>0.75273674613041164</v>
      </c>
    </row>
    <row r="317" spans="1:13" x14ac:dyDescent="0.2">
      <c r="A317" s="409">
        <v>416</v>
      </c>
      <c r="C317" s="53">
        <f t="shared" si="87"/>
        <v>0</v>
      </c>
      <c r="D317" s="51">
        <f>VLOOKUP($A317,'5 A calc'!$A$2:$AR$398,4,FALSE)</f>
        <v>40</v>
      </c>
      <c r="E317" s="33">
        <f>VLOOKUP($A317,'5 A calc'!$A$2:$AR$398,13,FALSE)</f>
        <v>-0.13788745949748793</v>
      </c>
      <c r="F317" s="53">
        <f>VLOOKUP($A317,'5 A calc'!$A$2:$AR$398,14,FALSE)</f>
        <v>0.20532437774244733</v>
      </c>
      <c r="G317" s="33">
        <f>VLOOKUP($A317,'5 A calc'!$A$2:$AR$398,26,FALSE)*I317</f>
        <v>1.0434065256052286E-2</v>
      </c>
      <c r="H317" s="53">
        <f>VLOOKUP($A317,'5 A calc'!$A$2:$AR$398,40,FALSE)*J317</f>
        <v>1.6219260334838136E-2</v>
      </c>
      <c r="I317" s="56">
        <f>VLOOKUP($A317,'5 A calc'!$A$2:$AR$398,28,FALSE)</f>
        <v>2.2707266780560973</v>
      </c>
      <c r="J317" s="49">
        <f>VLOOKUP($A317,'5 A calc'!$A$2:$AR$398,42,FALSE)</f>
        <v>2.1116656194106969</v>
      </c>
      <c r="L317" s="28">
        <f t="shared" si="88"/>
        <v>7.0585321654752544</v>
      </c>
      <c r="M317" s="28">
        <f t="shared" si="89"/>
        <v>0.55757709840610059</v>
      </c>
    </row>
    <row r="318" spans="1:13" x14ac:dyDescent="0.2">
      <c r="A318" s="409">
        <v>417</v>
      </c>
      <c r="C318" s="53">
        <f t="shared" si="87"/>
        <v>0</v>
      </c>
      <c r="D318" s="51">
        <f>VLOOKUP($A318,'5 A calc'!$A$2:$AR$398,4,FALSE)</f>
        <v>60</v>
      </c>
      <c r="E318" s="33">
        <f>VLOOKUP($A318,'5 A calc'!$A$2:$AR$398,13,FALSE)</f>
        <v>-0.12989576659663293</v>
      </c>
      <c r="F318" s="53">
        <f>VLOOKUP($A318,'5 A calc'!$A$2:$AR$398,14,FALSE)</f>
        <v>0.19076258148681702</v>
      </c>
      <c r="G318" s="33">
        <f>VLOOKUP($A318,'5 A calc'!$A$2:$AR$398,26,FALSE)*I318</f>
        <v>1.0068736341079163E-2</v>
      </c>
      <c r="H318" s="53">
        <f>VLOOKUP($A318,'5 A calc'!$A$2:$AR$398,40,FALSE)*J318</f>
        <v>1.5916475926314341E-2</v>
      </c>
      <c r="I318" s="56">
        <f>VLOOKUP($A318,'5 A calc'!$A$2:$AR$398,28,FALSE)</f>
        <v>2.2402601621361407</v>
      </c>
      <c r="J318" s="49">
        <f>VLOOKUP($A318,'5 A calc'!$A$2:$AR$398,42,FALSE)</f>
        <v>2.0974653175407636</v>
      </c>
      <c r="L318" s="28">
        <f t="shared" si="88"/>
        <v>6.5579344849290404</v>
      </c>
      <c r="M318" s="28">
        <f t="shared" si="89"/>
        <v>0.54716813717963342</v>
      </c>
    </row>
    <row r="319" spans="1:13" x14ac:dyDescent="0.2">
      <c r="A319" s="409">
        <v>418</v>
      </c>
      <c r="C319" s="53">
        <f t="shared" si="87"/>
        <v>0</v>
      </c>
      <c r="D319" s="51">
        <f>VLOOKUP($A319,'5 A calc'!$A$2:$AR$398,4,FALSE)</f>
        <v>100</v>
      </c>
      <c r="E319" s="33">
        <f>VLOOKUP($A319,'5 A calc'!$A$2:$AR$398,13,FALSE)</f>
        <v>-0.12090653758511721</v>
      </c>
      <c r="F319" s="53">
        <f>VLOOKUP($A319,'5 A calc'!$A$2:$AR$398,14,FALSE)</f>
        <v>0.17474662383870593</v>
      </c>
      <c r="G319" s="33">
        <f>VLOOKUP($A319,'5 A calc'!$A$2:$AR$398,26,FALSE)*I319</f>
        <v>9.4695202108053423E-3</v>
      </c>
      <c r="H319" s="53">
        <f>VLOOKUP($A319,'5 A calc'!$A$2:$AR$398,40,FALSE)*J319</f>
        <v>1.4087322673819956E-2</v>
      </c>
      <c r="I319" s="56">
        <f>VLOOKUP($A319,'5 A calc'!$A$2:$AR$398,28,FALSE)</f>
        <v>2.2168603254515564</v>
      </c>
      <c r="J319" s="49">
        <f>VLOOKUP($A319,'5 A calc'!$A$2:$AR$398,42,FALSE)</f>
        <v>2.1246737071622319</v>
      </c>
      <c r="L319" s="28">
        <f t="shared" si="88"/>
        <v>6.007346418070818</v>
      </c>
      <c r="M319" s="28">
        <f t="shared" si="89"/>
        <v>0.4842864803093001</v>
      </c>
    </row>
    <row r="320" spans="1:13" x14ac:dyDescent="0.2">
      <c r="A320" s="409">
        <v>419</v>
      </c>
      <c r="C320" s="53">
        <f t="shared" si="87"/>
        <v>0</v>
      </c>
      <c r="D320" s="51">
        <f>VLOOKUP($A320,'5 A calc'!$A$2:$AR$398,4,FALSE)</f>
        <v>120</v>
      </c>
      <c r="E320" s="33">
        <f>VLOOKUP($A320,'5 A calc'!$A$2:$AR$398,13,FALSE)</f>
        <v>-0.11890947147813105</v>
      </c>
      <c r="F320" s="53">
        <f>VLOOKUP($A320,'5 A calc'!$A$2:$AR$398,14,FALSE)</f>
        <v>0.17183453218809797</v>
      </c>
      <c r="G320" s="33">
        <f>VLOOKUP($A320,'5 A calc'!$A$2:$AR$398,26,FALSE)*I320</f>
        <v>9.0857002886257192E-3</v>
      </c>
      <c r="H320" s="53">
        <f>VLOOKUP($A320,'5 A calc'!$A$2:$AR$398,40,FALSE)*J320</f>
        <v>1.2611921404554209E-2</v>
      </c>
      <c r="I320" s="56">
        <f>VLOOKUP($A320,'5 A calc'!$A$2:$AR$398,28,FALSE)</f>
        <v>2.3397782721930618</v>
      </c>
      <c r="J320" s="49">
        <f>VLOOKUP($A320,'5 A calc'!$A$2:$AR$398,42,FALSE)</f>
        <v>2.1660706349336429</v>
      </c>
      <c r="L320" s="28">
        <f t="shared" si="88"/>
        <v>5.9072360813897449</v>
      </c>
      <c r="M320" s="28">
        <f t="shared" si="89"/>
        <v>0.43356592081899692</v>
      </c>
    </row>
    <row r="321" spans="1:13" x14ac:dyDescent="0.2">
      <c r="C321" s="39"/>
      <c r="D321" s="52"/>
      <c r="E321" s="38"/>
      <c r="F321" s="52"/>
      <c r="G321" s="38"/>
      <c r="H321" s="52"/>
      <c r="I321" s="52"/>
      <c r="J321" s="40"/>
      <c r="L321" s="4"/>
      <c r="M321" s="4"/>
    </row>
    <row r="323" spans="1:13" x14ac:dyDescent="0.2">
      <c r="A323" s="409">
        <v>421</v>
      </c>
      <c r="C323" s="60" t="str">
        <f>"Table "&amp;L323&amp;". Ratio "&amp;LEFT(M323,FIND("/",M323)-1)&amp;":5."&amp;"  Secondary: "&amp;K323</f>
        <v>Table . Ratio 200:5.  Secondary: S1 - S2</v>
      </c>
      <c r="D323" s="18"/>
      <c r="E323" s="18"/>
      <c r="F323" s="18"/>
      <c r="G323" s="18"/>
      <c r="H323" s="10"/>
      <c r="I323" s="10"/>
      <c r="J323" s="11"/>
      <c r="K323" s="95" t="str">
        <f>VLOOKUP($A323+1,'5 A data'!$A$2:$AP$526,2,FALSE)</f>
        <v>S1 - S2</v>
      </c>
      <c r="L323" s="97"/>
      <c r="M323" s="95" t="str">
        <f>VLOOKUP($A323,'5 A calc'!$A$2:$AR$398,4,FALSE)</f>
        <v>200/5 Range, 1 turns @ 5VA burden, vs 120 AT, 200 range, 2 Stage CT</v>
      </c>
    </row>
    <row r="324" spans="1:13" x14ac:dyDescent="0.2">
      <c r="A324" s="409"/>
      <c r="C324" s="12"/>
      <c r="D324" s="13"/>
      <c r="E324" s="643" t="s">
        <v>19</v>
      </c>
      <c r="F324" s="644"/>
      <c r="G324" s="643" t="s">
        <v>20</v>
      </c>
      <c r="H324" s="644"/>
      <c r="I324" s="645" t="s">
        <v>8</v>
      </c>
      <c r="J324" s="646"/>
    </row>
    <row r="325" spans="1:13" ht="51" x14ac:dyDescent="0.2">
      <c r="A325" s="409"/>
      <c r="C325" s="12" t="s">
        <v>169</v>
      </c>
      <c r="D325" s="54" t="s">
        <v>241</v>
      </c>
      <c r="E325" s="54" t="s">
        <v>294</v>
      </c>
      <c r="F325" s="13" t="s">
        <v>239</v>
      </c>
      <c r="G325" s="54" t="s">
        <v>294</v>
      </c>
      <c r="H325" s="13" t="s">
        <v>239</v>
      </c>
      <c r="I325" s="54" t="s">
        <v>158</v>
      </c>
      <c r="J325" s="13" t="s">
        <v>159</v>
      </c>
      <c r="L325" s="498" t="s">
        <v>59</v>
      </c>
      <c r="M325" s="498" t="s">
        <v>478</v>
      </c>
    </row>
    <row r="326" spans="1:13" x14ac:dyDescent="0.2">
      <c r="A326" s="409">
        <v>423</v>
      </c>
      <c r="C326" s="53">
        <f t="shared" ref="C326:C332" si="90">high_burden</f>
        <v>0.2</v>
      </c>
      <c r="D326" s="57">
        <f>VLOOKUP($A326,'5 A calc'!$A$2:$AR$398,4,FALSE)</f>
        <v>5</v>
      </c>
      <c r="E326" s="33">
        <f>VLOOKUP($A326,'5 A calc'!$A$2:$AR$398,13,FALSE)</f>
        <v>-0.69352396078749601</v>
      </c>
      <c r="F326" s="53">
        <f>VLOOKUP($A326,'5 A calc'!$A$2:$AR$398,14,FALSE)</f>
        <v>1.0542649272912266</v>
      </c>
      <c r="G326" s="33">
        <f>VLOOKUP($A326,'5 A calc'!$A$2:$AR$398,26,FALSE)*I326</f>
        <v>6.4293858726055808E-2</v>
      </c>
      <c r="H326" s="53">
        <f>VLOOKUP($A326,'5 A calc'!$A$2:$AR$398,40,FALSE)*J326</f>
        <v>0.10014372279100331</v>
      </c>
      <c r="I326" s="56">
        <f>VLOOKUP($A326,'5 A calc'!$A$2:$AR$398,28,FALSE)</f>
        <v>2.2313887443229272</v>
      </c>
      <c r="J326" s="49">
        <f>VLOOKUP($A326,'5 A calc'!$A$2:$AR$398,42,FALSE)</f>
        <v>2.1715645336828246</v>
      </c>
      <c r="L326" s="4">
        <f t="shared" ref="L326:L332" si="91">DEGREES(F326/100)*60</f>
        <v>36.242958493472329</v>
      </c>
      <c r="M326" s="4">
        <f>DEGREES(H326/100)*60</f>
        <v>3.4426875963915373</v>
      </c>
    </row>
    <row r="327" spans="1:13" x14ac:dyDescent="0.2">
      <c r="A327" s="409">
        <v>424</v>
      </c>
      <c r="C327" s="53">
        <f t="shared" si="90"/>
        <v>0.2</v>
      </c>
      <c r="D327" s="57">
        <f>VLOOKUP($A327,'5 A calc'!$A$2:$AR$398,4,FALSE)</f>
        <v>10</v>
      </c>
      <c r="E327" s="33">
        <f>VLOOKUP($A327,'5 A calc'!$A$2:$AR$398,13,FALSE)</f>
        <v>-0.61557544265575581</v>
      </c>
      <c r="F327" s="53">
        <f>VLOOKUP($A327,'5 A calc'!$A$2:$AR$398,14,FALSE)</f>
        <v>0.90864678046442038</v>
      </c>
      <c r="G327" s="33">
        <f>VLOOKUP($A327,'5 A calc'!$A$2:$AR$398,26,FALSE)*I327</f>
        <v>5.6818025529920956E-2</v>
      </c>
      <c r="H327" s="53">
        <f>VLOOKUP($A327,'5 A calc'!$A$2:$AR$398,40,FALSE)*J327</f>
        <v>8.5445965503893759E-2</v>
      </c>
      <c r="I327" s="56">
        <f>VLOOKUP($A327,'5 A calc'!$A$2:$AR$398,28,FALSE)</f>
        <v>2.286138443705342</v>
      </c>
      <c r="J327" s="49">
        <f>VLOOKUP($A327,'5 A calc'!$A$2:$AR$398,42,FALSE)</f>
        <v>2.2124154234610041</v>
      </c>
      <c r="L327" s="4">
        <f t="shared" si="91"/>
        <v>31.236975353256931</v>
      </c>
      <c r="M327" s="4">
        <f t="shared" ref="M327:M332" si="92">DEGREES(H327/100)*60</f>
        <v>2.9374159198761207</v>
      </c>
    </row>
    <row r="328" spans="1:13" x14ac:dyDescent="0.2">
      <c r="A328" s="409">
        <v>425</v>
      </c>
      <c r="C328" s="53">
        <f t="shared" si="90"/>
        <v>0.2</v>
      </c>
      <c r="D328" s="57">
        <f>VLOOKUP($A328,'5 A calc'!$A$2:$AR$398,4,FALSE)</f>
        <v>20</v>
      </c>
      <c r="E328" s="33">
        <f>VLOOKUP($A328,'5 A calc'!$A$2:$AR$398,13,FALSE)</f>
        <v>-0.55761556073710872</v>
      </c>
      <c r="F328" s="53">
        <f>VLOOKUP($A328,'5 A calc'!$A$2:$AR$398,14,FALSE)</f>
        <v>0.79798052508995998</v>
      </c>
      <c r="G328" s="33">
        <f>VLOOKUP($A328,'5 A calc'!$A$2:$AR$398,26,FALSE)*I328</f>
        <v>5.2236885947747891E-2</v>
      </c>
      <c r="H328" s="53">
        <f>VLOOKUP($A328,'5 A calc'!$A$2:$AR$398,40,FALSE)*J328</f>
        <v>7.4899870530255444E-2</v>
      </c>
      <c r="I328" s="56">
        <f>VLOOKUP($A328,'5 A calc'!$A$2:$AR$398,28,FALSE)</f>
        <v>2.3080491275488177</v>
      </c>
      <c r="J328" s="49">
        <f>VLOOKUP($A328,'5 A calc'!$A$2:$AR$398,42,FALSE)</f>
        <v>2.2430393611218036</v>
      </c>
      <c r="L328" s="4">
        <f t="shared" si="91"/>
        <v>27.432549732772799</v>
      </c>
      <c r="M328" s="4">
        <f t="shared" si="92"/>
        <v>2.5748678804759573</v>
      </c>
    </row>
    <row r="329" spans="1:13" x14ac:dyDescent="0.2">
      <c r="A329" s="409">
        <v>426</v>
      </c>
      <c r="C329" s="53">
        <f t="shared" si="90"/>
        <v>0.2</v>
      </c>
      <c r="D329" s="57">
        <f>VLOOKUP($A329,'5 A calc'!$A$2:$AR$398,4,FALSE)</f>
        <v>40</v>
      </c>
      <c r="E329" s="33">
        <f>VLOOKUP($A329,'5 A calc'!$A$2:$AR$398,13,FALSE)</f>
        <v>-0.50765328613505356</v>
      </c>
      <c r="F329" s="53">
        <f>VLOOKUP($A329,'5 A calc'!$A$2:$AR$398,14,FALSE)</f>
        <v>0.71352440610440937</v>
      </c>
      <c r="G329" s="33">
        <f>VLOOKUP($A329,'5 A calc'!$A$2:$AR$398,26,FALSE)*I329</f>
        <v>4.6930560175628709E-2</v>
      </c>
      <c r="H329" s="53">
        <f>VLOOKUP($A329,'5 A calc'!$A$2:$AR$398,40,FALSE)*J329</f>
        <v>6.7593895682478214E-2</v>
      </c>
      <c r="I329" s="56">
        <f>VLOOKUP($A329,'5 A calc'!$A$2:$AR$398,28,FALSE)</f>
        <v>2.4912894168547717</v>
      </c>
      <c r="J329" s="49">
        <f>VLOOKUP($A329,'5 A calc'!$A$2:$AR$398,42,FALSE)</f>
        <v>2.2507182385100668</v>
      </c>
      <c r="L329" s="4">
        <f t="shared" si="91"/>
        <v>24.529162229616752</v>
      </c>
      <c r="M329" s="4">
        <f t="shared" si="92"/>
        <v>2.3237069660721352</v>
      </c>
    </row>
    <row r="330" spans="1:13" x14ac:dyDescent="0.2">
      <c r="A330" s="409">
        <v>427</v>
      </c>
      <c r="C330" s="53">
        <f t="shared" si="90"/>
        <v>0.2</v>
      </c>
      <c r="D330" s="51">
        <f>VLOOKUP($A330,'5 A calc'!$A$2:$AR$398,4,FALSE)</f>
        <v>60</v>
      </c>
      <c r="E330" s="33">
        <f>VLOOKUP($A330,'5 A calc'!$A$2:$AR$398,13,FALSE)</f>
        <v>-0.49866222613517808</v>
      </c>
      <c r="F330" s="53">
        <f>VLOOKUP($A330,'5 A calc'!$A$2:$AR$398,14,FALSE)</f>
        <v>0.64362850933945381</v>
      </c>
      <c r="G330" s="33">
        <f>VLOOKUP($A330,'5 A calc'!$A$2:$AR$398,26,FALSE)*I330</f>
        <v>4.6878943457760024E-2</v>
      </c>
      <c r="H330" s="53">
        <f>VLOOKUP($A330,'5 A calc'!$A$2:$AR$398,40,FALSE)*J330</f>
        <v>7.3032484141795403E-2</v>
      </c>
      <c r="I330" s="56">
        <f>VLOOKUP($A330,'5 A calc'!$A$2:$AR$398,28,FALSE)</f>
        <v>2.4430841511598871</v>
      </c>
      <c r="J330" s="49">
        <f>VLOOKUP($A330,'5 A calc'!$A$2:$AR$398,42,FALSE)</f>
        <v>2.1878780568493661</v>
      </c>
      <c r="L330" s="4">
        <f t="shared" si="91"/>
        <v>22.126318295668316</v>
      </c>
      <c r="M330" s="4">
        <f t="shared" si="92"/>
        <v>2.5106718652085949</v>
      </c>
    </row>
    <row r="331" spans="1:13" x14ac:dyDescent="0.2">
      <c r="A331" s="409">
        <v>428</v>
      </c>
      <c r="C331" s="53">
        <f t="shared" si="90"/>
        <v>0.2</v>
      </c>
      <c r="D331" s="51">
        <f>VLOOKUP($A331,'5 A calc'!$A$2:$AR$398,4,FALSE)</f>
        <v>100</v>
      </c>
      <c r="E331" s="33">
        <f>VLOOKUP($A331,'5 A calc'!$A$2:$AR$398,13,FALSE)</f>
        <v>-0.47768059193541701</v>
      </c>
      <c r="F331" s="53">
        <f>VLOOKUP($A331,'5 A calc'!$A$2:$AR$398,14,FALSE)</f>
        <v>0.52713747445072545</v>
      </c>
      <c r="G331" s="33">
        <f>VLOOKUP($A331,'5 A calc'!$A$2:$AR$398,26,FALSE)*I331</f>
        <v>4.527213069549544E-2</v>
      </c>
      <c r="H331" s="53">
        <f>VLOOKUP($A331,'5 A calc'!$A$2:$AR$398,40,FALSE)*J331</f>
        <v>4.6848107144958594E-2</v>
      </c>
      <c r="I331" s="56">
        <f>VLOOKUP($A331,'5 A calc'!$A$2:$AR$398,28,FALSE)</f>
        <v>2.4524694693103664</v>
      </c>
      <c r="J331" s="49">
        <f>VLOOKUP($A331,'5 A calc'!$A$2:$AR$398,42,FALSE)</f>
        <v>2.2278581931181982</v>
      </c>
      <c r="L331" s="4">
        <f t="shared" si="91"/>
        <v>18.121651505527097</v>
      </c>
      <c r="M331" s="4">
        <f t="shared" si="92"/>
        <v>1.6105192905496823</v>
      </c>
    </row>
    <row r="332" spans="1:13" x14ac:dyDescent="0.2">
      <c r="A332" s="409">
        <v>429</v>
      </c>
      <c r="C332" s="53">
        <f t="shared" si="90"/>
        <v>0.2</v>
      </c>
      <c r="D332" s="51">
        <f>VLOOKUP($A332,'5 A calc'!$A$2:$AR$398,4,FALSE)</f>
        <v>120</v>
      </c>
      <c r="E332" s="33">
        <f>VLOOKUP($A332,'5 A calc'!$A$2:$AR$398,13,FALSE)</f>
        <v>-0.46169238644214461</v>
      </c>
      <c r="F332" s="53">
        <f>VLOOKUP($A332,'5 A calc'!$A$2:$AR$398,14,FALSE)</f>
        <v>0.483452887687983</v>
      </c>
      <c r="G332" s="33">
        <f>VLOOKUP($A332,'5 A calc'!$A$2:$AR$398,26,FALSE)*I332</f>
        <v>4.3517875189631093E-2</v>
      </c>
      <c r="H332" s="53">
        <f>VLOOKUP($A332,'5 A calc'!$A$2:$AR$398,40,FALSE)*J332</f>
        <v>3.9993472938487692E-2</v>
      </c>
      <c r="I332" s="56">
        <f>VLOOKUP($A332,'5 A calc'!$A$2:$AR$398,28,FALSE)</f>
        <v>2.5009267560257977</v>
      </c>
      <c r="J332" s="49">
        <f>VLOOKUP($A332,'5 A calc'!$A$2:$AR$398,42,FALSE)</f>
        <v>2.332604978505266</v>
      </c>
      <c r="L332" s="4">
        <f t="shared" si="91"/>
        <v>16.619886034760178</v>
      </c>
      <c r="M332" s="4">
        <f t="shared" si="92"/>
        <v>1.3748743244676094</v>
      </c>
    </row>
    <row r="333" spans="1:13" x14ac:dyDescent="0.2">
      <c r="C333" s="119"/>
      <c r="D333" s="113"/>
      <c r="E333" s="119"/>
      <c r="F333" s="115"/>
      <c r="G333" s="114"/>
      <c r="H333" s="115"/>
      <c r="I333" s="116"/>
      <c r="J333" s="117"/>
      <c r="L333" s="27"/>
      <c r="M333" s="27"/>
    </row>
    <row r="334" spans="1:13" x14ac:dyDescent="0.2">
      <c r="A334" s="409">
        <v>431</v>
      </c>
      <c r="C334" s="53">
        <f t="shared" ref="C334:C340" si="93">low__burden</f>
        <v>0</v>
      </c>
      <c r="D334" s="51">
        <f>VLOOKUP($A334,'5 A calc'!$A$2:$AR$398,4,FALSE)</f>
        <v>5</v>
      </c>
      <c r="E334" s="33">
        <f>VLOOKUP($A334,'5 A calc'!$A$2:$AR$398,13,FALSE)</f>
        <v>-0.22482079134690611</v>
      </c>
      <c r="F334" s="53">
        <f>VLOOKUP($A334,'5 A calc'!$A$2:$AR$398,14,FALSE)</f>
        <v>0.39608036333819824</v>
      </c>
      <c r="G334" s="33">
        <f>VLOOKUP($A334,'5 A calc'!$A$2:$AR$398,26,FALSE)*I334</f>
        <v>5.9951902966203577E-2</v>
      </c>
      <c r="H334" s="53">
        <f>VLOOKUP($A334,'5 A calc'!$A$2:$AR$398,40,FALSE)*J334</f>
        <v>8.8937422956522308E-2</v>
      </c>
      <c r="I334" s="56">
        <f>VLOOKUP($A334,'5 A calc'!$A$2:$AR$398,28,FALSE)</f>
        <v>2.3620663246954865</v>
      </c>
      <c r="J334" s="49">
        <f>VLOOKUP($A334,'5 A calc'!$A$2:$AR$398,42,FALSE)</f>
        <v>2.2243256642369307</v>
      </c>
      <c r="L334" s="28">
        <f t="shared" ref="L334:L340" si="94">DEGREES(F334/100)*60</f>
        <v>13.616239900372163</v>
      </c>
      <c r="M334" s="28">
        <f t="shared" ref="M334:M340" si="95">DEGREES(H334/100)*60</f>
        <v>3.057443385707189</v>
      </c>
    </row>
    <row r="335" spans="1:13" x14ac:dyDescent="0.2">
      <c r="A335" s="409">
        <v>432</v>
      </c>
      <c r="C335" s="53">
        <f t="shared" si="93"/>
        <v>0</v>
      </c>
      <c r="D335" s="51">
        <f>VLOOKUP($A335,'5 A calc'!$A$2:$AR$398,4,FALSE)</f>
        <v>10</v>
      </c>
      <c r="E335" s="33">
        <f>VLOOKUP($A335,'5 A calc'!$A$2:$AR$398,13,FALSE)</f>
        <v>-0.18384885587892241</v>
      </c>
      <c r="F335" s="53">
        <f>VLOOKUP($A335,'5 A calc'!$A$2:$AR$398,14,FALSE)</f>
        <v>0.29997167486184112</v>
      </c>
      <c r="G335" s="33">
        <f>VLOOKUP($A335,'5 A calc'!$A$2:$AR$398,26,FALSE)*I335</f>
        <v>5.4822879851628543E-2</v>
      </c>
      <c r="H335" s="53">
        <f>VLOOKUP($A335,'5 A calc'!$A$2:$AR$398,40,FALSE)*J335</f>
        <v>7.7870467855507067E-2</v>
      </c>
      <c r="I335" s="56">
        <f>VLOOKUP($A335,'5 A calc'!$A$2:$AR$398,28,FALSE)</f>
        <v>2.4425842869492347</v>
      </c>
      <c r="J335" s="49">
        <f>VLOOKUP($A335,'5 A calc'!$A$2:$AR$398,42,FALSE)</f>
        <v>2.3569066932939258</v>
      </c>
      <c r="L335" s="28">
        <f t="shared" si="94"/>
        <v>10.312266565832442</v>
      </c>
      <c r="M335" s="28">
        <f t="shared" si="95"/>
        <v>2.6769894940978185</v>
      </c>
    </row>
    <row r="336" spans="1:13" x14ac:dyDescent="0.2">
      <c r="A336" s="409">
        <v>433</v>
      </c>
      <c r="C336" s="53">
        <f t="shared" si="93"/>
        <v>0</v>
      </c>
      <c r="D336" s="51">
        <f>VLOOKUP($A336,'5 A calc'!$A$2:$AR$398,4,FALSE)</f>
        <v>20</v>
      </c>
      <c r="E336" s="33">
        <f>VLOOKUP($A336,'5 A calc'!$A$2:$AR$398,13,FALSE)</f>
        <v>-0.15686935402990917</v>
      </c>
      <c r="F336" s="53">
        <f>VLOOKUP($A336,'5 A calc'!$A$2:$AR$398,14,FALSE)</f>
        <v>0.24172719891726796</v>
      </c>
      <c r="G336" s="33">
        <f>VLOOKUP($A336,'5 A calc'!$A$2:$AR$398,26,FALSE)*I336</f>
        <v>5.0866257937263695E-2</v>
      </c>
      <c r="H336" s="53">
        <f>VLOOKUP($A336,'5 A calc'!$A$2:$AR$398,40,FALSE)*J336</f>
        <v>7.0531799889790164E-2</v>
      </c>
      <c r="I336" s="56">
        <f>VLOOKUP($A336,'5 A calc'!$A$2:$AR$398,28,FALSE)</f>
        <v>2.4847231640249881</v>
      </c>
      <c r="J336" s="49">
        <f>VLOOKUP($A336,'5 A calc'!$A$2:$AR$398,42,FALSE)</f>
        <v>2.4345625659372745</v>
      </c>
      <c r="L336" s="28">
        <f t="shared" si="94"/>
        <v>8.3099689748872656</v>
      </c>
      <c r="M336" s="28">
        <f t="shared" si="95"/>
        <v>2.4247046730877573</v>
      </c>
    </row>
    <row r="337" spans="1:18" x14ac:dyDescent="0.2">
      <c r="A337" s="409">
        <v>434</v>
      </c>
      <c r="C337" s="53">
        <f t="shared" si="93"/>
        <v>0</v>
      </c>
      <c r="D337" s="51">
        <f>VLOOKUP($A337,'5 A calc'!$A$2:$AR$398,4,FALSE)</f>
        <v>40</v>
      </c>
      <c r="E337" s="33">
        <f>VLOOKUP($A337,'5 A calc'!$A$2:$AR$398,13,FALSE)</f>
        <v>-0.13788745949748793</v>
      </c>
      <c r="F337" s="53">
        <f>VLOOKUP($A337,'5 A calc'!$A$2:$AR$398,14,FALSE)</f>
        <v>0.20532437774244733</v>
      </c>
      <c r="G337" s="33">
        <f>VLOOKUP($A337,'5 A calc'!$A$2:$AR$398,26,FALSE)*I337</f>
        <v>4.6974262233689029E-2</v>
      </c>
      <c r="H337" s="53">
        <f>VLOOKUP($A337,'5 A calc'!$A$2:$AR$398,40,FALSE)*J337</f>
        <v>6.4368911799128903E-2</v>
      </c>
      <c r="I337" s="56">
        <f>VLOOKUP($A337,'5 A calc'!$A$2:$AR$398,28,FALSE)</f>
        <v>2.5191913800493251</v>
      </c>
      <c r="J337" s="49">
        <f>VLOOKUP($A337,'5 A calc'!$A$2:$AR$398,42,FALSE)</f>
        <v>2.4805188395207565</v>
      </c>
      <c r="L337" s="28">
        <f t="shared" si="94"/>
        <v>7.0585321654752544</v>
      </c>
      <c r="M337" s="28">
        <f t="shared" si="95"/>
        <v>2.2128401867639598</v>
      </c>
    </row>
    <row r="338" spans="1:18" x14ac:dyDescent="0.2">
      <c r="A338" s="409">
        <v>435</v>
      </c>
      <c r="C338" s="53">
        <f t="shared" si="93"/>
        <v>0</v>
      </c>
      <c r="D338" s="51">
        <f>VLOOKUP($A338,'5 A calc'!$A$2:$AR$398,4,FALSE)</f>
        <v>60</v>
      </c>
      <c r="E338" s="33">
        <f>VLOOKUP($A338,'5 A calc'!$A$2:$AR$398,13,FALSE)</f>
        <v>-0.12939608304712269</v>
      </c>
      <c r="F338" s="53">
        <f>VLOOKUP($A338,'5 A calc'!$A$2:$AR$398,14,FALSE)</f>
        <v>0.19076258148681702</v>
      </c>
      <c r="G338" s="33">
        <f>VLOOKUP($A338,'5 A calc'!$A$2:$AR$398,26,FALSE)*I338</f>
        <v>4.6910974416745695E-2</v>
      </c>
      <c r="H338" s="53">
        <f>VLOOKUP($A338,'5 A calc'!$A$2:$AR$398,40,FALSE)*J338</f>
        <v>5.7353196838894165E-2</v>
      </c>
      <c r="I338" s="56">
        <f>VLOOKUP($A338,'5 A calc'!$A$2:$AR$398,28,FALSE)</f>
        <v>2.5192801919744769</v>
      </c>
      <c r="J338" s="49">
        <f>VLOOKUP($A338,'5 A calc'!$A$2:$AR$398,42,FALSE)</f>
        <v>2.4665890742847099</v>
      </c>
      <c r="L338" s="28">
        <f t="shared" si="94"/>
        <v>6.5579344849290404</v>
      </c>
      <c r="M338" s="28">
        <f t="shared" si="95"/>
        <v>1.9716576722710142</v>
      </c>
    </row>
    <row r="339" spans="1:18" x14ac:dyDescent="0.2">
      <c r="A339" s="409">
        <v>436</v>
      </c>
      <c r="C339" s="53">
        <f t="shared" si="93"/>
        <v>0</v>
      </c>
      <c r="D339" s="51">
        <f>VLOOKUP($A339,'5 A calc'!$A$2:$AR$398,4,FALSE)</f>
        <v>100</v>
      </c>
      <c r="E339" s="33">
        <f>VLOOKUP($A339,'5 A calc'!$A$2:$AR$398,13,FALSE)</f>
        <v>-0.12090653758511721</v>
      </c>
      <c r="F339" s="53">
        <f>VLOOKUP($A339,'5 A calc'!$A$2:$AR$398,14,FALSE)</f>
        <v>0.17620278437842499</v>
      </c>
      <c r="G339" s="33">
        <f>VLOOKUP($A339,'5 A calc'!$A$2:$AR$398,26,FALSE)*I339</f>
        <v>4.5318640434727282E-2</v>
      </c>
      <c r="H339" s="53">
        <f>VLOOKUP($A339,'5 A calc'!$A$2:$AR$398,40,FALSE)*J339</f>
        <v>4.4447955778372066E-2</v>
      </c>
      <c r="I339" s="56">
        <f>VLOOKUP($A339,'5 A calc'!$A$2:$AR$398,28,FALSE)</f>
        <v>2.5166674869149843</v>
      </c>
      <c r="J339" s="49">
        <f>VLOOKUP($A339,'5 A calc'!$A$2:$AR$398,42,FALSE)</f>
        <v>2.4522928540708491</v>
      </c>
      <c r="L339" s="28">
        <f t="shared" si="94"/>
        <v>6.0574055300024554</v>
      </c>
      <c r="M339" s="28">
        <f t="shared" si="95"/>
        <v>1.5280081644509036</v>
      </c>
    </row>
    <row r="340" spans="1:18" x14ac:dyDescent="0.2">
      <c r="A340" s="409">
        <v>437</v>
      </c>
      <c r="C340" s="53">
        <f t="shared" si="93"/>
        <v>0</v>
      </c>
      <c r="D340" s="51">
        <f>VLOOKUP($A340,'5 A calc'!$A$2:$AR$398,4,FALSE)</f>
        <v>120</v>
      </c>
      <c r="E340" s="33">
        <f>VLOOKUP($A340,'5 A calc'!$A$2:$AR$398,13,FALSE)</f>
        <v>-0.11890947147813105</v>
      </c>
      <c r="F340" s="53">
        <f>VLOOKUP($A340,'5 A calc'!$A$2:$AR$398,14,FALSE)</f>
        <v>0.17183453218809797</v>
      </c>
      <c r="G340" s="33">
        <f>VLOOKUP($A340,'5 A calc'!$A$2:$AR$398,26,FALSE)*I340</f>
        <v>4.3567921812953103E-2</v>
      </c>
      <c r="H340" s="53">
        <f>VLOOKUP($A340,'5 A calc'!$A$2:$AR$398,40,FALSE)*J340</f>
        <v>3.9471413508775893E-2</v>
      </c>
      <c r="I340" s="56">
        <f>VLOOKUP($A340,'5 A calc'!$A$2:$AR$398,28,FALSE)</f>
        <v>2.5297763834274107</v>
      </c>
      <c r="J340" s="49">
        <f>VLOOKUP($A340,'5 A calc'!$A$2:$AR$398,42,FALSE)</f>
        <v>2.4649667671133018</v>
      </c>
      <c r="L340" s="28">
        <f t="shared" si="94"/>
        <v>5.9072360813897449</v>
      </c>
      <c r="M340" s="28">
        <f t="shared" si="95"/>
        <v>1.3569272432811135</v>
      </c>
    </row>
    <row r="341" spans="1:18" x14ac:dyDescent="0.2">
      <c r="C341" s="39"/>
      <c r="D341" s="52"/>
      <c r="E341" s="38"/>
      <c r="F341" s="52"/>
      <c r="G341" s="38"/>
      <c r="H341" s="52"/>
      <c r="I341" s="52"/>
      <c r="J341" s="40"/>
      <c r="L341" s="4"/>
      <c r="M341" s="4"/>
    </row>
    <row r="343" spans="1:18" x14ac:dyDescent="0.2">
      <c r="A343" s="409">
        <v>439</v>
      </c>
      <c r="C343" s="60" t="str">
        <f>"Table "&amp;L343&amp;". Ratio "&amp;LEFT(M343,FIND("/",M343)-1)&amp;":5."&amp;"  Secondary: "&amp;K343</f>
        <v>Table . Ratio 200:5.  Secondary: S1 - S2</v>
      </c>
      <c r="D343" s="18"/>
      <c r="E343" s="18"/>
      <c r="F343" s="18"/>
      <c r="G343" s="18"/>
      <c r="H343" s="10"/>
      <c r="I343" s="10"/>
      <c r="J343" s="11"/>
      <c r="K343" s="95" t="str">
        <f>VLOOKUP($A343+1,'5 A data'!$A$2:$AP$526,2,FALSE)</f>
        <v>S1 - S2</v>
      </c>
      <c r="L343" s="97"/>
      <c r="M343" s="538" t="str">
        <f>VLOOKUP($A343,'5 A calc'!$A$2:$AR$398,4,FALSE)</f>
        <v>200/5 Range, 1 turns @ 1VA burden, vs 120 AT, 200 range, 2 Stage CT</v>
      </c>
      <c r="N343" s="409"/>
      <c r="O343" s="409"/>
      <c r="P343" s="409"/>
      <c r="Q343" s="409"/>
      <c r="R343" s="409"/>
    </row>
    <row r="344" spans="1:18" x14ac:dyDescent="0.2">
      <c r="A344" s="409"/>
      <c r="C344" s="12"/>
      <c r="D344" s="13"/>
      <c r="E344" s="643" t="s">
        <v>19</v>
      </c>
      <c r="F344" s="644"/>
      <c r="G344" s="643" t="s">
        <v>20</v>
      </c>
      <c r="H344" s="644"/>
      <c r="I344" s="645" t="s">
        <v>8</v>
      </c>
      <c r="J344" s="646"/>
      <c r="L344" s="67"/>
    </row>
    <row r="345" spans="1:18" ht="51" x14ac:dyDescent="0.2">
      <c r="A345" s="409"/>
      <c r="C345" s="12" t="s">
        <v>169</v>
      </c>
      <c r="D345" s="54" t="s">
        <v>241</v>
      </c>
      <c r="E345" s="54" t="s">
        <v>294</v>
      </c>
      <c r="F345" s="13" t="s">
        <v>239</v>
      </c>
      <c r="G345" s="54" t="s">
        <v>294</v>
      </c>
      <c r="H345" s="13" t="s">
        <v>239</v>
      </c>
      <c r="I345" s="54" t="s">
        <v>158</v>
      </c>
      <c r="J345" s="13" t="s">
        <v>159</v>
      </c>
      <c r="L345" s="498" t="s">
        <v>59</v>
      </c>
      <c r="M345" s="498" t="s">
        <v>478</v>
      </c>
    </row>
    <row r="346" spans="1:18" x14ac:dyDescent="0.2">
      <c r="A346" s="409">
        <v>441</v>
      </c>
      <c r="C346" s="53">
        <f t="shared" ref="C346:C352" si="96">high_burden</f>
        <v>0.2</v>
      </c>
      <c r="D346" s="57">
        <f>VLOOKUP($A346,'5 A calc'!$A$2:$AR$398,4,FALSE)</f>
        <v>5</v>
      </c>
      <c r="E346" s="33">
        <f>VLOOKUP($A346,'5 A calc'!$A$2:$AR$398,13,FALSE)</f>
        <v>-0.32875496964503265</v>
      </c>
      <c r="F346" s="53">
        <f>VLOOKUP($A346,'5 A calc'!$A$2:$AR$398,14,FALSE)</f>
        <v>0.54460873838954516</v>
      </c>
      <c r="G346" s="33">
        <f>VLOOKUP($A346,'5 A calc'!$A$2:$AR$398,26,FALSE)*I346</f>
        <v>2.778910340075387E-2</v>
      </c>
      <c r="H346" s="53">
        <f>VLOOKUP($A346,'5 A calc'!$A$2:$AR$398,40,FALSE)*J346</f>
        <v>5.7418958947602787E-2</v>
      </c>
      <c r="I346" s="56">
        <f>VLOOKUP($A346,'5 A calc'!$A$2:$AR$398,28,FALSE)</f>
        <v>2.1961669274384197</v>
      </c>
      <c r="J346" s="49">
        <f>VLOOKUP($A346,'5 A calc'!$A$2:$AR$398,42,FALSE)</f>
        <v>2.2175595676067488</v>
      </c>
      <c r="L346" s="4">
        <f t="shared" ref="L346:L352" si="97">DEGREES(F346/100)*60</f>
        <v>18.722269317399189</v>
      </c>
      <c r="M346" s="4">
        <f>DEGREES(H346/100)*60</f>
        <v>1.9739184070395448</v>
      </c>
    </row>
    <row r="347" spans="1:18" x14ac:dyDescent="0.2">
      <c r="A347" s="409">
        <v>442</v>
      </c>
      <c r="C347" s="53">
        <f t="shared" si="96"/>
        <v>0.2</v>
      </c>
      <c r="D347" s="57">
        <f>VLOOKUP($A347,'5 A calc'!$A$2:$AR$398,4,FALSE)</f>
        <v>10</v>
      </c>
      <c r="E347" s="33">
        <f>VLOOKUP($A347,'5 A calc'!$A$2:$AR$398,13,FALSE)</f>
        <v>-0.27778936318684455</v>
      </c>
      <c r="F347" s="53">
        <f>VLOOKUP($A347,'5 A calc'!$A$2:$AR$398,14,FALSE)</f>
        <v>0.43685076559543545</v>
      </c>
      <c r="G347" s="33">
        <f>VLOOKUP($A347,'5 A calc'!$A$2:$AR$398,26,FALSE)*I347</f>
        <v>2.0811428175729757E-2</v>
      </c>
      <c r="H347" s="53">
        <f>VLOOKUP($A347,'5 A calc'!$A$2:$AR$398,40,FALSE)*J347</f>
        <v>3.845159963345883E-2</v>
      </c>
      <c r="I347" s="56">
        <f>VLOOKUP($A347,'5 A calc'!$A$2:$AR$398,28,FALSE)</f>
        <v>2.2111662435177428</v>
      </c>
      <c r="J347" s="49">
        <f>VLOOKUP($A347,'5 A calc'!$A$2:$AR$398,42,FALSE)</f>
        <v>2.2456992128209001</v>
      </c>
      <c r="L347" s="4">
        <f t="shared" si="97"/>
        <v>15.017823087406367</v>
      </c>
      <c r="M347" s="4">
        <f t="shared" ref="M347:M352" si="98">DEGREES(H347/100)*60</f>
        <v>1.3218686247143845</v>
      </c>
    </row>
    <row r="348" spans="1:18" x14ac:dyDescent="0.2">
      <c r="A348" s="409">
        <v>443</v>
      </c>
      <c r="C348" s="53">
        <f t="shared" si="96"/>
        <v>0.2</v>
      </c>
      <c r="D348" s="57">
        <f>VLOOKUP($A348,'5 A calc'!$A$2:$AR$398,4,FALSE)</f>
        <v>20</v>
      </c>
      <c r="E348" s="33">
        <f>VLOOKUP($A348,'5 A calc'!$A$2:$AR$398,13,FALSE)</f>
        <v>-0.23981682324860631</v>
      </c>
      <c r="F348" s="53">
        <f>VLOOKUP($A348,'5 A calc'!$A$2:$AR$398,14,FALSE)</f>
        <v>0.36404468425367137</v>
      </c>
      <c r="G348" s="33">
        <f>VLOOKUP($A348,'5 A calc'!$A$2:$AR$398,26,FALSE)*I348</f>
        <v>1.3647471693062877E-2</v>
      </c>
      <c r="H348" s="53">
        <f>VLOOKUP($A348,'5 A calc'!$A$2:$AR$398,40,FALSE)*J348</f>
        <v>2.6020377323720638E-2</v>
      </c>
      <c r="I348" s="56">
        <f>VLOOKUP($A348,'5 A calc'!$A$2:$AR$398,28,FALSE)</f>
        <v>2.1758650023181239</v>
      </c>
      <c r="J348" s="49">
        <f>VLOOKUP($A348,'5 A calc'!$A$2:$AR$398,42,FALSE)</f>
        <v>2.1925475534319259</v>
      </c>
      <c r="L348" s="4">
        <f t="shared" si="97"/>
        <v>12.514934377144817</v>
      </c>
      <c r="M348" s="4">
        <f t="shared" si="98"/>
        <v>0.89451468119226285</v>
      </c>
    </row>
    <row r="349" spans="1:18" x14ac:dyDescent="0.2">
      <c r="A349" s="409">
        <v>444</v>
      </c>
      <c r="C349" s="53">
        <f t="shared" si="96"/>
        <v>0.2</v>
      </c>
      <c r="D349" s="57">
        <f>VLOOKUP($A349,'5 A calc'!$A$2:$AR$398,4,FALSE)</f>
        <v>40</v>
      </c>
      <c r="E349" s="33">
        <f>VLOOKUP($A349,'5 A calc'!$A$2:$AR$398,13,FALSE)</f>
        <v>-0.21783682741912375</v>
      </c>
      <c r="F349" s="53">
        <f>VLOOKUP($A349,'5 A calc'!$A$2:$AR$398,14,FALSE)</f>
        <v>0.31744873930081718</v>
      </c>
      <c r="G349" s="33">
        <f>VLOOKUP($A349,'5 A calc'!$A$2:$AR$398,26,FALSE)*I349</f>
        <v>1.0962753504210058E-2</v>
      </c>
      <c r="H349" s="53">
        <f>VLOOKUP($A349,'5 A calc'!$A$2:$AR$398,40,FALSE)*J349</f>
        <v>1.8143738982271299E-2</v>
      </c>
      <c r="I349" s="56">
        <f>VLOOKUP($A349,'5 A calc'!$A$2:$AR$398,28,FALSE)</f>
        <v>2.2027268638332083</v>
      </c>
      <c r="J349" s="49">
        <f>VLOOKUP($A349,'5 A calc'!$A$2:$AR$398,42,FALSE)</f>
        <v>2.0977867724544375</v>
      </c>
      <c r="L349" s="4">
        <f t="shared" si="97"/>
        <v>10.913083784211343</v>
      </c>
      <c r="M349" s="4">
        <f t="shared" si="98"/>
        <v>0.62373580096267978</v>
      </c>
    </row>
    <row r="350" spans="1:18" x14ac:dyDescent="0.2">
      <c r="A350" s="409">
        <v>445</v>
      </c>
      <c r="C350" s="53">
        <f t="shared" si="96"/>
        <v>0.2</v>
      </c>
      <c r="D350" s="51">
        <f>VLOOKUP($A350,'5 A calc'!$A$2:$AR$398,4,FALSE)</f>
        <v>60</v>
      </c>
      <c r="E350" s="33">
        <f>VLOOKUP($A350,'5 A calc'!$A$2:$AR$398,13,FALSE)</f>
        <v>-0.20584766612218691</v>
      </c>
      <c r="F350" s="53">
        <f>VLOOKUP($A350,'5 A calc'!$A$2:$AR$398,14,FALSE)</f>
        <v>0.29414997980687235</v>
      </c>
      <c r="G350" s="33">
        <f>VLOOKUP($A350,'5 A calc'!$A$2:$AR$398,26,FALSE)*I350</f>
        <v>1.0725040439682103E-2</v>
      </c>
      <c r="H350" s="53">
        <f>VLOOKUP($A350,'5 A calc'!$A$2:$AR$398,40,FALSE)*J350</f>
        <v>1.7469700069141576E-2</v>
      </c>
      <c r="I350" s="56">
        <f>VLOOKUP($A350,'5 A calc'!$A$2:$AR$398,28,FALSE)</f>
        <v>2.1834143016650112</v>
      </c>
      <c r="J350" s="49">
        <f>VLOOKUP($A350,'5 A calc'!$A$2:$AR$398,42,FALSE)</f>
        <v>2.0900434260721883</v>
      </c>
      <c r="L350" s="4">
        <f t="shared" si="97"/>
        <v>10.112131432075307</v>
      </c>
      <c r="M350" s="4">
        <f t="shared" si="98"/>
        <v>0.60056404999272883</v>
      </c>
    </row>
    <row r="351" spans="1:18" x14ac:dyDescent="0.2">
      <c r="A351" s="409">
        <v>446</v>
      </c>
      <c r="C351" s="53">
        <f t="shared" si="96"/>
        <v>0.2</v>
      </c>
      <c r="D351" s="51">
        <f>VLOOKUP($A351,'5 A calc'!$A$2:$AR$398,4,FALSE)</f>
        <v>100</v>
      </c>
      <c r="E351" s="33">
        <f>VLOOKUP($A351,'5 A calc'!$A$2:$AR$398,13,FALSE)</f>
        <v>-0.19286096871458946</v>
      </c>
      <c r="F351" s="53">
        <f>VLOOKUP($A351,'5 A calc'!$A$2:$AR$398,14,FALSE)</f>
        <v>0.27085321946016577</v>
      </c>
      <c r="G351" s="33">
        <f>VLOOKUP($A351,'5 A calc'!$A$2:$AR$398,26,FALSE)*I351</f>
        <v>9.6536049474644173E-3</v>
      </c>
      <c r="H351" s="53">
        <f>VLOOKUP($A351,'5 A calc'!$A$2:$AR$398,40,FALSE)*J351</f>
        <v>1.4478155306061178E-2</v>
      </c>
      <c r="I351" s="56">
        <f>VLOOKUP($A351,'5 A calc'!$A$2:$AR$398,28,FALSE)</f>
        <v>2.2051141852415328</v>
      </c>
      <c r="J351" s="49">
        <f>VLOOKUP($A351,'5 A calc'!$A$2:$AR$398,42,FALSE)</f>
        <v>2.1028864345301526</v>
      </c>
      <c r="L351" s="4">
        <f t="shared" si="97"/>
        <v>9.3112478055588923</v>
      </c>
      <c r="M351" s="4">
        <f t="shared" si="98"/>
        <v>0.49772231650334653</v>
      </c>
    </row>
    <row r="352" spans="1:18" x14ac:dyDescent="0.2">
      <c r="A352" s="409">
        <v>447</v>
      </c>
      <c r="C352" s="53">
        <f t="shared" si="96"/>
        <v>0.2</v>
      </c>
      <c r="D352" s="51">
        <f>VLOOKUP($A352,'5 A calc'!$A$2:$AR$398,4,FALSE)</f>
        <v>120</v>
      </c>
      <c r="E352" s="33">
        <f>VLOOKUP($A352,'5 A calc'!$A$2:$AR$398,13,FALSE)</f>
        <v>-0.18986453550858284</v>
      </c>
      <c r="F352" s="53">
        <f>VLOOKUP($A352,'5 A calc'!$A$2:$AR$398,14,FALSE)</f>
        <v>0.26211648565068141</v>
      </c>
      <c r="G352" s="33">
        <f>VLOOKUP($A352,'5 A calc'!$A$2:$AR$398,26,FALSE)*I352</f>
        <v>9.1157528184020384E-3</v>
      </c>
      <c r="H352" s="53">
        <f>VLOOKUP($A352,'5 A calc'!$A$2:$AR$398,40,FALSE)*J352</f>
        <v>1.3112608473889032E-2</v>
      </c>
      <c r="I352" s="56">
        <f>VLOOKUP($A352,'5 A calc'!$A$2:$AR$398,28,FALSE)</f>
        <v>2.3206873216061488</v>
      </c>
      <c r="J352" s="49">
        <f>VLOOKUP($A352,'5 A calc'!$A$2:$AR$398,42,FALSE)</f>
        <v>2.1687880162283149</v>
      </c>
      <c r="L352" s="4">
        <f t="shared" si="97"/>
        <v>9.0109010211512679</v>
      </c>
      <c r="M352" s="4">
        <f t="shared" si="98"/>
        <v>0.45077827437679252</v>
      </c>
    </row>
    <row r="353" spans="1:18" x14ac:dyDescent="0.2">
      <c r="C353" s="119"/>
      <c r="D353" s="113"/>
      <c r="E353" s="119"/>
      <c r="F353" s="115"/>
      <c r="G353" s="114"/>
      <c r="H353" s="115"/>
      <c r="I353" s="116"/>
      <c r="J353" s="117"/>
      <c r="L353" s="27"/>
      <c r="M353" s="27"/>
    </row>
    <row r="354" spans="1:18" x14ac:dyDescent="0.2">
      <c r="A354" s="409">
        <v>449</v>
      </c>
      <c r="C354" s="53">
        <f t="shared" ref="C354:C360" si="99">low__burden</f>
        <v>0</v>
      </c>
      <c r="D354" s="51">
        <f>VLOOKUP($A354,'5 A calc'!$A$2:$AR$398,4,FALSE)</f>
        <v>5</v>
      </c>
      <c r="E354" s="33">
        <f>VLOOKUP($A354,'5 A calc'!$A$2:$AR$398,13,FALSE)</f>
        <v>-0.22282205714886522</v>
      </c>
      <c r="F354" s="53">
        <f>VLOOKUP($A354,'5 A calc'!$A$2:$AR$398,14,FALSE)</f>
        <v>0.39608036333819824</v>
      </c>
      <c r="G354" s="33">
        <f>VLOOKUP($A354,'5 A calc'!$A$2:$AR$398,26,FALSE)*I354</f>
        <v>2.3003839850710681E-2</v>
      </c>
      <c r="H354" s="53">
        <f>VLOOKUP($A354,'5 A calc'!$A$2:$AR$398,40,FALSE)*J354</f>
        <v>5.296108394650776E-2</v>
      </c>
      <c r="I354" s="56">
        <f>VLOOKUP($A354,'5 A calc'!$A$2:$AR$398,28,FALSE)</f>
        <v>2.1360855421610827</v>
      </c>
      <c r="J354" s="49">
        <f>VLOOKUP($A354,'5 A calc'!$A$2:$AR$398,42,FALSE)</f>
        <v>2.1905437594253421</v>
      </c>
      <c r="L354" s="28">
        <f t="shared" ref="L354:L360" si="100">DEGREES(F354/100)*60</f>
        <v>13.616239900372163</v>
      </c>
      <c r="M354" s="28">
        <f t="shared" ref="M354:M360" si="101">DEGREES(H354/100)*60</f>
        <v>1.8206679531437713</v>
      </c>
    </row>
    <row r="355" spans="1:18" x14ac:dyDescent="0.2">
      <c r="A355" s="409">
        <v>450</v>
      </c>
      <c r="C355" s="53">
        <f t="shared" si="99"/>
        <v>0</v>
      </c>
      <c r="D355" s="51">
        <f>VLOOKUP($A355,'5 A calc'!$A$2:$AR$398,4,FALSE)</f>
        <v>10</v>
      </c>
      <c r="E355" s="33">
        <f>VLOOKUP($A355,'5 A calc'!$A$2:$AR$398,13,FALSE)</f>
        <v>-0.18384885587892241</v>
      </c>
      <c r="F355" s="53">
        <f>VLOOKUP($A355,'5 A calc'!$A$2:$AR$398,14,FALSE)</f>
        <v>0.29851551432212203</v>
      </c>
      <c r="G355" s="33">
        <f>VLOOKUP($A355,'5 A calc'!$A$2:$AR$398,26,FALSE)*I355</f>
        <v>1.6254729835787622E-2</v>
      </c>
      <c r="H355" s="53">
        <f>VLOOKUP($A355,'5 A calc'!$A$2:$AR$398,40,FALSE)*J355</f>
        <v>3.2113772846923128E-2</v>
      </c>
      <c r="I355" s="56">
        <f>VLOOKUP($A355,'5 A calc'!$A$2:$AR$398,28,FALSE)</f>
        <v>2.1497686616952687</v>
      </c>
      <c r="J355" s="49">
        <f>VLOOKUP($A355,'5 A calc'!$A$2:$AR$398,42,FALSE)</f>
        <v>2.1887185923476631</v>
      </c>
      <c r="L355" s="28">
        <f t="shared" si="100"/>
        <v>10.262207453900803</v>
      </c>
      <c r="M355" s="28">
        <f t="shared" si="101"/>
        <v>1.1039901890223105</v>
      </c>
    </row>
    <row r="356" spans="1:18" x14ac:dyDescent="0.2">
      <c r="A356" s="409">
        <v>451</v>
      </c>
      <c r="C356" s="53">
        <f t="shared" si="99"/>
        <v>0</v>
      </c>
      <c r="D356" s="51">
        <f>VLOOKUP($A356,'5 A calc'!$A$2:$AR$398,4,FALSE)</f>
        <v>20</v>
      </c>
      <c r="E356" s="33">
        <f>VLOOKUP($A356,'5 A calc'!$A$2:$AR$398,13,FALSE)</f>
        <v>-0.15786872112892961</v>
      </c>
      <c r="F356" s="53">
        <f>VLOOKUP($A356,'5 A calc'!$A$2:$AR$398,14,FALSE)</f>
        <v>0.24027103837754887</v>
      </c>
      <c r="G356" s="33">
        <f>VLOOKUP($A356,'5 A calc'!$A$2:$AR$398,26,FALSE)*I356</f>
        <v>1.2967793351188557E-2</v>
      </c>
      <c r="H356" s="53">
        <f>VLOOKUP($A356,'5 A calc'!$A$2:$AR$398,40,FALSE)*J356</f>
        <v>2.1680024448680304E-2</v>
      </c>
      <c r="I356" s="56">
        <f>VLOOKUP($A356,'5 A calc'!$A$2:$AR$398,28,FALSE)</f>
        <v>2.177726217788639</v>
      </c>
      <c r="J356" s="49">
        <f>VLOOKUP($A356,'5 A calc'!$A$2:$AR$398,42,FALSE)</f>
        <v>2.150297589329019</v>
      </c>
      <c r="L356" s="28">
        <f t="shared" si="100"/>
        <v>8.2599098629556273</v>
      </c>
      <c r="M356" s="28">
        <f t="shared" si="101"/>
        <v>0.74530434038989257</v>
      </c>
    </row>
    <row r="357" spans="1:18" x14ac:dyDescent="0.2">
      <c r="A357" s="409">
        <v>452</v>
      </c>
      <c r="C357" s="53">
        <f t="shared" si="99"/>
        <v>0</v>
      </c>
      <c r="D357" s="51">
        <f>VLOOKUP($A357,'5 A calc'!$A$2:$AR$398,4,FALSE)</f>
        <v>40</v>
      </c>
      <c r="E357" s="33">
        <f>VLOOKUP($A357,'5 A calc'!$A$2:$AR$398,13,FALSE)</f>
        <v>-0.13788745949748793</v>
      </c>
      <c r="F357" s="53">
        <f>VLOOKUP($A357,'5 A calc'!$A$2:$AR$398,14,FALSE)</f>
        <v>0.20532437774244733</v>
      </c>
      <c r="G357" s="33">
        <f>VLOOKUP($A357,'5 A calc'!$A$2:$AR$398,26,FALSE)*I357</f>
        <v>1.0434065256052286E-2</v>
      </c>
      <c r="H357" s="53">
        <f>VLOOKUP($A357,'5 A calc'!$A$2:$AR$398,40,FALSE)*J357</f>
        <v>1.6482385406767452E-2</v>
      </c>
      <c r="I357" s="56">
        <f>VLOOKUP($A357,'5 A calc'!$A$2:$AR$398,28,FALSE)</f>
        <v>2.2707266780560973</v>
      </c>
      <c r="J357" s="49">
        <f>VLOOKUP($A357,'5 A calc'!$A$2:$AR$398,42,FALSE)</f>
        <v>2.1172674904193443</v>
      </c>
      <c r="L357" s="28">
        <f t="shared" si="100"/>
        <v>7.0585321654752544</v>
      </c>
      <c r="M357" s="28">
        <f t="shared" si="101"/>
        <v>0.56662267206947614</v>
      </c>
    </row>
    <row r="358" spans="1:18" x14ac:dyDescent="0.2">
      <c r="A358" s="409">
        <v>453</v>
      </c>
      <c r="C358" s="53">
        <f t="shared" si="99"/>
        <v>0</v>
      </c>
      <c r="D358" s="51">
        <f>VLOOKUP($A358,'5 A calc'!$A$2:$AR$398,4,FALSE)</f>
        <v>60</v>
      </c>
      <c r="E358" s="33">
        <f>VLOOKUP($A358,'5 A calc'!$A$2:$AR$398,13,FALSE)</f>
        <v>-0.12989576659663293</v>
      </c>
      <c r="F358" s="53">
        <f>VLOOKUP($A358,'5 A calc'!$A$2:$AR$398,14,FALSE)</f>
        <v>0.19076258148681702</v>
      </c>
      <c r="G358" s="33">
        <f>VLOOKUP($A358,'5 A calc'!$A$2:$AR$398,26,FALSE)*I358</f>
        <v>1.0068736341079163E-2</v>
      </c>
      <c r="H358" s="53">
        <f>VLOOKUP($A358,'5 A calc'!$A$2:$AR$398,40,FALSE)*J358</f>
        <v>1.5916475926314341E-2</v>
      </c>
      <c r="I358" s="56">
        <f>VLOOKUP($A358,'5 A calc'!$A$2:$AR$398,28,FALSE)</f>
        <v>2.2402601621361407</v>
      </c>
      <c r="J358" s="49">
        <f>VLOOKUP($A358,'5 A calc'!$A$2:$AR$398,42,FALSE)</f>
        <v>2.0974653175407636</v>
      </c>
      <c r="L358" s="28">
        <f t="shared" si="100"/>
        <v>6.5579344849290404</v>
      </c>
      <c r="M358" s="28">
        <f t="shared" si="101"/>
        <v>0.54716813717963342</v>
      </c>
    </row>
    <row r="359" spans="1:18" x14ac:dyDescent="0.2">
      <c r="A359" s="409">
        <v>454</v>
      </c>
      <c r="C359" s="53">
        <f t="shared" si="99"/>
        <v>0</v>
      </c>
      <c r="D359" s="51">
        <f>VLOOKUP($A359,'5 A calc'!$A$2:$AR$398,4,FALSE)</f>
        <v>100</v>
      </c>
      <c r="E359" s="33">
        <f>VLOOKUP($A359,'5 A calc'!$A$2:$AR$398,13,FALSE)</f>
        <v>-0.12090653758511721</v>
      </c>
      <c r="F359" s="53">
        <f>VLOOKUP($A359,'5 A calc'!$A$2:$AR$398,14,FALSE)</f>
        <v>0.17474662383870593</v>
      </c>
      <c r="G359" s="33">
        <f>VLOOKUP($A359,'5 A calc'!$A$2:$AR$398,26,FALSE)*I359</f>
        <v>9.5799541498363117E-3</v>
      </c>
      <c r="H359" s="53">
        <f>VLOOKUP($A359,'5 A calc'!$A$2:$AR$398,40,FALSE)*J359</f>
        <v>1.4200017061592445E-2</v>
      </c>
      <c r="I359" s="56">
        <f>VLOOKUP($A359,'5 A calc'!$A$2:$AR$398,28,FALSE)</f>
        <v>2.2210605780453867</v>
      </c>
      <c r="J359" s="49">
        <f>VLOOKUP($A359,'5 A calc'!$A$2:$AR$398,42,FALSE)</f>
        <v>2.1173574437856213</v>
      </c>
      <c r="L359" s="28">
        <f t="shared" si="100"/>
        <v>6.007346418070818</v>
      </c>
      <c r="M359" s="28">
        <f t="shared" si="101"/>
        <v>0.48816062798580467</v>
      </c>
    </row>
    <row r="360" spans="1:18" x14ac:dyDescent="0.2">
      <c r="A360" s="409">
        <v>455</v>
      </c>
      <c r="C360" s="53">
        <f t="shared" si="99"/>
        <v>0</v>
      </c>
      <c r="D360" s="51">
        <f>VLOOKUP($A360,'5 A calc'!$A$2:$AR$398,4,FALSE)</f>
        <v>120</v>
      </c>
      <c r="E360" s="33">
        <f>VLOOKUP($A360,'5 A calc'!$A$2:$AR$398,13,FALSE)</f>
        <v>-0.11890947147813105</v>
      </c>
      <c r="F360" s="53">
        <f>VLOOKUP($A360,'5 A calc'!$A$2:$AR$398,14,FALSE)</f>
        <v>0.16892221110865976</v>
      </c>
      <c r="G360" s="33">
        <f>VLOOKUP($A360,'5 A calc'!$A$2:$AR$398,26,FALSE)*I360</f>
        <v>9.0857002886257192E-3</v>
      </c>
      <c r="H360" s="53">
        <f>VLOOKUP($A360,'5 A calc'!$A$2:$AR$398,40,FALSE)*J360</f>
        <v>1.3038575814149392E-2</v>
      </c>
      <c r="I360" s="56">
        <f>VLOOKUP($A360,'5 A calc'!$A$2:$AR$398,28,FALSE)</f>
        <v>2.3397782721930618</v>
      </c>
      <c r="J360" s="49">
        <f>VLOOKUP($A360,'5 A calc'!$A$2:$AR$398,42,FALSE)</f>
        <v>2.1771036434914914</v>
      </c>
      <c r="L360" s="28">
        <f t="shared" si="100"/>
        <v>5.8071178575264693</v>
      </c>
      <c r="M360" s="28">
        <f t="shared" si="101"/>
        <v>0.44823321900726687</v>
      </c>
    </row>
    <row r="361" spans="1:18" x14ac:dyDescent="0.2">
      <c r="C361" s="39"/>
      <c r="D361" s="52"/>
      <c r="E361" s="38"/>
      <c r="F361" s="52"/>
      <c r="G361" s="38"/>
      <c r="H361" s="52"/>
      <c r="I361" s="52"/>
      <c r="J361" s="40"/>
      <c r="L361" s="4"/>
      <c r="M361" s="4"/>
    </row>
    <row r="363" spans="1:18" x14ac:dyDescent="0.2">
      <c r="A363" s="409">
        <v>457</v>
      </c>
      <c r="C363" s="60" t="str">
        <f>"Table "&amp;L363&amp;". Ratio "&amp;LEFT(M363,FIND("/",M363)-1)&amp;":5."&amp;"  Secondary: "&amp;K363</f>
        <v>Table . Ratio 200:5.  Secondary: S1 - S2</v>
      </c>
      <c r="D363" s="18"/>
      <c r="E363" s="18"/>
      <c r="F363" s="18"/>
      <c r="G363" s="18"/>
      <c r="H363" s="10"/>
      <c r="I363" s="10"/>
      <c r="J363" s="11"/>
      <c r="K363" s="95" t="str">
        <f>VLOOKUP($A363+1,'5 A data'!$A$2:$AP$526,2,FALSE)</f>
        <v>S1 - S2</v>
      </c>
      <c r="L363" s="97"/>
      <c r="M363" s="68" t="str">
        <f>VLOOKUP($A363,'5 A calc'!$A$2:$AR$398,4,FALSE)</f>
        <v>200/5 Range, 1 turns @ 5VA burden, vs 120 AT, 200 range, 2 Stage CT</v>
      </c>
      <c r="N363" s="68"/>
      <c r="O363" s="68"/>
      <c r="P363" s="68"/>
      <c r="Q363" s="68"/>
      <c r="R363" s="68"/>
    </row>
    <row r="364" spans="1:18" x14ac:dyDescent="0.2">
      <c r="A364" s="409"/>
      <c r="C364" s="12"/>
      <c r="D364" s="13"/>
      <c r="E364" s="643" t="s">
        <v>19</v>
      </c>
      <c r="F364" s="644"/>
      <c r="G364" s="643" t="s">
        <v>20</v>
      </c>
      <c r="H364" s="644"/>
      <c r="I364" s="645" t="s">
        <v>8</v>
      </c>
      <c r="J364" s="646"/>
      <c r="L364" s="521" t="s">
        <v>497</v>
      </c>
      <c r="M364" s="522"/>
    </row>
    <row r="365" spans="1:18" ht="51" x14ac:dyDescent="0.2">
      <c r="A365" s="409"/>
      <c r="C365" s="12" t="s">
        <v>169</v>
      </c>
      <c r="D365" s="54" t="s">
        <v>241</v>
      </c>
      <c r="E365" s="54" t="s">
        <v>294</v>
      </c>
      <c r="F365" s="13" t="s">
        <v>239</v>
      </c>
      <c r="G365" s="54" t="s">
        <v>294</v>
      </c>
      <c r="H365" s="13" t="s">
        <v>239</v>
      </c>
      <c r="I365" s="54" t="s">
        <v>158</v>
      </c>
      <c r="J365" s="13" t="s">
        <v>159</v>
      </c>
      <c r="L365" s="498" t="s">
        <v>59</v>
      </c>
      <c r="M365" s="498" t="s">
        <v>478</v>
      </c>
    </row>
    <row r="366" spans="1:18" x14ac:dyDescent="0.2">
      <c r="A366" s="409">
        <v>459</v>
      </c>
      <c r="C366" s="53">
        <v>0.05</v>
      </c>
      <c r="D366" s="57">
        <f>VLOOKUP($A366,'5 A calc'!$A$2:$AR$398,4,FALSE)</f>
        <v>5</v>
      </c>
      <c r="E366" s="33">
        <f>VLOOKUP($A366,'5 A calc'!$A$2:$AR$398,13,FALSE)</f>
        <v>-1.0792796610093891</v>
      </c>
      <c r="F366" s="53">
        <f>VLOOKUP($A366,'5 A calc'!$A$2:$AR$398,14,FALSE)</f>
        <v>0.50966088543628718</v>
      </c>
      <c r="G366" s="33">
        <f>VLOOKUP($A366,'5 A calc'!$A$2:$AR$398,26,FALSE)*I366</f>
        <v>0.11610957692003827</v>
      </c>
      <c r="H366" s="53">
        <f>VLOOKUP($A366,'5 A calc'!$A$2:$AR$398,40,FALSE)*J366</f>
        <v>6.1711377544263063E-2</v>
      </c>
      <c r="I366" s="56">
        <f>VLOOKUP($A366,'5 A calc'!$A$2:$AR$398,28,FALSE)</f>
        <v>2.2370273650886725</v>
      </c>
      <c r="J366" s="49">
        <f>VLOOKUP($A366,'5 A calc'!$A$2:$AR$398,42,FALSE)</f>
        <v>2.0731382852083362</v>
      </c>
      <c r="L366" s="4">
        <f t="shared" ref="L366:L372" si="102">DEGREES(F366/100)*60</f>
        <v>17.520850631039892</v>
      </c>
      <c r="M366" s="4">
        <f>DEGREES(H366/100)*60</f>
        <v>2.1214808887348058</v>
      </c>
    </row>
    <row r="367" spans="1:18" x14ac:dyDescent="0.2">
      <c r="A367" s="409">
        <v>460</v>
      </c>
      <c r="C367" s="53">
        <v>0.05</v>
      </c>
      <c r="D367" s="57">
        <f>VLOOKUP($A367,'5 A calc'!$A$2:$AR$398,4,FALSE)</f>
        <v>10</v>
      </c>
      <c r="E367" s="33">
        <f>VLOOKUP($A367,'5 A calc'!$A$2:$AR$398,13,FALSE)</f>
        <v>-0.94536658533250351</v>
      </c>
      <c r="F367" s="53">
        <f>VLOOKUP($A367,'5 A calc'!$A$2:$AR$398,14,FALSE)</f>
        <v>0.43685076559543545</v>
      </c>
      <c r="G367" s="33">
        <f>VLOOKUP($A367,'5 A calc'!$A$2:$AR$398,26,FALSE)*I367</f>
        <v>9.9829437836065515E-2</v>
      </c>
      <c r="H367" s="53">
        <f>VLOOKUP($A367,'5 A calc'!$A$2:$AR$398,40,FALSE)*J367</f>
        <v>3.4870056162524629E-2</v>
      </c>
      <c r="I367" s="56">
        <f>VLOOKUP($A367,'5 A calc'!$A$2:$AR$398,28,FALSE)</f>
        <v>2.2970443852763389</v>
      </c>
      <c r="J367" s="49">
        <f>VLOOKUP($A367,'5 A calc'!$A$2:$AR$398,42,FALSE)</f>
        <v>2.1462891398450967</v>
      </c>
      <c r="L367" s="4">
        <f t="shared" si="102"/>
        <v>15.017823087406367</v>
      </c>
      <c r="M367" s="4">
        <f t="shared" ref="M367:M372" si="103">DEGREES(H367/100)*60</f>
        <v>1.198744229698085</v>
      </c>
    </row>
    <row r="368" spans="1:18" x14ac:dyDescent="0.2">
      <c r="A368" s="409">
        <v>461</v>
      </c>
      <c r="C368" s="53">
        <v>0.05</v>
      </c>
      <c r="D368" s="57">
        <f>VLOOKUP($A368,'5 A calc'!$A$2:$AR$398,4,FALSE)</f>
        <v>20</v>
      </c>
      <c r="E368" s="33">
        <f>VLOOKUP($A368,'5 A calc'!$A$2:$AR$398,13,FALSE)</f>
        <v>-0.84343455105695664</v>
      </c>
      <c r="F368" s="53">
        <f>VLOOKUP($A368,'5 A calc'!$A$2:$AR$398,14,FALSE)</f>
        <v>0.37569396857142406</v>
      </c>
      <c r="G368" s="33">
        <f>VLOOKUP($A368,'5 A calc'!$A$2:$AR$398,26,FALSE)*I368</f>
        <v>8.8903499125790819E-2</v>
      </c>
      <c r="H368" s="53">
        <f>VLOOKUP($A368,'5 A calc'!$A$2:$AR$398,40,FALSE)*J368</f>
        <v>2.7802904994338885E-2</v>
      </c>
      <c r="I368" s="56">
        <f>VLOOKUP($A368,'5 A calc'!$A$2:$AR$398,28,FALSE)</f>
        <v>2.3373016629955199</v>
      </c>
      <c r="J368" s="49">
        <f>VLOOKUP($A368,'5 A calc'!$A$2:$AR$398,42,FALSE)</f>
        <v>2.1133704443185488</v>
      </c>
      <c r="L368" s="4">
        <f t="shared" si="102"/>
        <v>12.915407272597914</v>
      </c>
      <c r="M368" s="4">
        <f t="shared" si="103"/>
        <v>0.95579346862728964</v>
      </c>
    </row>
    <row r="369" spans="1:13" x14ac:dyDescent="0.2">
      <c r="A369" s="409">
        <v>462</v>
      </c>
      <c r="C369" s="53">
        <v>0.05</v>
      </c>
      <c r="D369" s="57">
        <f>VLOOKUP($A369,'5 A calc'!$A$2:$AR$398,4,FALSE)</f>
        <v>40</v>
      </c>
      <c r="E369" s="33">
        <f>VLOOKUP($A369,'5 A calc'!$A$2:$AR$398,13,FALSE)</f>
        <v>-0.76548999768232906</v>
      </c>
      <c r="F369" s="53">
        <f>VLOOKUP($A369,'5 A calc'!$A$2:$AR$398,14,FALSE)</f>
        <v>0.33201034469800811</v>
      </c>
      <c r="G369" s="33">
        <f>VLOOKUP($A369,'5 A calc'!$A$2:$AR$398,26,FALSE)*I369</f>
        <v>7.9761161829986493E-2</v>
      </c>
      <c r="H369" s="53">
        <f>VLOOKUP($A369,'5 A calc'!$A$2:$AR$398,40,FALSE)*J369</f>
        <v>2.8584136782437267E-2</v>
      </c>
      <c r="I369" s="56">
        <f>VLOOKUP($A369,'5 A calc'!$A$2:$AR$398,28,FALSE)</f>
        <v>2.4292724308731097</v>
      </c>
      <c r="J369" s="49">
        <f>VLOOKUP($A369,'5 A calc'!$A$2:$AR$398,42,FALSE)</f>
        <v>2.1148378870262285</v>
      </c>
      <c r="L369" s="4">
        <f t="shared" si="102"/>
        <v>11.413674903527721</v>
      </c>
      <c r="M369" s="4">
        <f t="shared" si="103"/>
        <v>0.9826502391949874</v>
      </c>
    </row>
    <row r="370" spans="1:13" x14ac:dyDescent="0.2">
      <c r="A370" s="409">
        <v>463</v>
      </c>
      <c r="C370" s="53">
        <v>0.05</v>
      </c>
      <c r="D370" s="51">
        <f>VLOOKUP($A370,'5 A calc'!$A$2:$AR$398,4,FALSE)</f>
        <v>60</v>
      </c>
      <c r="E370" s="33">
        <f>VLOOKUP($A370,'5 A calc'!$A$2:$AR$398,13,FALSE)</f>
        <v>-0.72152108921673785</v>
      </c>
      <c r="F370" s="53">
        <f>VLOOKUP($A370,'5 A calc'!$A$2:$AR$398,14,FALSE)</f>
        <v>0.28541301656855783</v>
      </c>
      <c r="G370" s="33">
        <f>VLOOKUP($A370,'5 A calc'!$A$2:$AR$398,26,FALSE)*I370</f>
        <v>7.6376862078666216E-2</v>
      </c>
      <c r="H370" s="53">
        <f>VLOOKUP($A370,'5 A calc'!$A$2:$AR$398,40,FALSE)*J370</f>
        <v>4.3683947018234255E-2</v>
      </c>
      <c r="I370" s="56">
        <f>VLOOKUP($A370,'5 A calc'!$A$2:$AR$398,28,FALSE)</f>
        <v>2.339874551028593</v>
      </c>
      <c r="J370" s="49">
        <f>VLOOKUP($A370,'5 A calc'!$A$2:$AR$398,42,FALSE)</f>
        <v>2.29218337671329</v>
      </c>
      <c r="L370" s="4">
        <f t="shared" si="102"/>
        <v>9.8117767604854809</v>
      </c>
      <c r="M370" s="4">
        <f t="shared" si="103"/>
        <v>1.5017434779707519</v>
      </c>
    </row>
    <row r="371" spans="1:13" x14ac:dyDescent="0.2">
      <c r="A371" s="409">
        <v>464</v>
      </c>
      <c r="C371" s="53">
        <v>0.05</v>
      </c>
      <c r="D371" s="51">
        <f>VLOOKUP($A371,'5 A calc'!$A$2:$AR$398,4,FALSE)</f>
        <v>100</v>
      </c>
      <c r="E371" s="33">
        <f>VLOOKUP($A371,'5 A calc'!$A$2:$AR$398,13,FALSE)</f>
        <v>-0.65556793556105675</v>
      </c>
      <c r="F371" s="53">
        <f>VLOOKUP($A371,'5 A calc'!$A$2:$AR$398,14,FALSE)</f>
        <v>0.20095751355364952</v>
      </c>
      <c r="G371" s="33">
        <f>VLOOKUP($A371,'5 A calc'!$A$2:$AR$398,26,FALSE)*I371</f>
        <v>6.7883497052371636E-2</v>
      </c>
      <c r="H371" s="53">
        <f>VLOOKUP($A371,'5 A calc'!$A$2:$AR$398,40,FALSE)*J371</f>
        <v>1.6069447671537781E-2</v>
      </c>
      <c r="I371" s="56">
        <f>VLOOKUP($A371,'5 A calc'!$A$2:$AR$398,28,FALSE)</f>
        <v>2.4437323169243816</v>
      </c>
      <c r="J371" s="49">
        <f>VLOOKUP($A371,'5 A calc'!$A$2:$AR$398,42,FALSE)</f>
        <v>2.1033048182782719</v>
      </c>
      <c r="L371" s="4">
        <f t="shared" si="102"/>
        <v>6.9084104328402933</v>
      </c>
      <c r="M371" s="4">
        <f t="shared" si="103"/>
        <v>0.55242691841126568</v>
      </c>
    </row>
    <row r="372" spans="1:13" x14ac:dyDescent="0.2">
      <c r="A372" s="409">
        <v>465</v>
      </c>
      <c r="C372" s="53">
        <v>0.05</v>
      </c>
      <c r="D372" s="51">
        <f>VLOOKUP($A372,'5 A calc'!$A$2:$AR$398,4,FALSE)</f>
        <v>120</v>
      </c>
      <c r="E372" s="33">
        <f>VLOOKUP($A372,'5 A calc'!$A$2:$AR$398,13,FALSE)</f>
        <v>-0.62358985648345711</v>
      </c>
      <c r="F372" s="53">
        <f>VLOOKUP($A372,'5 A calc'!$A$2:$AR$398,14,FALSE)</f>
        <v>0.17474685326753611</v>
      </c>
      <c r="G372" s="33">
        <f>VLOOKUP($A372,'5 A calc'!$A$2:$AR$398,26,FALSE)*I372</f>
        <v>6.4106213675212922E-2</v>
      </c>
      <c r="H372" s="53">
        <f>VLOOKUP($A372,'5 A calc'!$A$2:$AR$398,40,FALSE)*J372</f>
        <v>1.0337082437242951E-2</v>
      </c>
      <c r="I372" s="56">
        <f>VLOOKUP($A372,'5 A calc'!$A$2:$AR$398,28,FALSE)</f>
        <v>2.5163179032621943</v>
      </c>
      <c r="J372" s="49">
        <f>VLOOKUP($A372,'5 A calc'!$A$2:$AR$398,42,FALSE)</f>
        <v>2.1585486752071761</v>
      </c>
      <c r="L372" s="4">
        <f t="shared" si="102"/>
        <v>6.0073543052530196</v>
      </c>
      <c r="M372" s="4">
        <f t="shared" si="103"/>
        <v>0.35536271767969668</v>
      </c>
    </row>
    <row r="373" spans="1:13" x14ac:dyDescent="0.2">
      <c r="C373" s="119"/>
      <c r="D373" s="113"/>
      <c r="E373" s="119"/>
      <c r="F373" s="115"/>
      <c r="G373" s="114"/>
      <c r="H373" s="115"/>
      <c r="I373" s="116"/>
      <c r="J373" s="117"/>
      <c r="L373" s="27"/>
      <c r="M373" s="27"/>
    </row>
    <row r="374" spans="1:13" x14ac:dyDescent="0.2">
      <c r="A374" s="409">
        <v>467</v>
      </c>
      <c r="C374" s="53">
        <f t="shared" ref="C374:C380" si="104">low__burden</f>
        <v>0</v>
      </c>
      <c r="D374" s="51">
        <f>VLOOKUP($A374,'5 A calc'!$A$2:$AR$398,4,FALSE)</f>
        <v>5</v>
      </c>
      <c r="E374" s="33">
        <f>VLOOKUP($A374,'5 A calc'!$A$2:$AR$398,13,FALSE)</f>
        <v>-0.22382142424788565</v>
      </c>
      <c r="F374" s="53">
        <f>VLOOKUP($A374,'5 A calc'!$A$2:$AR$398,14,FALSE)</f>
        <v>0.39316804225876012</v>
      </c>
      <c r="G374" s="33">
        <f>VLOOKUP($A374,'5 A calc'!$A$2:$AR$398,26,FALSE)*I374</f>
        <v>0.10856456683950365</v>
      </c>
      <c r="H374" s="53">
        <f>VLOOKUP($A374,'5 A calc'!$A$2:$AR$398,40,FALSE)*J374</f>
        <v>5.0499448384112099E-2</v>
      </c>
      <c r="I374" s="56">
        <f>VLOOKUP($A374,'5 A calc'!$A$2:$AR$398,28,FALSE)</f>
        <v>2.4778089392323666</v>
      </c>
      <c r="J374" s="49">
        <f>VLOOKUP($A374,'5 A calc'!$A$2:$AR$398,42,FALSE)</f>
        <v>2.1934201548523</v>
      </c>
      <c r="L374" s="28">
        <f t="shared" ref="L374:L380" si="105">DEGREES(F374/100)*60</f>
        <v>13.516121676508892</v>
      </c>
      <c r="M374" s="28">
        <f t="shared" ref="M374:M380" si="106">DEGREES(H374/100)*60</f>
        <v>1.7360431560890208</v>
      </c>
    </row>
    <row r="375" spans="1:13" x14ac:dyDescent="0.2">
      <c r="A375" s="409">
        <v>468</v>
      </c>
      <c r="C375" s="53">
        <f t="shared" si="104"/>
        <v>0</v>
      </c>
      <c r="D375" s="51">
        <f>VLOOKUP($A375,'5 A calc'!$A$2:$AR$398,4,FALSE)</f>
        <v>10</v>
      </c>
      <c r="E375" s="33">
        <f>VLOOKUP($A375,'5 A calc'!$A$2:$AR$398,13,FALSE)</f>
        <v>-0.18484822297794287</v>
      </c>
      <c r="F375" s="53">
        <f>VLOOKUP($A375,'5 A calc'!$A$2:$AR$398,14,FALSE)</f>
        <v>0.29997167486184112</v>
      </c>
      <c r="G375" s="33">
        <f>VLOOKUP($A375,'5 A calc'!$A$2:$AR$398,26,FALSE)*I375</f>
        <v>9.6555170050364472E-2</v>
      </c>
      <c r="H375" s="53">
        <f>VLOOKUP($A375,'5 A calc'!$A$2:$AR$398,40,FALSE)*J375</f>
        <v>3.3269445585163981E-2</v>
      </c>
      <c r="I375" s="56">
        <f>VLOOKUP($A375,'5 A calc'!$A$2:$AR$398,28,FALSE)</f>
        <v>2.4998447393397827</v>
      </c>
      <c r="J375" s="49">
        <f>VLOOKUP($A375,'5 A calc'!$A$2:$AR$398,42,FALSE)</f>
        <v>2.2024924264047541</v>
      </c>
      <c r="L375" s="28">
        <f t="shared" si="105"/>
        <v>10.312266565832442</v>
      </c>
      <c r="M375" s="28">
        <f t="shared" si="106"/>
        <v>1.1437192912620275</v>
      </c>
    </row>
    <row r="376" spans="1:13" x14ac:dyDescent="0.2">
      <c r="A376" s="409">
        <v>469</v>
      </c>
      <c r="C376" s="53">
        <f t="shared" si="104"/>
        <v>0</v>
      </c>
      <c r="D376" s="51">
        <f>VLOOKUP($A376,'5 A calc'!$A$2:$AR$398,4,FALSE)</f>
        <v>20</v>
      </c>
      <c r="E376" s="33">
        <f>VLOOKUP($A376,'5 A calc'!$A$2:$AR$398,13,FALSE)</f>
        <v>-0.15487061983186828</v>
      </c>
      <c r="F376" s="53">
        <f>VLOOKUP($A376,'5 A calc'!$A$2:$AR$398,14,FALSE)</f>
        <v>0.23881487783782979</v>
      </c>
      <c r="G376" s="33">
        <f>VLOOKUP($A376,'5 A calc'!$A$2:$AR$398,26,FALSE)*I376</f>
        <v>8.7496726164143945E-2</v>
      </c>
      <c r="H376" s="53">
        <f>VLOOKUP($A376,'5 A calc'!$A$2:$AR$398,40,FALSE)*J376</f>
        <v>2.215532722535216E-2</v>
      </c>
      <c r="I376" s="56">
        <f>VLOOKUP($A376,'5 A calc'!$A$2:$AR$398,28,FALSE)</f>
        <v>2.5247649179443621</v>
      </c>
      <c r="J376" s="49">
        <f>VLOOKUP($A376,'5 A calc'!$A$2:$AR$398,42,FALSE)</f>
        <v>2.1500462944262955</v>
      </c>
      <c r="L376" s="28">
        <f t="shared" si="105"/>
        <v>8.2098507510239909</v>
      </c>
      <c r="M376" s="28">
        <f t="shared" si="106"/>
        <v>0.76164404624638038</v>
      </c>
    </row>
    <row r="377" spans="1:13" x14ac:dyDescent="0.2">
      <c r="A377" s="409">
        <v>470</v>
      </c>
      <c r="C377" s="53">
        <f t="shared" si="104"/>
        <v>0</v>
      </c>
      <c r="D377" s="51">
        <f>VLOOKUP($A377,'5 A calc'!$A$2:$AR$398,4,FALSE)</f>
        <v>40</v>
      </c>
      <c r="E377" s="33">
        <f>VLOOKUP($A377,'5 A calc'!$A$2:$AR$398,13,FALSE)</f>
        <v>-0.13788745949748793</v>
      </c>
      <c r="F377" s="53">
        <f>VLOOKUP($A377,'5 A calc'!$A$2:$AR$398,14,FALSE)</f>
        <v>0.20532437774244733</v>
      </c>
      <c r="G377" s="33">
        <f>VLOOKUP($A377,'5 A calc'!$A$2:$AR$398,26,FALSE)*I377</f>
        <v>7.9786160943394177E-2</v>
      </c>
      <c r="H377" s="53">
        <f>VLOOKUP($A377,'5 A calc'!$A$2:$AR$398,40,FALSE)*J377</f>
        <v>1.8037854036499247E-2</v>
      </c>
      <c r="I377" s="56">
        <f>VLOOKUP($A377,'5 A calc'!$A$2:$AR$398,28,FALSE)</f>
        <v>2.5339740457262043</v>
      </c>
      <c r="J377" s="49">
        <f>VLOOKUP($A377,'5 A calc'!$A$2:$AR$398,42,FALSE)</f>
        <v>2.139911290420264</v>
      </c>
      <c r="L377" s="28">
        <f t="shared" si="105"/>
        <v>7.0585321654752544</v>
      </c>
      <c r="M377" s="28">
        <f t="shared" si="106"/>
        <v>0.6200957446586538</v>
      </c>
    </row>
    <row r="378" spans="1:13" x14ac:dyDescent="0.2">
      <c r="A378" s="409">
        <v>471</v>
      </c>
      <c r="C378" s="53">
        <f t="shared" si="104"/>
        <v>0</v>
      </c>
      <c r="D378" s="51">
        <f>VLOOKUP($A378,'5 A calc'!$A$2:$AR$398,4,FALSE)</f>
        <v>60</v>
      </c>
      <c r="E378" s="33">
        <f>VLOOKUP($A378,'5 A calc'!$A$2:$AR$398,13,FALSE)</f>
        <v>-0.12939608304712269</v>
      </c>
      <c r="F378" s="53">
        <f>VLOOKUP($A378,'5 A calc'!$A$2:$AR$398,14,FALSE)</f>
        <v>0.1893064209470979</v>
      </c>
      <c r="G378" s="33">
        <f>VLOOKUP($A378,'5 A calc'!$A$2:$AR$398,26,FALSE)*I378</f>
        <v>7.527224888019117E-2</v>
      </c>
      <c r="H378" s="53">
        <f>VLOOKUP($A378,'5 A calc'!$A$2:$AR$398,40,FALSE)*J378</f>
        <v>1.4877593472872689E-2</v>
      </c>
      <c r="I378" s="56">
        <f>VLOOKUP($A378,'5 A calc'!$A$2:$AR$398,28,FALSE)</f>
        <v>2.533043111404222</v>
      </c>
      <c r="J378" s="49">
        <f>VLOOKUP($A378,'5 A calc'!$A$2:$AR$398,42,FALSE)</f>
        <v>2.0921678971476076</v>
      </c>
      <c r="L378" s="28">
        <f t="shared" si="105"/>
        <v>6.5078753729974022</v>
      </c>
      <c r="M378" s="28">
        <f t="shared" si="106"/>
        <v>0.51145398918419183</v>
      </c>
    </row>
    <row r="379" spans="1:13" x14ac:dyDescent="0.2">
      <c r="A379" s="409">
        <v>472</v>
      </c>
      <c r="C379" s="53">
        <f t="shared" si="104"/>
        <v>0</v>
      </c>
      <c r="D379" s="51">
        <f>VLOOKUP($A379,'5 A calc'!$A$2:$AR$398,4,FALSE)</f>
        <v>100</v>
      </c>
      <c r="E379" s="33">
        <f>VLOOKUP($A379,'5 A calc'!$A$2:$AR$398,13,FALSE)</f>
        <v>-0.12090653758511721</v>
      </c>
      <c r="F379" s="53">
        <f>VLOOKUP($A379,'5 A calc'!$A$2:$AR$398,14,FALSE)</f>
        <v>0.17620278437842499</v>
      </c>
      <c r="G379" s="33">
        <f>VLOOKUP($A379,'5 A calc'!$A$2:$AR$398,26,FALSE)*I379</f>
        <v>6.7958437062520805E-2</v>
      </c>
      <c r="H379" s="53">
        <f>VLOOKUP($A379,'5 A calc'!$A$2:$AR$398,40,FALSE)*J379</f>
        <v>9.8746948477705463E-3</v>
      </c>
      <c r="I379" s="56">
        <f>VLOOKUP($A379,'5 A calc'!$A$2:$AR$398,28,FALSE)</f>
        <v>2.5305421159200945</v>
      </c>
      <c r="J379" s="49">
        <f>VLOOKUP($A379,'5 A calc'!$A$2:$AR$398,42,FALSE)</f>
        <v>2.0641831985701629</v>
      </c>
      <c r="L379" s="28">
        <f t="shared" si="105"/>
        <v>6.0574055300024554</v>
      </c>
      <c r="M379" s="28">
        <f t="shared" si="106"/>
        <v>0.33946700325409879</v>
      </c>
    </row>
    <row r="380" spans="1:13" x14ac:dyDescent="0.2">
      <c r="A380" s="409">
        <v>473</v>
      </c>
      <c r="C380" s="53">
        <f t="shared" si="104"/>
        <v>0</v>
      </c>
      <c r="D380" s="51">
        <f>VLOOKUP($A380,'5 A calc'!$A$2:$AR$398,4,FALSE)</f>
        <v>120</v>
      </c>
      <c r="E380" s="33">
        <f>VLOOKUP($A380,'5 A calc'!$A$2:$AR$398,13,FALSE)</f>
        <v>-0.11890947147813105</v>
      </c>
      <c r="F380" s="53">
        <f>VLOOKUP($A380,'5 A calc'!$A$2:$AR$398,14,FALSE)</f>
        <v>0.17183453218809797</v>
      </c>
      <c r="G380" s="33">
        <f>VLOOKUP($A380,'5 A calc'!$A$2:$AR$398,26,FALSE)*I380</f>
        <v>6.4167530785661314E-2</v>
      </c>
      <c r="H380" s="53">
        <f>VLOOKUP($A380,'5 A calc'!$A$2:$AR$398,40,FALSE)*J380</f>
        <v>8.1669662978509725E-3</v>
      </c>
      <c r="I380" s="56">
        <f>VLOOKUP($A380,'5 A calc'!$A$2:$AR$398,28,FALSE)</f>
        <v>2.5363674384332784</v>
      </c>
      <c r="J380" s="49">
        <f>VLOOKUP($A380,'5 A calc'!$A$2:$AR$398,42,FALSE)</f>
        <v>2.1639355826756943</v>
      </c>
      <c r="L380" s="28">
        <f t="shared" si="105"/>
        <v>5.9072360813897449</v>
      </c>
      <c r="M380" s="28">
        <f t="shared" si="106"/>
        <v>0.28075962017546613</v>
      </c>
    </row>
    <row r="381" spans="1:13" x14ac:dyDescent="0.2">
      <c r="C381" s="39"/>
      <c r="D381" s="52"/>
      <c r="E381" s="38"/>
      <c r="F381" s="52"/>
      <c r="G381" s="38"/>
      <c r="H381" s="52"/>
      <c r="I381" s="52"/>
      <c r="J381" s="40"/>
      <c r="L381" s="4"/>
      <c r="M381" s="4"/>
    </row>
    <row r="384" spans="1:13" x14ac:dyDescent="0.2">
      <c r="A384" s="409">
        <v>276</v>
      </c>
      <c r="C384" s="60" t="e">
        <f>"Table "&amp;L384&amp;". Ratio "&amp;LEFT(M384,FIND("/",M384)-1)&amp;":5."&amp;"  Secondary: "&amp;K384</f>
        <v>#VALUE!</v>
      </c>
      <c r="D384" s="18"/>
      <c r="E384" s="18"/>
      <c r="F384" s="18"/>
      <c r="G384" s="18"/>
      <c r="H384" s="10"/>
      <c r="I384" s="10"/>
      <c r="J384" s="11"/>
      <c r="K384" s="95" t="str">
        <f>VLOOKUP($A384+1,'5 A data'!$A$2:$AP$526,2,FALSE)</f>
        <v>200/5 Range, 1 turns @ 5VA burden, vs 120 AT, 200 range, 2 Stage CT</v>
      </c>
    </row>
    <row r="385" spans="1:10" x14ac:dyDescent="0.2">
      <c r="A385" s="409"/>
      <c r="C385" s="12"/>
      <c r="D385" s="13"/>
      <c r="E385" s="643" t="s">
        <v>19</v>
      </c>
      <c r="F385" s="644"/>
      <c r="G385" s="643" t="s">
        <v>20</v>
      </c>
      <c r="H385" s="644"/>
      <c r="I385" s="645" t="s">
        <v>8</v>
      </c>
      <c r="J385" s="646"/>
    </row>
    <row r="386" spans="1:10" ht="51" x14ac:dyDescent="0.2">
      <c r="A386" s="409"/>
      <c r="C386" s="12" t="s">
        <v>169</v>
      </c>
      <c r="D386" s="54" t="s">
        <v>241</v>
      </c>
      <c r="E386" s="54" t="s">
        <v>294</v>
      </c>
      <c r="F386" s="13" t="s">
        <v>239</v>
      </c>
      <c r="G386" s="54" t="s">
        <v>294</v>
      </c>
      <c r="H386" s="13" t="s">
        <v>239</v>
      </c>
      <c r="I386" s="54" t="s">
        <v>158</v>
      </c>
      <c r="J386" s="13" t="s">
        <v>159</v>
      </c>
    </row>
    <row r="387" spans="1:10" x14ac:dyDescent="0.2">
      <c r="A387" s="409">
        <v>279</v>
      </c>
      <c r="C387" s="53">
        <v>0.05</v>
      </c>
      <c r="D387" s="57">
        <f>VLOOKUP($A387,'5 A calc'!$A$2:$AR$398,4,FALSE)</f>
        <v>5</v>
      </c>
      <c r="E387" s="33">
        <f>VLOOKUP($A387,'5 A calc'!$A$2:$AR$398,13,FALSE)</f>
        <v>-1.0393049770485712</v>
      </c>
      <c r="F387" s="53">
        <f>VLOOKUP($A387,'5 A calc'!$A$2:$AR$398,14,FALSE)</f>
        <v>0.52131016975403965</v>
      </c>
      <c r="G387" s="33">
        <f>VLOOKUP($A387,'5 A calc'!$A$2:$AR$398,26,FALSE)*I387</f>
        <v>0.1079747725941687</v>
      </c>
      <c r="H387" s="53">
        <f>VLOOKUP($A387,'5 A calc'!$A$2:$AR$398,40,FALSE)*J387</f>
        <v>6.4081110534655455E-2</v>
      </c>
      <c r="I387" s="56">
        <f>VLOOKUP($A387,'5 A calc'!$A$2:$AR$398,28,FALSE)</f>
        <v>2.2889890915335971</v>
      </c>
      <c r="J387" s="49">
        <f>VLOOKUP($A387,'5 A calc'!$A$2:$AR$398,42,FALSE)</f>
        <v>2.0713966174303047</v>
      </c>
    </row>
    <row r="388" spans="1:10" x14ac:dyDescent="0.2">
      <c r="A388" s="409">
        <v>280</v>
      </c>
      <c r="C388" s="53">
        <v>0.05</v>
      </c>
      <c r="D388" s="57">
        <f>VLOOKUP($A388,'5 A calc'!$A$2:$AR$398,4,FALSE)</f>
        <v>10</v>
      </c>
      <c r="E388" s="33">
        <f>VLOOKUP($A388,'5 A calc'!$A$2:$AR$398,13,FALSE)</f>
        <v>-0.94336785113446264</v>
      </c>
      <c r="F388" s="53">
        <f>VLOOKUP($A388,'5 A calc'!$A$2:$AR$398,14,FALSE)</f>
        <v>0.43976308667487363</v>
      </c>
      <c r="G388" s="33">
        <f>VLOOKUP($A388,'5 A calc'!$A$2:$AR$398,26,FALSE)*I388</f>
        <v>0.10030282415076264</v>
      </c>
      <c r="H388" s="53">
        <f>VLOOKUP($A388,'5 A calc'!$A$2:$AR$398,40,FALSE)*J388</f>
        <v>3.4871902541749759E-2</v>
      </c>
      <c r="I388" s="56">
        <f>VLOOKUP($A388,'5 A calc'!$A$2:$AR$398,28,FALSE)</f>
        <v>2.2933882783054922</v>
      </c>
      <c r="J388" s="49">
        <f>VLOOKUP($A388,'5 A calc'!$A$2:$AR$398,42,FALSE)</f>
        <v>2.1462252400447874</v>
      </c>
    </row>
    <row r="389" spans="1:10" x14ac:dyDescent="0.2">
      <c r="A389" s="409">
        <v>281</v>
      </c>
      <c r="C389" s="53">
        <v>0.05</v>
      </c>
      <c r="D389" s="57">
        <f>VLOOKUP($A389,'5 A calc'!$A$2:$AR$398,4,FALSE)</f>
        <v>20</v>
      </c>
      <c r="E389" s="33">
        <f>VLOOKUP($A389,'5 A calc'!$A$2:$AR$398,13,FALSE)</f>
        <v>-0.83943708266087491</v>
      </c>
      <c r="F389" s="53">
        <f>VLOOKUP($A389,'5 A calc'!$A$2:$AR$398,14,FALSE)</f>
        <v>0.37860628965086224</v>
      </c>
      <c r="G389" s="33">
        <f>VLOOKUP($A389,'5 A calc'!$A$2:$AR$398,26,FALSE)*I389</f>
        <v>8.866388382408108E-2</v>
      </c>
      <c r="H389" s="53">
        <f>VLOOKUP($A389,'5 A calc'!$A$2:$AR$398,40,FALSE)*J389</f>
        <v>3.0658073318833641E-2</v>
      </c>
      <c r="I389" s="56">
        <f>VLOOKUP($A389,'5 A calc'!$A$2:$AR$398,28,FALSE)</f>
        <v>2.3366516500893342</v>
      </c>
      <c r="J389" s="49">
        <f>VLOOKUP($A389,'5 A calc'!$A$2:$AR$398,42,FALSE)</f>
        <v>2.1430772920167689</v>
      </c>
    </row>
    <row r="390" spans="1:10" x14ac:dyDescent="0.2">
      <c r="A390" s="409">
        <v>282</v>
      </c>
      <c r="C390" s="53">
        <v>0.05</v>
      </c>
      <c r="D390" s="57">
        <f>VLOOKUP($A390,'5 A calc'!$A$2:$AR$398,4,FALSE)</f>
        <v>40</v>
      </c>
      <c r="E390" s="33">
        <f>VLOOKUP($A390,'5 A calc'!$A$2:$AR$398,13,FALSE)</f>
        <v>-0.76149252928624722</v>
      </c>
      <c r="F390" s="53">
        <f>VLOOKUP($A390,'5 A calc'!$A$2:$AR$398,14,FALSE)</f>
        <v>0.32618570253913171</v>
      </c>
      <c r="G390" s="33">
        <f>VLOOKUP($A390,'5 A calc'!$A$2:$AR$398,26,FALSE)*I390</f>
        <v>7.9576469363821678E-2</v>
      </c>
      <c r="H390" s="53">
        <f>VLOOKUP($A390,'5 A calc'!$A$2:$AR$398,40,FALSE)*J390</f>
        <v>2.6359193295639807E-2</v>
      </c>
      <c r="I390" s="56">
        <f>VLOOKUP($A390,'5 A calc'!$A$2:$AR$398,28,FALSE)</f>
        <v>2.4426123518278167</v>
      </c>
      <c r="J390" s="49">
        <f>VLOOKUP($A390,'5 A calc'!$A$2:$AR$398,42,FALSE)</f>
        <v>2.0980880087267852</v>
      </c>
    </row>
    <row r="391" spans="1:10" x14ac:dyDescent="0.2">
      <c r="A391" s="409">
        <v>283</v>
      </c>
      <c r="C391" s="53">
        <v>0.05</v>
      </c>
      <c r="D391" s="51">
        <f>VLOOKUP($A391,'5 A calc'!$A$2:$AR$398,4,FALSE)</f>
        <v>60</v>
      </c>
      <c r="E391" s="33">
        <f>VLOOKUP($A391,'5 A calc'!$A$2:$AR$398,13,FALSE)</f>
        <v>-0.72152108921673785</v>
      </c>
      <c r="F391" s="53">
        <f>VLOOKUP($A391,'5 A calc'!$A$2:$AR$398,14,FALSE)</f>
        <v>0.28541301656855783</v>
      </c>
      <c r="G391" s="33">
        <f>VLOOKUP($A391,'5 A calc'!$A$2:$AR$398,26,FALSE)*I391</f>
        <v>7.6893127093224378E-2</v>
      </c>
      <c r="H391" s="53">
        <f>VLOOKUP($A391,'5 A calc'!$A$2:$AR$398,40,FALSE)*J391</f>
        <v>4.3650931236437568E-2</v>
      </c>
      <c r="I391" s="56">
        <f>VLOOKUP($A391,'5 A calc'!$A$2:$AR$398,28,FALSE)</f>
        <v>2.3272407505841035</v>
      </c>
      <c r="J391" s="49">
        <f>VLOOKUP($A391,'5 A calc'!$A$2:$AR$398,42,FALSE)</f>
        <v>2.2947989462003227</v>
      </c>
    </row>
    <row r="392" spans="1:10" x14ac:dyDescent="0.2">
      <c r="A392" s="409">
        <v>284</v>
      </c>
      <c r="C392" s="53">
        <v>0.05</v>
      </c>
      <c r="D392" s="51">
        <f>VLOOKUP($A392,'5 A calc'!$A$2:$AR$398,4,FALSE)</f>
        <v>100</v>
      </c>
      <c r="E392" s="33">
        <f>VLOOKUP($A392,'5 A calc'!$A$2:$AR$398,13,FALSE)</f>
        <v>-0.65157046716497491</v>
      </c>
      <c r="F392" s="53">
        <f>VLOOKUP($A392,'5 A calc'!$A$2:$AR$398,14,FALSE)</f>
        <v>0.20095751355364952</v>
      </c>
      <c r="G392" s="33">
        <f>VLOOKUP($A392,'5 A calc'!$A$2:$AR$398,26,FALSE)*I392</f>
        <v>6.7487588697689421E-2</v>
      </c>
      <c r="H392" s="53">
        <f>VLOOKUP($A392,'5 A calc'!$A$2:$AR$398,40,FALSE)*J392</f>
        <v>1.6069447671537781E-2</v>
      </c>
      <c r="I392" s="56">
        <f>VLOOKUP($A392,'5 A calc'!$A$2:$AR$398,28,FALSE)</f>
        <v>2.4502815186553399</v>
      </c>
      <c r="J392" s="49">
        <f>VLOOKUP($A392,'5 A calc'!$A$2:$AR$398,42,FALSE)</f>
        <v>2.1033048182782719</v>
      </c>
    </row>
    <row r="393" spans="1:10" x14ac:dyDescent="0.2">
      <c r="A393" s="409">
        <v>285</v>
      </c>
      <c r="C393" s="53">
        <v>0.05</v>
      </c>
      <c r="D393" s="51">
        <f>VLOOKUP($A393,'5 A calc'!$A$2:$AR$398,4,FALSE)</f>
        <v>120</v>
      </c>
      <c r="E393" s="33">
        <f>VLOOKUP($A393,'5 A calc'!$A$2:$AR$398,13,FALSE)</f>
        <v>-0.62159112228541624</v>
      </c>
      <c r="F393" s="53">
        <f>VLOOKUP($A393,'5 A calc'!$A$2:$AR$398,14,FALSE)</f>
        <v>0.17474685326753611</v>
      </c>
      <c r="G393" s="33">
        <f>VLOOKUP($A393,'5 A calc'!$A$2:$AR$398,26,FALSE)*I393</f>
        <v>6.397923451522973E-2</v>
      </c>
      <c r="H393" s="53">
        <f>VLOOKUP($A393,'5 A calc'!$A$2:$AR$398,40,FALSE)*J393</f>
        <v>1.0337082437242951E-2</v>
      </c>
      <c r="I393" s="56">
        <f>VLOOKUP($A393,'5 A calc'!$A$2:$AR$398,28,FALSE)</f>
        <v>2.516305656806181</v>
      </c>
      <c r="J393" s="49">
        <f>VLOOKUP($A393,'5 A calc'!$A$2:$AR$398,42,FALSE)</f>
        <v>2.1585486752071761</v>
      </c>
    </row>
    <row r="394" spans="1:10" x14ac:dyDescent="0.2">
      <c r="A394" s="409">
        <v>286</v>
      </c>
      <c r="C394" s="119"/>
      <c r="D394" s="113"/>
      <c r="E394" s="119"/>
      <c r="F394" s="115"/>
      <c r="G394" s="114"/>
      <c r="H394" s="115"/>
      <c r="I394" s="116"/>
      <c r="J394" s="117"/>
    </row>
    <row r="395" spans="1:10" x14ac:dyDescent="0.2">
      <c r="A395" s="409">
        <v>287</v>
      </c>
      <c r="C395" s="53">
        <f t="shared" ref="C395:C401" si="107">low__burden</f>
        <v>0</v>
      </c>
      <c r="D395" s="51">
        <f>VLOOKUP($A395,'5 A calc'!$A$2:$AR$398,4,FALSE)</f>
        <v>5</v>
      </c>
      <c r="E395" s="33">
        <f>VLOOKUP($A395,'5 A calc'!$A$2:$AR$398,13,FALSE)</f>
        <v>-0.21182901905964027</v>
      </c>
      <c r="F395" s="53">
        <f>VLOOKUP($A395,'5 A calc'!$A$2:$AR$398,14,FALSE)</f>
        <v>0.37860643686156914</v>
      </c>
      <c r="G395" s="33">
        <f>VLOOKUP($A395,'5 A calc'!$A$2:$AR$398,26,FALSE)*I395</f>
        <v>0.1050244063466101</v>
      </c>
      <c r="H395" s="53">
        <f>VLOOKUP($A395,'5 A calc'!$A$2:$AR$398,40,FALSE)*J395</f>
        <v>4.4092748623166103E-2</v>
      </c>
      <c r="I395" s="56">
        <f>VLOOKUP($A395,'5 A calc'!$A$2:$AR$398,28,FALSE)</f>
        <v>2.4897590295028174</v>
      </c>
      <c r="J395" s="49">
        <f>VLOOKUP($A395,'5 A calc'!$A$2:$AR$398,42,FALSE)</f>
        <v>2.1287378822238856</v>
      </c>
    </row>
    <row r="396" spans="1:10" x14ac:dyDescent="0.2">
      <c r="A396" s="409">
        <v>288</v>
      </c>
      <c r="C396" s="53">
        <f t="shared" si="107"/>
        <v>0</v>
      </c>
      <c r="D396" s="51">
        <f>VLOOKUP($A396,'5 A calc'!$A$2:$AR$398,4,FALSE)</f>
        <v>10</v>
      </c>
      <c r="E396" s="33">
        <f>VLOOKUP($A396,'5 A calc'!$A$2:$AR$398,13,FALSE)</f>
        <v>-0.18085075458186106</v>
      </c>
      <c r="F396" s="53">
        <f>VLOOKUP($A396,'5 A calc'!$A$2:$AR$398,14,FALSE)</f>
        <v>0.30288399594127929</v>
      </c>
      <c r="G396" s="33">
        <f>VLOOKUP($A396,'5 A calc'!$A$2:$AR$398,26,FALSE)*I396</f>
        <v>9.6819531183076651E-2</v>
      </c>
      <c r="H396" s="53">
        <f>VLOOKUP($A396,'5 A calc'!$A$2:$AR$398,40,FALSE)*J396</f>
        <v>3.2058422609052478E-2</v>
      </c>
      <c r="I396" s="56">
        <f>VLOOKUP($A396,'5 A calc'!$A$2:$AR$398,28,FALSE)</f>
        <v>2.5042088972720733</v>
      </c>
      <c r="J396" s="49">
        <f>VLOOKUP($A396,'5 A calc'!$A$2:$AR$398,42,FALSE)</f>
        <v>2.1898065551670798</v>
      </c>
    </row>
    <row r="397" spans="1:10" x14ac:dyDescent="0.2">
      <c r="A397" s="409">
        <v>289</v>
      </c>
      <c r="C397" s="53">
        <f t="shared" si="107"/>
        <v>0</v>
      </c>
      <c r="D397" s="51">
        <f>VLOOKUP($A397,'5 A calc'!$A$2:$AR$398,4,FALSE)</f>
        <v>20</v>
      </c>
      <c r="E397" s="33">
        <f>VLOOKUP($A397,'5 A calc'!$A$2:$AR$398,13,FALSE)</f>
        <v>-0.15287188563382736</v>
      </c>
      <c r="F397" s="53">
        <f>VLOOKUP($A397,'5 A calc'!$A$2:$AR$398,14,FALSE)</f>
        <v>0.24463951999670613</v>
      </c>
      <c r="G397" s="33">
        <f>VLOOKUP($A397,'5 A calc'!$A$2:$AR$398,26,FALSE)*I397</f>
        <v>8.7235992358124223E-2</v>
      </c>
      <c r="H397" s="53">
        <f>VLOOKUP($A397,'5 A calc'!$A$2:$AR$398,40,FALSE)*J397</f>
        <v>2.3312558651336399E-2</v>
      </c>
      <c r="I397" s="56">
        <f>VLOOKUP($A397,'5 A calc'!$A$2:$AR$398,28,FALSE)</f>
        <v>2.5230143535398861</v>
      </c>
      <c r="J397" s="49">
        <f>VLOOKUP($A397,'5 A calc'!$A$2:$AR$398,42,FALSE)</f>
        <v>2.1579801858210819</v>
      </c>
    </row>
    <row r="398" spans="1:10" x14ac:dyDescent="0.2">
      <c r="A398" s="409">
        <v>290</v>
      </c>
      <c r="C398" s="53">
        <f t="shared" si="107"/>
        <v>0</v>
      </c>
      <c r="D398" s="51">
        <f>VLOOKUP($A398,'5 A calc'!$A$2:$AR$398,4,FALSE)</f>
        <v>40</v>
      </c>
      <c r="E398" s="33">
        <f>VLOOKUP($A398,'5 A calc'!$A$2:$AR$398,13,FALSE)</f>
        <v>-0.13488935820042661</v>
      </c>
      <c r="F398" s="53">
        <f>VLOOKUP($A398,'5 A calc'!$A$2:$AR$398,14,FALSE)</f>
        <v>0.20678053828216644</v>
      </c>
      <c r="G398" s="33">
        <f>VLOOKUP($A398,'5 A calc'!$A$2:$AR$398,26,FALSE)*I398</f>
        <v>7.9664961695519496E-2</v>
      </c>
      <c r="H398" s="53">
        <f>VLOOKUP($A398,'5 A calc'!$A$2:$AR$398,40,FALSE)*J398</f>
        <v>1.7160780050887735E-2</v>
      </c>
      <c r="I398" s="56">
        <f>VLOOKUP($A398,'5 A calc'!$A$2:$AR$398,28,FALSE)</f>
        <v>2.5353478971824202</v>
      </c>
      <c r="J398" s="49">
        <f>VLOOKUP($A398,'5 A calc'!$A$2:$AR$398,42,FALSE)</f>
        <v>2.131537764749821</v>
      </c>
    </row>
    <row r="399" spans="1:10" x14ac:dyDescent="0.2">
      <c r="A399" s="409">
        <v>291</v>
      </c>
      <c r="C399" s="53">
        <f t="shared" si="107"/>
        <v>0</v>
      </c>
      <c r="D399" s="51">
        <f>VLOOKUP($A399,'5 A calc'!$A$2:$AR$398,4,FALSE)</f>
        <v>60</v>
      </c>
      <c r="E399" s="33">
        <f>VLOOKUP($A399,'5 A calc'!$A$2:$AR$398,13,FALSE)</f>
        <v>-0.12789703239859201</v>
      </c>
      <c r="F399" s="53">
        <f>VLOOKUP($A399,'5 A calc'!$A$2:$AR$398,14,FALSE)</f>
        <v>0.19221874202653608</v>
      </c>
      <c r="G399" s="33">
        <f>VLOOKUP($A399,'5 A calc'!$A$2:$AR$398,26,FALSE)*I399</f>
        <v>7.5465182959212576E-2</v>
      </c>
      <c r="H399" s="53">
        <f>VLOOKUP($A399,'5 A calc'!$A$2:$AR$398,40,FALSE)*J399</f>
        <v>1.5092835606750616E-2</v>
      </c>
      <c r="I399" s="56">
        <f>VLOOKUP($A399,'5 A calc'!$A$2:$AR$398,28,FALSE)</f>
        <v>2.5336417410673429</v>
      </c>
      <c r="J399" s="49">
        <f>VLOOKUP($A399,'5 A calc'!$A$2:$AR$398,42,FALSE)</f>
        <v>2.0811027532266242</v>
      </c>
    </row>
    <row r="400" spans="1:10" x14ac:dyDescent="0.2">
      <c r="A400" s="409">
        <v>292</v>
      </c>
      <c r="C400" s="53">
        <f t="shared" si="107"/>
        <v>0</v>
      </c>
      <c r="D400" s="51">
        <f>VLOOKUP($A400,'5 A calc'!$A$2:$AR$398,4,FALSE)</f>
        <v>100</v>
      </c>
      <c r="E400" s="33">
        <f>VLOOKUP($A400,'5 A calc'!$A$2:$AR$398,13,FALSE)</f>
        <v>-0.11990717048609677</v>
      </c>
      <c r="F400" s="53">
        <f>VLOOKUP($A400,'5 A calc'!$A$2:$AR$398,14,FALSE)</f>
        <v>0.17620278437842499</v>
      </c>
      <c r="G400" s="33">
        <f>VLOOKUP($A400,'5 A calc'!$A$2:$AR$398,26,FALSE)*I400</f>
        <v>6.7576944202062936E-2</v>
      </c>
      <c r="H400" s="53">
        <f>VLOOKUP($A400,'5 A calc'!$A$2:$AR$398,40,FALSE)*J400</f>
        <v>9.8746948477705463E-3</v>
      </c>
      <c r="I400" s="56">
        <f>VLOOKUP($A400,'5 A calc'!$A$2:$AR$398,28,FALSE)</f>
        <v>2.5304213348171949</v>
      </c>
      <c r="J400" s="49">
        <f>VLOOKUP($A400,'5 A calc'!$A$2:$AR$398,42,FALSE)</f>
        <v>2.0641831985701629</v>
      </c>
    </row>
    <row r="401" spans="1:10" x14ac:dyDescent="0.2">
      <c r="A401" s="409">
        <v>293</v>
      </c>
      <c r="C401" s="53">
        <f t="shared" si="107"/>
        <v>0</v>
      </c>
      <c r="D401" s="51">
        <f>VLOOKUP($A401,'5 A calc'!$A$2:$AR$398,4,FALSE)</f>
        <v>120</v>
      </c>
      <c r="E401" s="33">
        <f>VLOOKUP($A401,'5 A calc'!$A$2:$AR$398,13,FALSE)</f>
        <v>-0.11791010437911061</v>
      </c>
      <c r="F401" s="53">
        <f>VLOOKUP($A401,'5 A calc'!$A$2:$AR$398,14,FALSE)</f>
        <v>0.17183453218809797</v>
      </c>
      <c r="G401" s="33">
        <f>VLOOKUP($A401,'5 A calc'!$A$2:$AR$398,26,FALSE)*I401</f>
        <v>6.4040417641053032E-2</v>
      </c>
      <c r="H401" s="53">
        <f>VLOOKUP($A401,'5 A calc'!$A$2:$AR$398,40,FALSE)*J401</f>
        <v>8.1669662978509725E-3</v>
      </c>
      <c r="I401" s="56">
        <f>VLOOKUP($A401,'5 A calc'!$A$2:$AR$398,28,FALSE)</f>
        <v>2.5363535542987026</v>
      </c>
      <c r="J401" s="49">
        <f>VLOOKUP($A401,'5 A calc'!$A$2:$AR$398,42,FALSE)</f>
        <v>2.1639355826756943</v>
      </c>
    </row>
    <row r="402" spans="1:10" x14ac:dyDescent="0.2">
      <c r="C402" s="39"/>
      <c r="D402" s="52"/>
      <c r="E402" s="38"/>
      <c r="F402" s="52"/>
      <c r="G402" s="38"/>
      <c r="H402" s="52"/>
      <c r="I402" s="52"/>
      <c r="J402" s="40"/>
    </row>
  </sheetData>
  <mergeCells count="60">
    <mergeCell ref="E385:F385"/>
    <mergeCell ref="G385:H385"/>
    <mergeCell ref="I385:J385"/>
    <mergeCell ref="E304:F304"/>
    <mergeCell ref="G304:H304"/>
    <mergeCell ref="I304:J304"/>
    <mergeCell ref="E364:F364"/>
    <mergeCell ref="G364:H364"/>
    <mergeCell ref="I364:J364"/>
    <mergeCell ref="E324:F324"/>
    <mergeCell ref="G324:H324"/>
    <mergeCell ref="I324:J324"/>
    <mergeCell ref="E344:F344"/>
    <mergeCell ref="G344:H344"/>
    <mergeCell ref="I344:J344"/>
    <mergeCell ref="E124:F124"/>
    <mergeCell ref="E264:F264"/>
    <mergeCell ref="G264:H264"/>
    <mergeCell ref="I264:J264"/>
    <mergeCell ref="E284:F284"/>
    <mergeCell ref="G284:H284"/>
    <mergeCell ref="I284:J284"/>
    <mergeCell ref="E244:F244"/>
    <mergeCell ref="E204:F204"/>
    <mergeCell ref="G204:H204"/>
    <mergeCell ref="I204:J204"/>
    <mergeCell ref="G244:H244"/>
    <mergeCell ref="G124:H124"/>
    <mergeCell ref="I124:J124"/>
    <mergeCell ref="I244:J244"/>
    <mergeCell ref="E144:F144"/>
    <mergeCell ref="E84:F84"/>
    <mergeCell ref="G84:H84"/>
    <mergeCell ref="I84:J84"/>
    <mergeCell ref="E104:F104"/>
    <mergeCell ref="G104:H104"/>
    <mergeCell ref="I104:J104"/>
    <mergeCell ref="E4:F4"/>
    <mergeCell ref="G4:H4"/>
    <mergeCell ref="I4:J4"/>
    <mergeCell ref="E24:F24"/>
    <mergeCell ref="G24:H24"/>
    <mergeCell ref="I24:J24"/>
    <mergeCell ref="E44:F44"/>
    <mergeCell ref="G44:H44"/>
    <mergeCell ref="I44:J44"/>
    <mergeCell ref="E64:F64"/>
    <mergeCell ref="G64:H64"/>
    <mergeCell ref="I64:J64"/>
    <mergeCell ref="E224:F224"/>
    <mergeCell ref="G224:H224"/>
    <mergeCell ref="I224:J224"/>
    <mergeCell ref="G144:H144"/>
    <mergeCell ref="I144:J144"/>
    <mergeCell ref="E184:F184"/>
    <mergeCell ref="G184:H184"/>
    <mergeCell ref="I184:J184"/>
    <mergeCell ref="E164:F164"/>
    <mergeCell ref="G164:H164"/>
    <mergeCell ref="I164:J164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B5:W23"/>
  <sheetViews>
    <sheetView topLeftCell="A4" workbookViewId="0">
      <selection activeCell="B2" sqref="B2"/>
    </sheetView>
  </sheetViews>
  <sheetFormatPr defaultRowHeight="12.75" x14ac:dyDescent="0.2"/>
  <cols>
    <col min="3" max="3" width="17.5703125" customWidth="1"/>
    <col min="4" max="4" width="9.5703125" bestFit="1" customWidth="1"/>
    <col min="10" max="10" width="9.5703125" bestFit="1" customWidth="1"/>
  </cols>
  <sheetData>
    <row r="5" spans="2:21" x14ac:dyDescent="0.2">
      <c r="D5" t="s">
        <v>473</v>
      </c>
    </row>
    <row r="6" spans="2:21" x14ac:dyDescent="0.2">
      <c r="B6" s="497" t="s">
        <v>477</v>
      </c>
      <c r="C6" s="493"/>
      <c r="D6" s="493"/>
      <c r="E6" s="493"/>
      <c r="F6" s="493"/>
      <c r="G6" s="493"/>
      <c r="H6" s="493"/>
      <c r="I6" s="493"/>
      <c r="J6" s="493"/>
      <c r="K6" s="493"/>
      <c r="L6" s="493"/>
    </row>
    <row r="7" spans="2:21" x14ac:dyDescent="0.2">
      <c r="B7" s="493"/>
      <c r="C7" s="493"/>
      <c r="D7" s="493" t="s">
        <v>498</v>
      </c>
      <c r="E7" s="493"/>
      <c r="F7" s="493"/>
      <c r="G7" s="493"/>
      <c r="H7" s="493"/>
      <c r="I7" s="493"/>
      <c r="J7" s="493" t="s">
        <v>499</v>
      </c>
      <c r="K7" s="493"/>
      <c r="L7" s="493"/>
    </row>
    <row r="8" spans="2:21" x14ac:dyDescent="0.2">
      <c r="B8" s="493"/>
      <c r="C8" s="493"/>
      <c r="D8" s="493"/>
      <c r="E8" s="493"/>
      <c r="F8" s="493"/>
      <c r="G8" s="493"/>
      <c r="H8" s="493"/>
      <c r="I8" s="493"/>
      <c r="J8" s="493"/>
      <c r="K8" s="493"/>
      <c r="L8" s="493"/>
    </row>
    <row r="9" spans="2:21" x14ac:dyDescent="0.2">
      <c r="B9" s="493"/>
      <c r="C9" s="493"/>
      <c r="D9" s="494">
        <v>42559</v>
      </c>
      <c r="E9" s="495">
        <v>-0.43268511829158779</v>
      </c>
      <c r="F9" s="496">
        <v>16.821800198426082</v>
      </c>
      <c r="G9" s="493"/>
      <c r="H9" s="493"/>
      <c r="I9" s="493"/>
      <c r="J9" s="493"/>
      <c r="K9" s="493"/>
      <c r="L9" s="493"/>
      <c r="U9" s="46"/>
    </row>
    <row r="10" spans="2:21" x14ac:dyDescent="0.2">
      <c r="B10" s="493"/>
      <c r="C10" s="493"/>
      <c r="D10" s="494">
        <v>42562</v>
      </c>
      <c r="E10" s="495">
        <v>-0.43088637096754656</v>
      </c>
      <c r="F10" s="496">
        <v>16.821800198426082</v>
      </c>
      <c r="G10" s="493"/>
      <c r="H10" s="493"/>
      <c r="I10" s="493"/>
      <c r="J10" s="493"/>
      <c r="K10" s="493"/>
      <c r="L10" s="493"/>
    </row>
    <row r="11" spans="2:21" x14ac:dyDescent="0.2">
      <c r="B11" s="493"/>
      <c r="C11" s="493" t="s">
        <v>474</v>
      </c>
      <c r="D11" s="494">
        <v>42562</v>
      </c>
      <c r="E11" s="495">
        <v>-0.43108635784154625</v>
      </c>
      <c r="F11" s="496">
        <v>16.821800198426082</v>
      </c>
      <c r="G11" s="493"/>
      <c r="H11" s="493"/>
      <c r="I11" s="493"/>
      <c r="J11" s="493"/>
      <c r="K11" s="493"/>
      <c r="L11" s="493"/>
    </row>
    <row r="12" spans="2:21" x14ac:dyDescent="0.2">
      <c r="B12" s="493"/>
      <c r="C12" s="493"/>
      <c r="D12" s="494">
        <v>42564</v>
      </c>
      <c r="E12" s="495">
        <v>-0.43468385248962865</v>
      </c>
      <c r="F12" s="496">
        <v>16.821800198426082</v>
      </c>
      <c r="G12" s="493"/>
      <c r="H12" s="493"/>
      <c r="I12" s="493"/>
      <c r="J12" s="493"/>
      <c r="K12" s="493"/>
      <c r="L12" s="493"/>
      <c r="R12" s="398" t="s">
        <v>479</v>
      </c>
      <c r="S12" s="398" t="s">
        <v>480</v>
      </c>
      <c r="T12" s="398" t="s">
        <v>481</v>
      </c>
      <c r="U12" s="398" t="s">
        <v>506</v>
      </c>
    </row>
    <row r="13" spans="2:21" x14ac:dyDescent="0.2">
      <c r="B13" s="493"/>
      <c r="C13" s="493" t="s">
        <v>475</v>
      </c>
      <c r="D13" s="494">
        <v>42564</v>
      </c>
      <c r="E13" s="495">
        <v>-0.43448386561562902</v>
      </c>
      <c r="F13" s="496">
        <v>16.821800198426082</v>
      </c>
      <c r="G13" s="493"/>
      <c r="H13" s="493"/>
      <c r="I13" s="493"/>
      <c r="J13" s="493"/>
      <c r="K13" s="493"/>
      <c r="L13" s="493"/>
      <c r="R13" s="5">
        <v>5</v>
      </c>
      <c r="S13" s="5">
        <v>5</v>
      </c>
      <c r="T13" s="5">
        <f>R13/S13</f>
        <v>1</v>
      </c>
      <c r="U13" s="5">
        <f>T13/S13</f>
        <v>0.2</v>
      </c>
    </row>
    <row r="14" spans="2:21" x14ac:dyDescent="0.2">
      <c r="B14" s="493"/>
      <c r="C14" s="493" t="s">
        <v>476</v>
      </c>
      <c r="D14" s="494">
        <v>42565</v>
      </c>
      <c r="E14" s="495">
        <v>-0.43268511829158779</v>
      </c>
      <c r="F14" s="496">
        <v>16.821800198426082</v>
      </c>
      <c r="G14" s="493"/>
      <c r="H14" s="493"/>
      <c r="I14" s="493"/>
      <c r="J14" s="494">
        <v>42562</v>
      </c>
      <c r="K14" s="536">
        <v>-0.13035888256634359</v>
      </c>
      <c r="L14" s="496">
        <v>6.5215597687324305</v>
      </c>
      <c r="R14" s="5">
        <v>4</v>
      </c>
      <c r="S14" s="5">
        <v>5</v>
      </c>
      <c r="T14" s="5">
        <f>R14/S14</f>
        <v>0.8</v>
      </c>
      <c r="U14" s="5">
        <f>T14/S14</f>
        <v>0.16</v>
      </c>
    </row>
    <row r="15" spans="2:21" x14ac:dyDescent="0.2">
      <c r="B15" s="513" t="s">
        <v>495</v>
      </c>
      <c r="C15" s="514"/>
      <c r="D15" s="515">
        <f>'5 A data'!B99</f>
        <v>42566</v>
      </c>
      <c r="E15" s="516">
        <f>'5 A Tables'!E11</f>
        <v>-0.46968565514325344</v>
      </c>
      <c r="F15" s="517">
        <f>'5 A Tables'!L11</f>
        <v>18.021533281663817</v>
      </c>
      <c r="G15" s="516">
        <f>'5 A Tables'!G11</f>
        <v>4.4251597422074705E-2</v>
      </c>
      <c r="H15" s="516">
        <f>'5 A Tables'!H11</f>
        <v>4.6357750802571172E-2</v>
      </c>
      <c r="I15" s="514"/>
      <c r="J15" s="515">
        <f>'5 A data'!B189</f>
        <v>42569</v>
      </c>
      <c r="K15" s="537">
        <f>'5 A Tables'!E111</f>
        <v>-0.19086223451654855</v>
      </c>
      <c r="L15" s="517">
        <f>'5 A Tables'!L111</f>
        <v>9.1110113578323428</v>
      </c>
      <c r="M15" s="4">
        <f>'5 A Tables'!G111</f>
        <v>9.3982633041804989E-3</v>
      </c>
      <c r="N15" s="4">
        <f>'5 A Tables'!H111</f>
        <v>1.3765493087058555E-2</v>
      </c>
      <c r="R15" s="5">
        <v>2</v>
      </c>
      <c r="S15" s="5">
        <v>5</v>
      </c>
      <c r="T15" s="5">
        <f>R15/S15</f>
        <v>0.4</v>
      </c>
      <c r="U15" s="5">
        <f>T15/S15</f>
        <v>0.08</v>
      </c>
    </row>
    <row r="16" spans="2:21" x14ac:dyDescent="0.2">
      <c r="B16" s="514"/>
      <c r="C16" s="514"/>
      <c r="D16" s="515">
        <f>'5 A data'!B117</f>
        <v>42569</v>
      </c>
      <c r="E16" s="516">
        <f>'5 A Tables'!E31</f>
        <v>-0.46968565514325344</v>
      </c>
      <c r="F16" s="517">
        <f>'5 A Tables'!L31</f>
        <v>18.121651505527097</v>
      </c>
      <c r="G16" s="516">
        <f>'5 A Tables'!G31</f>
        <v>4.4251819465193937E-2</v>
      </c>
      <c r="H16" s="516">
        <f>'5 A Tables'!H31</f>
        <v>4.7007676288047015E-2</v>
      </c>
      <c r="I16" s="514"/>
      <c r="J16" s="514"/>
      <c r="K16" s="537"/>
      <c r="L16" s="514"/>
      <c r="N16" s="4"/>
      <c r="R16" s="5">
        <v>1</v>
      </c>
      <c r="S16" s="5">
        <v>5</v>
      </c>
      <c r="T16" s="5">
        <f>R16/S16</f>
        <v>0.2</v>
      </c>
      <c r="U16" s="5">
        <f>T16/S16</f>
        <v>0.04</v>
      </c>
    </row>
    <row r="17" spans="2:23" x14ac:dyDescent="0.2">
      <c r="B17" s="514"/>
      <c r="C17" s="514"/>
      <c r="D17" s="515">
        <f>'5 A data'!B225</f>
        <v>42572</v>
      </c>
      <c r="E17" s="516">
        <f>'5 A Tables'!E151</f>
        <v>-0.46968565514325344</v>
      </c>
      <c r="F17" s="517">
        <f>'5 A Tables'!L151</f>
        <v>18.22176972939037</v>
      </c>
      <c r="G17" s="516">
        <f>'5 A Tables'!G151</f>
        <v>4.4378706411777283E-2</v>
      </c>
      <c r="H17" s="516">
        <f>'5 A Tables'!H151</f>
        <v>4.7685951033497286E-2</v>
      </c>
      <c r="I17" s="514"/>
      <c r="J17" s="514"/>
      <c r="K17" s="537"/>
      <c r="L17" s="514"/>
      <c r="N17" s="4"/>
      <c r="R17" s="5">
        <v>1.25</v>
      </c>
      <c r="S17" s="5">
        <v>5</v>
      </c>
      <c r="T17" s="5">
        <f>R17/S17</f>
        <v>0.25</v>
      </c>
      <c r="U17" s="5">
        <f>T17/S17</f>
        <v>0.05</v>
      </c>
      <c r="W17" s="46" t="s">
        <v>482</v>
      </c>
    </row>
    <row r="18" spans="2:23" x14ac:dyDescent="0.2">
      <c r="B18" s="514"/>
      <c r="C18" s="514"/>
      <c r="D18" s="515">
        <f>'5 A data'!B261</f>
        <v>42592</v>
      </c>
      <c r="E18" s="516">
        <f>'5 A Tables'!E171</f>
        <v>-0.47368312353933523</v>
      </c>
      <c r="F18" s="517">
        <f>'5 A Tables'!L171</f>
        <v>18.021533281663817</v>
      </c>
      <c r="G18" s="516">
        <f>'5 A Tables'!G171</f>
        <v>4.4885775415878702E-2</v>
      </c>
      <c r="H18" s="516">
        <f>'5 A Tables'!H171</f>
        <v>4.6196175172654799E-2</v>
      </c>
      <c r="I18" s="514"/>
      <c r="J18" s="515">
        <f>'5 A data'!B297</f>
        <v>42592</v>
      </c>
      <c r="K18" s="537">
        <f>'5 A Tables'!E191</f>
        <v>-0.19186160161556901</v>
      </c>
      <c r="L18" s="517">
        <f>'5 A Tables'!L191</f>
        <v>9.2611886936272558</v>
      </c>
      <c r="M18" s="4">
        <f>'5 A Tables'!G191</f>
        <v>9.6527634295321043E-3</v>
      </c>
      <c r="N18" s="4">
        <f>'5 A Tables'!H191</f>
        <v>1.4112269777874322E-2</v>
      </c>
    </row>
    <row r="19" spans="2:23" x14ac:dyDescent="0.2">
      <c r="B19" s="514"/>
      <c r="C19" s="514"/>
      <c r="D19" s="515">
        <f>'5 A data'!B315</f>
        <v>42598</v>
      </c>
      <c r="E19" s="516">
        <f>'5 A Tables'!E211</f>
        <v>-0.47768059193541701</v>
      </c>
      <c r="F19" s="517">
        <f>'5 A Tables'!L211</f>
        <v>18.22176972939037</v>
      </c>
      <c r="G19" s="516">
        <f>'5 A Tables'!G211</f>
        <v>4.5140528052207141E-2</v>
      </c>
      <c r="H19" s="516">
        <f>'5 A Tables'!H211</f>
        <v>4.7371306102458426E-2</v>
      </c>
      <c r="I19" s="514"/>
      <c r="J19" s="515"/>
      <c r="K19" s="537"/>
      <c r="L19" s="517"/>
      <c r="M19" s="4"/>
      <c r="N19" s="4"/>
    </row>
    <row r="20" spans="2:23" x14ac:dyDescent="0.2">
      <c r="B20" s="514"/>
      <c r="C20" s="514"/>
      <c r="D20" s="515">
        <f>'5 A data'!B333</f>
        <v>42599</v>
      </c>
      <c r="E20" s="516">
        <f>'5 A Tables'!E231</f>
        <v>-0.47768059193541701</v>
      </c>
      <c r="F20" s="517">
        <f>'5 A Tables'!L231</f>
        <v>18.22176972939037</v>
      </c>
      <c r="G20" s="516">
        <f>'5 A Tables'!G231</f>
        <v>4.5140528052207141E-2</v>
      </c>
      <c r="H20" s="516">
        <f>'5 A Tables'!H231</f>
        <v>4.6684197764031252E-2</v>
      </c>
      <c r="I20" s="514"/>
      <c r="J20" s="515"/>
      <c r="K20" s="537"/>
      <c r="L20" s="517"/>
      <c r="M20" s="4"/>
      <c r="N20" s="4"/>
    </row>
    <row r="21" spans="2:23" x14ac:dyDescent="0.2">
      <c r="B21" s="514"/>
      <c r="C21" s="514"/>
      <c r="D21" s="515">
        <f>'5 A data'!B387</f>
        <v>42611</v>
      </c>
      <c r="E21" s="516">
        <f>'5 A Tables'!E291</f>
        <v>-0.47568185773737615</v>
      </c>
      <c r="F21" s="517">
        <f>'5 A Tables'!L291</f>
        <v>18.021533281663817</v>
      </c>
      <c r="G21" s="516">
        <f>'5 A Tables'!G291</f>
        <v>4.5013788225144291E-2</v>
      </c>
      <c r="H21" s="516">
        <f>'5 A Tables'!H291</f>
        <v>4.6357750802571172E-2</v>
      </c>
      <c r="I21" s="514"/>
      <c r="J21" s="515">
        <f>'5 A data'!B405</f>
        <v>42611</v>
      </c>
      <c r="K21" s="537">
        <f>'5 A Tables'!E311</f>
        <v>-0.19186160161556901</v>
      </c>
      <c r="L21" s="517">
        <f>'5 A Tables'!L311</f>
        <v>9.3112478055588923</v>
      </c>
      <c r="M21" s="4">
        <f>'5 A Tables'!G311</f>
        <v>9.5172153410252071E-3</v>
      </c>
      <c r="N21" s="4">
        <f>'5 A Tables'!H311</f>
        <v>1.4610565974334537E-2</v>
      </c>
    </row>
    <row r="22" spans="2:23" x14ac:dyDescent="0.2">
      <c r="B22" s="514"/>
      <c r="C22" s="514"/>
      <c r="D22" s="515">
        <f>'5 A data'!B423</f>
        <v>42613</v>
      </c>
      <c r="E22" s="516">
        <f>'5 A Tables'!E331</f>
        <v>-0.47768059193541701</v>
      </c>
      <c r="F22" s="517">
        <f>'5 A Tables'!L331</f>
        <v>18.121651505527097</v>
      </c>
      <c r="G22" s="516">
        <f>'5 A Tables'!G331</f>
        <v>4.527213069549544E-2</v>
      </c>
      <c r="H22" s="516">
        <f>'5 A Tables'!H331</f>
        <v>4.6848107144958594E-2</v>
      </c>
      <c r="I22" s="514"/>
      <c r="J22" s="515">
        <f>'5 A data'!B441</f>
        <v>42613</v>
      </c>
      <c r="K22" s="537">
        <f>'5 A Tables'!E351</f>
        <v>-0.19286096871458946</v>
      </c>
      <c r="L22" s="517">
        <f>'5 A Tables'!L351</f>
        <v>9.3112478055588923</v>
      </c>
      <c r="M22" s="4">
        <f>'5 A Tables'!G351</f>
        <v>9.6536049474644173E-3</v>
      </c>
      <c r="N22" s="4">
        <f>'5 A Tables'!H351</f>
        <v>1.4478155306061178E-2</v>
      </c>
    </row>
    <row r="23" spans="2:23" x14ac:dyDescent="0.2">
      <c r="B23" s="514"/>
      <c r="C23" s="514"/>
      <c r="D23" s="515"/>
      <c r="E23" s="516"/>
      <c r="F23" s="517"/>
      <c r="G23" s="516"/>
      <c r="H23" s="516"/>
      <c r="I23" s="514"/>
      <c r="J23" s="514"/>
      <c r="K23" s="514"/>
      <c r="L23" s="51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71"/>
  <sheetViews>
    <sheetView zoomScale="75" workbookViewId="0">
      <selection activeCell="G5" sqref="G5"/>
    </sheetView>
  </sheetViews>
  <sheetFormatPr defaultRowHeight="12.75" x14ac:dyDescent="0.2"/>
  <cols>
    <col min="2" max="2" width="12.85546875" customWidth="1"/>
    <col min="3" max="3" width="12.42578125" bestFit="1" customWidth="1"/>
    <col min="6" max="6" width="10.7109375" customWidth="1"/>
    <col min="8" max="8" width="10.85546875" customWidth="1"/>
    <col min="10" max="10" width="10" customWidth="1"/>
  </cols>
  <sheetData>
    <row r="1" spans="1:14" x14ac:dyDescent="0.2">
      <c r="A1" s="68"/>
      <c r="B1" s="68"/>
    </row>
    <row r="2" spans="1:14" x14ac:dyDescent="0.2">
      <c r="B2" s="37" t="s">
        <v>48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1"/>
    </row>
    <row r="3" spans="1:14" x14ac:dyDescent="0.2">
      <c r="B3" s="6"/>
      <c r="C3" s="7"/>
      <c r="D3" s="7"/>
      <c r="E3" s="7"/>
      <c r="F3" s="7" t="s">
        <v>71</v>
      </c>
      <c r="G3" s="123">
        <v>0.05</v>
      </c>
      <c r="H3" s="7"/>
      <c r="I3" s="7"/>
      <c r="J3" s="7"/>
      <c r="K3" s="7"/>
      <c r="L3" s="7"/>
      <c r="M3" s="7"/>
      <c r="N3" s="36"/>
    </row>
    <row r="4" spans="1:14" x14ac:dyDescent="0.2">
      <c r="B4" s="73"/>
      <c r="C4" s="7"/>
      <c r="D4" s="7"/>
      <c r="E4" s="7"/>
      <c r="F4" s="7"/>
      <c r="G4" s="7"/>
      <c r="H4" s="7"/>
      <c r="I4" s="7"/>
      <c r="J4" s="7"/>
      <c r="K4" s="7"/>
      <c r="L4" s="7" t="s">
        <v>21</v>
      </c>
      <c r="M4" s="7"/>
      <c r="N4" s="36"/>
    </row>
    <row r="5" spans="1:14" x14ac:dyDescent="0.2">
      <c r="B5" s="6" t="s">
        <v>22</v>
      </c>
      <c r="C5" s="7">
        <v>1E-3</v>
      </c>
      <c r="D5" s="7" t="s">
        <v>14</v>
      </c>
      <c r="E5" s="7"/>
      <c r="F5" s="7" t="s">
        <v>69</v>
      </c>
      <c r="G5" s="124">
        <v>0.2</v>
      </c>
      <c r="H5" s="7"/>
      <c r="I5" s="7"/>
      <c r="J5" s="34"/>
      <c r="K5" s="7"/>
      <c r="L5" s="7" t="s">
        <v>23</v>
      </c>
      <c r="M5" s="7">
        <v>0</v>
      </c>
      <c r="N5" s="36"/>
    </row>
    <row r="6" spans="1:14" x14ac:dyDescent="0.2">
      <c r="B6" s="6" t="s">
        <v>314</v>
      </c>
      <c r="C6" s="34">
        <f>Arnold!K40</f>
        <v>1.7002259976496535E-3</v>
      </c>
      <c r="D6" s="80" t="s">
        <v>313</v>
      </c>
      <c r="E6" s="80"/>
      <c r="F6" s="80"/>
      <c r="G6" s="80"/>
      <c r="H6" s="7"/>
      <c r="I6" s="7"/>
      <c r="J6" s="7"/>
      <c r="K6" s="7"/>
      <c r="L6" s="7" t="s">
        <v>24</v>
      </c>
      <c r="M6" s="7">
        <v>0</v>
      </c>
      <c r="N6" s="36"/>
    </row>
    <row r="7" spans="1:14" x14ac:dyDescent="0.2">
      <c r="B7" s="6" t="s">
        <v>25</v>
      </c>
      <c r="C7" s="7">
        <v>5.0000000000000001E-3</v>
      </c>
      <c r="D7" s="7" t="s">
        <v>16</v>
      </c>
      <c r="E7" s="7"/>
      <c r="F7" s="7" t="s">
        <v>26</v>
      </c>
      <c r="G7" s="7">
        <v>5.0000000000000001E-4</v>
      </c>
      <c r="H7" s="7"/>
      <c r="I7" s="16" t="s">
        <v>27</v>
      </c>
      <c r="J7" s="7">
        <v>5.0000000000000001E-4</v>
      </c>
      <c r="K7" s="7"/>
      <c r="L7" s="7"/>
      <c r="M7" s="7"/>
      <c r="N7" s="36"/>
    </row>
    <row r="8" spans="1:14" x14ac:dyDescent="0.2">
      <c r="B8" s="6" t="s">
        <v>316</v>
      </c>
      <c r="C8" s="368">
        <f>MAX(Arnold!J67,Arnold!J83)</f>
        <v>7.7544809591271018E-5</v>
      </c>
      <c r="D8" s="7" t="s">
        <v>318</v>
      </c>
      <c r="E8" s="7"/>
      <c r="F8" s="7"/>
      <c r="G8" s="7"/>
      <c r="H8" s="7"/>
      <c r="I8" s="7"/>
      <c r="J8" s="7"/>
      <c r="K8" s="7"/>
      <c r="L8" s="7"/>
      <c r="M8" s="7"/>
      <c r="N8" s="36"/>
    </row>
    <row r="9" spans="1:14" x14ac:dyDescent="0.2">
      <c r="B9" s="92" t="s">
        <v>317</v>
      </c>
      <c r="C9" s="374">
        <f>MAX(Arnold!K67,Arnold!K83)</f>
        <v>3.27011023537572E-4</v>
      </c>
      <c r="D9" s="82" t="s">
        <v>551</v>
      </c>
      <c r="E9" s="38"/>
      <c r="F9" s="38"/>
      <c r="G9" s="38"/>
      <c r="H9" s="38"/>
      <c r="I9" s="38"/>
      <c r="J9" s="38"/>
      <c r="K9" s="38"/>
      <c r="L9" s="38"/>
      <c r="M9" s="38"/>
      <c r="N9" s="40"/>
    </row>
    <row r="12" spans="1:14" x14ac:dyDescent="0.2">
      <c r="B12" s="1" t="s">
        <v>328</v>
      </c>
    </row>
    <row r="14" spans="1:14" x14ac:dyDescent="0.2">
      <c r="B14" s="375" t="s">
        <v>330</v>
      </c>
      <c r="C14" s="375"/>
    </row>
    <row r="15" spans="1:14" x14ac:dyDescent="0.2">
      <c r="B15" t="s">
        <v>50</v>
      </c>
    </row>
    <row r="16" spans="1:14" x14ac:dyDescent="0.2">
      <c r="B16" t="s">
        <v>49</v>
      </c>
    </row>
    <row r="17" spans="2:11" x14ac:dyDescent="0.2">
      <c r="B17" t="s">
        <v>52</v>
      </c>
    </row>
    <row r="18" spans="2:11" x14ac:dyDescent="0.2">
      <c r="B18" s="376" t="s">
        <v>331</v>
      </c>
    </row>
    <row r="19" spans="2:11" x14ac:dyDescent="0.2">
      <c r="B19" t="s">
        <v>51</v>
      </c>
    </row>
    <row r="20" spans="2:11" x14ac:dyDescent="0.2">
      <c r="B20" t="s">
        <v>332</v>
      </c>
    </row>
    <row r="21" spans="2:11" x14ac:dyDescent="0.2">
      <c r="B21" s="376" t="s">
        <v>333</v>
      </c>
    </row>
    <row r="22" spans="2:11" x14ac:dyDescent="0.2">
      <c r="B22" t="s">
        <v>334</v>
      </c>
    </row>
    <row r="23" spans="2:11" x14ac:dyDescent="0.2">
      <c r="B23" s="376" t="s">
        <v>335</v>
      </c>
    </row>
    <row r="24" spans="2:11" x14ac:dyDescent="0.2">
      <c r="B24" t="s">
        <v>336</v>
      </c>
    </row>
    <row r="25" spans="2:11" x14ac:dyDescent="0.2">
      <c r="B25" s="376" t="s">
        <v>337</v>
      </c>
    </row>
    <row r="26" spans="2:11" x14ac:dyDescent="0.2">
      <c r="B26" t="s">
        <v>336</v>
      </c>
    </row>
    <row r="28" spans="2:11" x14ac:dyDescent="0.2">
      <c r="B28" s="1" t="s">
        <v>53</v>
      </c>
    </row>
    <row r="29" spans="2:11" x14ac:dyDescent="0.2">
      <c r="B29" t="s">
        <v>100</v>
      </c>
    </row>
    <row r="30" spans="2:11" x14ac:dyDescent="0.2">
      <c r="B30" t="s">
        <v>104</v>
      </c>
      <c r="K30" s="401">
        <v>2</v>
      </c>
    </row>
    <row r="31" spans="2:11" x14ac:dyDescent="0.2">
      <c r="B31" t="s">
        <v>105</v>
      </c>
      <c r="J31" s="44" t="s">
        <v>106</v>
      </c>
      <c r="K31" s="45">
        <f>0.5/(0.2)^2</f>
        <v>12.499999999999998</v>
      </c>
    </row>
    <row r="33" spans="2:16" x14ac:dyDescent="0.2">
      <c r="B33" s="1" t="s">
        <v>55</v>
      </c>
    </row>
    <row r="34" spans="2:16" x14ac:dyDescent="0.2">
      <c r="B34" s="43" t="s">
        <v>54</v>
      </c>
      <c r="C34" s="10" t="s">
        <v>14</v>
      </c>
      <c r="D34" s="11" t="s">
        <v>45</v>
      </c>
    </row>
    <row r="35" spans="2:16" x14ac:dyDescent="0.2">
      <c r="B35" s="90">
        <v>5</v>
      </c>
      <c r="C35" s="402">
        <f>'5 A data'!W58/$K$30</f>
        <v>5.0000000000000044E-3</v>
      </c>
      <c r="D35" s="403">
        <f>'5 A data'!X58/$K$30</f>
        <v>-1.1635528346628732E-2</v>
      </c>
      <c r="E35" s="68"/>
      <c r="F35" s="68"/>
      <c r="G35" s="68"/>
      <c r="H35" s="4"/>
      <c r="I35" s="4"/>
      <c r="K35" s="4"/>
      <c r="L35" s="4"/>
      <c r="O35" s="4"/>
      <c r="P35" s="4"/>
    </row>
    <row r="36" spans="2:16" x14ac:dyDescent="0.2">
      <c r="B36" s="91">
        <v>10</v>
      </c>
      <c r="C36" s="404">
        <f>'5 A data'!W59/$K$30</f>
        <v>2.5000000000000022E-3</v>
      </c>
      <c r="D36" s="405">
        <f>'5 A data'!X59/$K$30</f>
        <v>4.363323129985941E-3</v>
      </c>
      <c r="E36" s="68"/>
      <c r="F36" s="68"/>
      <c r="G36" s="68"/>
      <c r="H36" s="4"/>
      <c r="I36" s="4"/>
      <c r="K36" s="4"/>
      <c r="L36" s="4"/>
      <c r="O36" s="4"/>
      <c r="P36" s="4"/>
    </row>
    <row r="37" spans="2:16" x14ac:dyDescent="0.2">
      <c r="B37" s="91">
        <v>20</v>
      </c>
      <c r="C37" s="404">
        <f>'5 A data'!W60/$K$30</f>
        <v>-1.0000000000000009E-3</v>
      </c>
      <c r="D37" s="405">
        <f>'5 A data'!X60/$K$30</f>
        <v>-1.454441043328647E-3</v>
      </c>
      <c r="E37" s="68"/>
      <c r="F37" s="68"/>
      <c r="G37" s="68"/>
      <c r="H37" s="4"/>
      <c r="I37" s="4"/>
      <c r="K37" s="4"/>
      <c r="L37" s="4"/>
      <c r="O37" s="4"/>
      <c r="P37" s="4"/>
    </row>
    <row r="38" spans="2:16" x14ac:dyDescent="0.2">
      <c r="B38" s="91">
        <v>40</v>
      </c>
      <c r="C38" s="404">
        <f>'5 A data'!W61/$K$30</f>
        <v>-1.0000000000000009E-3</v>
      </c>
      <c r="D38" s="405">
        <f>'5 A data'!X61/$K$30</f>
        <v>-2.908882086657183E-3</v>
      </c>
      <c r="E38" s="68"/>
      <c r="F38" s="68"/>
      <c r="G38" s="68"/>
      <c r="H38" s="4"/>
      <c r="I38" s="4"/>
      <c r="K38" s="4"/>
      <c r="L38" s="4"/>
      <c r="O38" s="4"/>
      <c r="P38" s="4"/>
    </row>
    <row r="39" spans="2:16" x14ac:dyDescent="0.2">
      <c r="B39" s="91">
        <v>60</v>
      </c>
      <c r="C39" s="404">
        <f>'5 A data'!W62/$K$30</f>
        <v>-1.0000000000000009E-3</v>
      </c>
      <c r="D39" s="405">
        <f>'5 A data'!X62/$K$30</f>
        <v>-2.908882086657183E-3</v>
      </c>
      <c r="E39" s="68"/>
      <c r="F39" s="68"/>
      <c r="G39" s="68"/>
      <c r="L39" s="4"/>
      <c r="O39" s="4"/>
      <c r="P39" s="4"/>
    </row>
    <row r="40" spans="2:16" x14ac:dyDescent="0.2">
      <c r="B40" s="91">
        <v>100</v>
      </c>
      <c r="C40" s="404">
        <f>'5 A data'!W63/$K$30</f>
        <v>1.999999999999974E-3</v>
      </c>
      <c r="D40" s="405">
        <f>'5 A data'!X63/$K$30</f>
        <v>-2.9088820866572385E-3</v>
      </c>
      <c r="E40" s="68"/>
      <c r="F40" s="68"/>
      <c r="G40" s="68"/>
      <c r="K40" s="4"/>
      <c r="L40" s="4"/>
      <c r="O40" s="4"/>
      <c r="P40" s="4"/>
    </row>
    <row r="41" spans="2:16" x14ac:dyDescent="0.2">
      <c r="B41" s="92">
        <v>120</v>
      </c>
      <c r="C41" s="406">
        <f>'5 A data'!W64/$K$30</f>
        <v>-1.0000000000000009E-3</v>
      </c>
      <c r="D41" s="407">
        <f>'5 A data'!X64/$K$30</f>
        <v>1.4544410433285915E-3</v>
      </c>
      <c r="E41" s="68"/>
      <c r="F41" s="68"/>
      <c r="G41" s="68"/>
      <c r="H41" s="4"/>
      <c r="I41" s="4"/>
      <c r="K41" s="4"/>
      <c r="L41" s="4"/>
      <c r="O41" s="4"/>
      <c r="P41" s="4"/>
    </row>
    <row r="42" spans="2:16" x14ac:dyDescent="0.2">
      <c r="B42" s="41"/>
      <c r="C42" s="4"/>
      <c r="D42" s="4"/>
      <c r="H42" s="4"/>
      <c r="I42" s="4"/>
      <c r="K42" s="4"/>
      <c r="L42" s="4"/>
      <c r="O42" s="4"/>
      <c r="P42" s="4"/>
    </row>
    <row r="43" spans="2:16" x14ac:dyDescent="0.2">
      <c r="B43" s="1" t="s">
        <v>56</v>
      </c>
    </row>
    <row r="45" spans="2:16" x14ac:dyDescent="0.2">
      <c r="B45" t="s">
        <v>73</v>
      </c>
    </row>
    <row r="46" spans="2:16" x14ac:dyDescent="0.2">
      <c r="B46" t="s">
        <v>72</v>
      </c>
    </row>
    <row r="47" spans="2:16" x14ac:dyDescent="0.2">
      <c r="B47" t="s">
        <v>74</v>
      </c>
    </row>
    <row r="51" spans="2:10" x14ac:dyDescent="0.2">
      <c r="B51" s="1" t="s">
        <v>58</v>
      </c>
    </row>
    <row r="52" spans="2:10" x14ac:dyDescent="0.2">
      <c r="B52" s="46" t="s">
        <v>65</v>
      </c>
    </row>
    <row r="53" spans="2:10" x14ac:dyDescent="0.2">
      <c r="B53" t="s">
        <v>68</v>
      </c>
    </row>
    <row r="54" spans="2:10" x14ac:dyDescent="0.2">
      <c r="C54" t="s">
        <v>60</v>
      </c>
      <c r="E54" t="s">
        <v>61</v>
      </c>
      <c r="H54" t="s">
        <v>62</v>
      </c>
    </row>
    <row r="55" spans="2:10" x14ac:dyDescent="0.2">
      <c r="C55" t="s">
        <v>14</v>
      </c>
      <c r="D55" t="s">
        <v>59</v>
      </c>
      <c r="E55" t="s">
        <v>14</v>
      </c>
      <c r="F55" t="s">
        <v>59</v>
      </c>
      <c r="G55" t="s">
        <v>63</v>
      </c>
      <c r="H55" t="s">
        <v>14</v>
      </c>
      <c r="I55" t="s">
        <v>59</v>
      </c>
      <c r="J55" t="s">
        <v>45</v>
      </c>
    </row>
    <row r="56" spans="2:10" x14ac:dyDescent="0.2">
      <c r="B56">
        <v>5</v>
      </c>
      <c r="C56">
        <v>-0.29799999999999999</v>
      </c>
      <c r="D56">
        <v>15</v>
      </c>
      <c r="E56">
        <v>0.29199999999999998</v>
      </c>
      <c r="F56">
        <v>-14.5</v>
      </c>
      <c r="G56">
        <v>0.02</v>
      </c>
      <c r="H56" s="42">
        <f>0.5*(C56+E56)*G56</f>
        <v>-6.0000000000000056E-5</v>
      </c>
      <c r="I56">
        <f>0.5*(D56+F56)*G56</f>
        <v>5.0000000000000001E-3</v>
      </c>
      <c r="J56" s="42">
        <f>100*RADIANS(I56/60)</f>
        <v>1.4544410433286079E-4</v>
      </c>
    </row>
    <row r="57" spans="2:10" x14ac:dyDescent="0.2">
      <c r="B57">
        <v>10</v>
      </c>
      <c r="C57">
        <v>-0.27200000000000002</v>
      </c>
      <c r="D57">
        <v>11.9</v>
      </c>
      <c r="E57">
        <v>0.27</v>
      </c>
      <c r="F57">
        <v>-11.5</v>
      </c>
      <c r="G57">
        <v>0.02</v>
      </c>
      <c r="H57">
        <f t="shared" ref="H57:H62" si="0">0.5*(C57+E57)*G57</f>
        <v>-2.0000000000000019E-5</v>
      </c>
      <c r="I57">
        <f t="shared" ref="I57:I62" si="1">0.5*(D57+F57)*G57</f>
        <v>4.0000000000000036E-3</v>
      </c>
      <c r="J57" s="42">
        <f t="shared" ref="J57:J62" si="2">100*RADIANS(I57/60)</f>
        <v>1.1635528346628874E-4</v>
      </c>
    </row>
    <row r="58" spans="2:10" x14ac:dyDescent="0.2">
      <c r="B58">
        <v>20</v>
      </c>
      <c r="C58">
        <v>-0.26</v>
      </c>
      <c r="D58">
        <v>8.4</v>
      </c>
      <c r="E58">
        <v>0.25900000000000001</v>
      </c>
      <c r="F58">
        <v>-8.1999999999999993</v>
      </c>
      <c r="G58">
        <v>0.02</v>
      </c>
      <c r="H58">
        <f t="shared" si="0"/>
        <v>-1.0000000000000009E-5</v>
      </c>
      <c r="I58">
        <f t="shared" si="1"/>
        <v>2.0000000000000109E-3</v>
      </c>
      <c r="J58" s="42">
        <f t="shared" si="2"/>
        <v>5.817764173314464E-5</v>
      </c>
    </row>
    <row r="59" spans="2:10" x14ac:dyDescent="0.2">
      <c r="B59">
        <v>40</v>
      </c>
      <c r="C59">
        <v>-0.26200000000000001</v>
      </c>
      <c r="D59">
        <v>5.0999999999999996</v>
      </c>
      <c r="E59">
        <v>0.26200000000000001</v>
      </c>
      <c r="F59">
        <v>-4.5999999999999996</v>
      </c>
      <c r="G59">
        <v>0.02</v>
      </c>
      <c r="H59">
        <f t="shared" si="0"/>
        <v>0</v>
      </c>
      <c r="I59">
        <f t="shared" si="1"/>
        <v>5.0000000000000001E-3</v>
      </c>
      <c r="J59" s="42">
        <f t="shared" si="2"/>
        <v>1.4544410433286079E-4</v>
      </c>
    </row>
    <row r="60" spans="2:10" x14ac:dyDescent="0.2">
      <c r="B60">
        <v>60</v>
      </c>
      <c r="C60">
        <v>-0.26600000000000001</v>
      </c>
      <c r="D60">
        <v>2.8</v>
      </c>
      <c r="E60">
        <v>0.26500000000000001</v>
      </c>
      <c r="F60">
        <v>-2.4</v>
      </c>
      <c r="G60">
        <v>0.02</v>
      </c>
      <c r="H60">
        <f t="shared" si="0"/>
        <v>-1.0000000000000009E-5</v>
      </c>
      <c r="I60">
        <f t="shared" si="1"/>
        <v>3.9999999999999992E-3</v>
      </c>
      <c r="J60" s="42">
        <f t="shared" si="2"/>
        <v>1.1635528346628863E-4</v>
      </c>
    </row>
    <row r="61" spans="2:10" x14ac:dyDescent="0.2">
      <c r="B61">
        <v>100</v>
      </c>
      <c r="C61">
        <v>-0.26</v>
      </c>
      <c r="D61">
        <v>0</v>
      </c>
      <c r="E61">
        <v>0.25900000000000001</v>
      </c>
      <c r="F61">
        <v>0.6</v>
      </c>
      <c r="G61">
        <v>0.02</v>
      </c>
      <c r="H61">
        <f t="shared" si="0"/>
        <v>-1.0000000000000009E-5</v>
      </c>
      <c r="I61">
        <f t="shared" si="1"/>
        <v>6.0000000000000001E-3</v>
      </c>
      <c r="J61" s="42">
        <f t="shared" si="2"/>
        <v>1.7453292519943296E-4</v>
      </c>
    </row>
    <row r="62" spans="2:10" x14ac:dyDescent="0.2">
      <c r="B62">
        <v>120</v>
      </c>
      <c r="C62">
        <v>-0.25600000000000001</v>
      </c>
      <c r="D62">
        <v>-1.2</v>
      </c>
      <c r="E62">
        <v>0.255</v>
      </c>
      <c r="F62">
        <v>1.65</v>
      </c>
      <c r="G62">
        <v>0.02</v>
      </c>
      <c r="H62">
        <f t="shared" si="0"/>
        <v>-1.0000000000000009E-5</v>
      </c>
      <c r="I62">
        <f t="shared" si="1"/>
        <v>4.4999999999999997E-3</v>
      </c>
      <c r="J62" s="42">
        <f t="shared" si="2"/>
        <v>1.308996938995747E-4</v>
      </c>
    </row>
    <row r="63" spans="2:10" x14ac:dyDescent="0.2">
      <c r="G63" t="s">
        <v>64</v>
      </c>
      <c r="H63" s="42">
        <f>AVERAGE(H56:H62)</f>
        <v>-1.7142857142857162E-5</v>
      </c>
      <c r="J63" s="42">
        <f>AVERAGE(J56:J62)</f>
        <v>1.2674414806149303E-4</v>
      </c>
    </row>
    <row r="64" spans="2:10" x14ac:dyDescent="0.2">
      <c r="H64" s="46" t="s">
        <v>67</v>
      </c>
    </row>
    <row r="65" spans="1:14" x14ac:dyDescent="0.2">
      <c r="B65" t="s">
        <v>66</v>
      </c>
    </row>
    <row r="66" spans="1:14" x14ac:dyDescent="0.2">
      <c r="A66" s="158" t="s">
        <v>329</v>
      </c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</row>
    <row r="69" spans="1:14" x14ac:dyDescent="0.2">
      <c r="B69" s="1" t="s">
        <v>75</v>
      </c>
    </row>
    <row r="70" spans="1:14" x14ac:dyDescent="0.2">
      <c r="B70" t="s">
        <v>76</v>
      </c>
    </row>
    <row r="71" spans="1:14" x14ac:dyDescent="0.2">
      <c r="B71" t="s">
        <v>77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4"/>
  <sheetViews>
    <sheetView topLeftCell="A37" workbookViewId="0">
      <selection activeCell="E58" sqref="E58"/>
    </sheetView>
  </sheetViews>
  <sheetFormatPr defaultRowHeight="12.75" x14ac:dyDescent="0.2"/>
  <cols>
    <col min="1" max="1" width="14.42578125" customWidth="1"/>
    <col min="2" max="2" width="10.140625" bestFit="1" customWidth="1"/>
    <col min="4" max="4" width="14" customWidth="1"/>
    <col min="7" max="7" width="12.7109375" customWidth="1"/>
    <col min="11" max="11" width="10.42578125" customWidth="1"/>
    <col min="12" max="12" width="11" customWidth="1"/>
    <col min="14" max="14" width="11" customWidth="1"/>
    <col min="16" max="16" width="10.28515625" customWidth="1"/>
    <col min="19" max="19" width="10.28515625" customWidth="1"/>
  </cols>
  <sheetData>
    <row r="1" spans="1:22" x14ac:dyDescent="0.2">
      <c r="B1" s="408">
        <v>41352</v>
      </c>
      <c r="C1" s="409"/>
      <c r="D1" s="409"/>
      <c r="E1" s="409"/>
      <c r="F1" s="409"/>
      <c r="G1" s="409"/>
      <c r="H1" s="409"/>
      <c r="I1" s="409"/>
      <c r="J1" s="409"/>
      <c r="K1" s="409"/>
      <c r="L1" s="409"/>
      <c r="N1" s="289">
        <v>39409</v>
      </c>
    </row>
    <row r="2" spans="1:22" x14ac:dyDescent="0.2">
      <c r="B2" s="410" t="s">
        <v>421</v>
      </c>
      <c r="C2" s="409"/>
      <c r="D2" s="409"/>
      <c r="E2" s="409"/>
      <c r="F2" s="409"/>
      <c r="G2" s="409"/>
      <c r="H2" s="409"/>
      <c r="I2" s="409"/>
      <c r="J2" s="409"/>
      <c r="K2" s="409"/>
      <c r="L2" s="409"/>
      <c r="N2" s="1" t="s">
        <v>267</v>
      </c>
    </row>
    <row r="3" spans="1:22" x14ac:dyDescent="0.2">
      <c r="B3" s="410" t="s">
        <v>422</v>
      </c>
      <c r="C3" s="409"/>
      <c r="D3" s="409"/>
      <c r="E3" s="409"/>
      <c r="F3" s="409"/>
      <c r="G3" s="409"/>
      <c r="H3" s="409"/>
      <c r="I3" s="409"/>
      <c r="J3" s="409"/>
      <c r="K3" s="409"/>
      <c r="L3" s="409"/>
      <c r="N3" s="1" t="s">
        <v>268</v>
      </c>
    </row>
    <row r="4" spans="1:22" ht="13.5" thickBot="1" x14ac:dyDescent="0.25">
      <c r="B4" s="409"/>
      <c r="C4" s="409"/>
      <c r="D4" s="409"/>
      <c r="E4" s="409"/>
      <c r="F4" s="409"/>
      <c r="G4" s="409"/>
      <c r="H4" s="409"/>
      <c r="I4" s="409"/>
      <c r="J4" s="409"/>
      <c r="K4" s="409"/>
      <c r="L4" s="409"/>
    </row>
    <row r="5" spans="1:22" x14ac:dyDescent="0.2">
      <c r="B5" s="411" t="s">
        <v>245</v>
      </c>
      <c r="C5" s="412"/>
      <c r="D5" s="412"/>
      <c r="E5" s="412"/>
      <c r="F5" s="412"/>
      <c r="G5" s="412"/>
      <c r="H5" s="412"/>
      <c r="I5" s="412"/>
      <c r="J5" s="413"/>
      <c r="K5" s="409"/>
      <c r="L5" s="409"/>
      <c r="N5" s="262" t="s">
        <v>245</v>
      </c>
      <c r="O5" s="263"/>
      <c r="P5" s="263"/>
      <c r="Q5" s="263"/>
      <c r="R5" s="263"/>
      <c r="S5" s="263"/>
      <c r="T5" s="263"/>
      <c r="U5" s="263"/>
      <c r="V5" s="264"/>
    </row>
    <row r="6" spans="1:22" x14ac:dyDescent="0.2">
      <c r="B6" s="414" t="s">
        <v>246</v>
      </c>
      <c r="C6" s="415"/>
      <c r="D6" s="415"/>
      <c r="E6" s="415"/>
      <c r="F6" s="415"/>
      <c r="G6" s="415"/>
      <c r="H6" s="415"/>
      <c r="I6" s="415"/>
      <c r="J6" s="416"/>
      <c r="K6" s="409"/>
      <c r="L6" s="409"/>
      <c r="N6" s="265" t="s">
        <v>246</v>
      </c>
      <c r="O6" s="7"/>
      <c r="P6" s="7"/>
      <c r="Q6" s="7"/>
      <c r="R6" s="7"/>
      <c r="S6" s="7"/>
      <c r="T6" s="7"/>
      <c r="U6" s="7"/>
      <c r="V6" s="266"/>
    </row>
    <row r="7" spans="1:22" x14ac:dyDescent="0.2">
      <c r="B7" s="417"/>
      <c r="C7" s="418"/>
      <c r="D7" s="418"/>
      <c r="E7" s="418"/>
      <c r="F7" s="418"/>
      <c r="G7" s="418"/>
      <c r="H7" s="418"/>
      <c r="I7" s="418"/>
      <c r="J7" s="419"/>
      <c r="K7" s="409"/>
      <c r="L7" s="409"/>
      <c r="N7" s="255"/>
      <c r="O7" s="38"/>
      <c r="P7" s="38"/>
      <c r="Q7" s="38"/>
      <c r="R7" s="38"/>
      <c r="S7" s="38"/>
      <c r="T7" s="38"/>
      <c r="U7" s="38"/>
      <c r="V7" s="256"/>
    </row>
    <row r="8" spans="1:22" ht="29.25" customHeight="1" x14ac:dyDescent="0.2">
      <c r="B8" s="420" t="s">
        <v>247</v>
      </c>
      <c r="C8" s="652" t="s">
        <v>248</v>
      </c>
      <c r="D8" s="653"/>
      <c r="E8" s="654"/>
      <c r="F8" s="652" t="s">
        <v>249</v>
      </c>
      <c r="G8" s="653"/>
      <c r="H8" s="654"/>
      <c r="I8" s="652" t="s">
        <v>250</v>
      </c>
      <c r="J8" s="655"/>
      <c r="K8" s="409"/>
      <c r="L8" s="409"/>
      <c r="N8" s="257" t="s">
        <v>247</v>
      </c>
      <c r="O8" s="645" t="s">
        <v>248</v>
      </c>
      <c r="P8" s="656"/>
      <c r="Q8" s="646"/>
      <c r="R8" s="645" t="s">
        <v>249</v>
      </c>
      <c r="S8" s="656"/>
      <c r="T8" s="646"/>
      <c r="U8" s="645" t="s">
        <v>250</v>
      </c>
      <c r="V8" s="651"/>
    </row>
    <row r="9" spans="1:22" ht="51" x14ac:dyDescent="0.2">
      <c r="A9" s="2" t="s">
        <v>420</v>
      </c>
      <c r="B9" s="421" t="s">
        <v>251</v>
      </c>
      <c r="C9" s="422" t="s">
        <v>252</v>
      </c>
      <c r="D9" s="423" t="s">
        <v>253</v>
      </c>
      <c r="E9" s="424" t="s">
        <v>254</v>
      </c>
      <c r="F9" s="425" t="s">
        <v>255</v>
      </c>
      <c r="G9" s="426" t="s">
        <v>256</v>
      </c>
      <c r="H9" s="427" t="s">
        <v>254</v>
      </c>
      <c r="I9" s="426" t="s">
        <v>257</v>
      </c>
      <c r="J9" s="428" t="s">
        <v>258</v>
      </c>
      <c r="K9" s="409"/>
      <c r="L9" s="409"/>
      <c r="N9" s="258" t="s">
        <v>251</v>
      </c>
      <c r="O9" s="78" t="s">
        <v>252</v>
      </c>
      <c r="P9" s="15" t="s">
        <v>253</v>
      </c>
      <c r="Q9" s="259" t="s">
        <v>254</v>
      </c>
      <c r="R9" s="267" t="s">
        <v>255</v>
      </c>
      <c r="S9" s="268" t="s">
        <v>256</v>
      </c>
      <c r="T9" s="269" t="s">
        <v>254</v>
      </c>
      <c r="U9" s="268" t="s">
        <v>257</v>
      </c>
      <c r="V9" s="270" t="s">
        <v>258</v>
      </c>
    </row>
    <row r="10" spans="1:22" x14ac:dyDescent="0.2">
      <c r="A10" t="str">
        <f>"100/5"&amp;ROUND(B10,0)</f>
        <v>100/5120</v>
      </c>
      <c r="B10" s="429">
        <v>119.92134297999999</v>
      </c>
      <c r="C10" s="430">
        <v>0.20126165535041779</v>
      </c>
      <c r="D10" s="431">
        <v>1.2766894310575264E-2</v>
      </c>
      <c r="E10" s="432">
        <v>12.173132193972718</v>
      </c>
      <c r="F10" s="433">
        <v>0.18102636161788591</v>
      </c>
      <c r="G10" s="433">
        <v>1.0467477099078354E-2</v>
      </c>
      <c r="H10" s="432">
        <v>8.8251265473033751</v>
      </c>
      <c r="I10" s="433">
        <v>3.2786265184638536E-2</v>
      </c>
      <c r="J10" s="434">
        <v>1.9133546231955012E-2</v>
      </c>
      <c r="K10" s="409"/>
      <c r="L10" s="409"/>
      <c r="N10" s="271">
        <v>119.2789142</v>
      </c>
      <c r="O10" s="272">
        <v>0.18636193565663087</v>
      </c>
      <c r="P10" s="273">
        <v>1.269931215841958E-2</v>
      </c>
      <c r="Q10" s="274">
        <v>15.731361126682094</v>
      </c>
      <c r="R10" s="275">
        <v>0.16256752612189707</v>
      </c>
      <c r="S10" s="276">
        <v>9.4158317982308195E-3</v>
      </c>
      <c r="T10" s="274">
        <v>8.8365641277509219</v>
      </c>
      <c r="U10" s="275">
        <v>1.7886545490851613E-2</v>
      </c>
      <c r="V10" s="277">
        <v>6.7471073596617193E-4</v>
      </c>
    </row>
    <row r="11" spans="1:22" x14ac:dyDescent="0.2">
      <c r="A11" t="str">
        <f t="shared" ref="A11:A16" si="0">"100/5"&amp;ROUND(B11,0)</f>
        <v>100/5100</v>
      </c>
      <c r="B11" s="435">
        <v>100.12826708</v>
      </c>
      <c r="C11" s="436">
        <v>0.22128048997689495</v>
      </c>
      <c r="D11" s="433">
        <v>1.3546849067494931E-2</v>
      </c>
      <c r="E11" s="437">
        <v>10.756397034698242</v>
      </c>
      <c r="F11" s="433">
        <v>0.17953313928460707</v>
      </c>
      <c r="G11" s="433">
        <v>1.0267632645231395E-2</v>
      </c>
      <c r="H11" s="437">
        <v>8.4364098965200611</v>
      </c>
      <c r="I11" s="433">
        <v>3.2455024077032685E-2</v>
      </c>
      <c r="J11" s="434">
        <v>1.778274927863116E-2</v>
      </c>
      <c r="K11" s="409"/>
      <c r="L11" s="409"/>
      <c r="N11" s="278">
        <v>100.35614548000001</v>
      </c>
      <c r="O11" s="282">
        <v>0.20688727365950044</v>
      </c>
      <c r="P11" s="276">
        <v>1.2926330422008369E-2</v>
      </c>
      <c r="Q11" s="283">
        <v>11.523140437396391</v>
      </c>
      <c r="R11" s="275">
        <v>0.165146221197813</v>
      </c>
      <c r="S11" s="276">
        <v>9.5899254090069247E-3</v>
      </c>
      <c r="T11" s="283">
        <v>8.9227118572744022</v>
      </c>
      <c r="U11" s="275">
        <v>1.8061807759638171E-2</v>
      </c>
      <c r="V11" s="277">
        <v>3.3958311918370898E-3</v>
      </c>
    </row>
    <row r="12" spans="1:22" x14ac:dyDescent="0.2">
      <c r="A12" t="str">
        <f t="shared" si="0"/>
        <v>100/560</v>
      </c>
      <c r="B12" s="435">
        <v>60.003849412000001</v>
      </c>
      <c r="C12" s="436">
        <v>0.29400347632483392</v>
      </c>
      <c r="D12" s="433">
        <v>1.711188198348234E-2</v>
      </c>
      <c r="E12" s="437">
        <v>9.0199462307625531</v>
      </c>
      <c r="F12" s="433">
        <v>0.16541469617805926</v>
      </c>
      <c r="G12" s="433">
        <v>1.00058033038732E-2</v>
      </c>
      <c r="H12" s="437">
        <v>10.274536898846367</v>
      </c>
      <c r="I12" s="433">
        <v>4.5494995377368674E-2</v>
      </c>
      <c r="J12" s="434">
        <v>9.9112022339203631E-3</v>
      </c>
      <c r="K12" s="409"/>
      <c r="L12" s="409"/>
      <c r="N12" s="278">
        <v>59.881596995999999</v>
      </c>
      <c r="O12" s="282">
        <v>0.27748743353949917</v>
      </c>
      <c r="P12" s="276">
        <v>1.6354220370613643E-2</v>
      </c>
      <c r="Q12" s="283">
        <v>9.4445874345673317</v>
      </c>
      <c r="R12" s="275">
        <v>0.14925697234266666</v>
      </c>
      <c r="S12" s="276">
        <v>9.6672573798662117E-3</v>
      </c>
      <c r="T12" s="283">
        <v>13.185204570500515</v>
      </c>
      <c r="U12" s="275">
        <v>2.8978952592033924E-2</v>
      </c>
      <c r="V12" s="277">
        <v>-6.246521601472238E-3</v>
      </c>
    </row>
    <row r="13" spans="1:22" x14ac:dyDescent="0.2">
      <c r="A13" t="str">
        <f t="shared" si="0"/>
        <v>100/540</v>
      </c>
      <c r="B13" s="435">
        <v>40.068668876000004</v>
      </c>
      <c r="C13" s="436">
        <v>0.34251553607812396</v>
      </c>
      <c r="D13" s="433">
        <v>1.9774136538054859E-2</v>
      </c>
      <c r="E13" s="437">
        <v>8.7451624944821003</v>
      </c>
      <c r="F13" s="433">
        <v>0.16849323098037422</v>
      </c>
      <c r="G13" s="433">
        <v>1.0805079977628319E-2</v>
      </c>
      <c r="H13" s="437">
        <v>11.886085634802647</v>
      </c>
      <c r="I13" s="433">
        <v>5.2043138936169686E-2</v>
      </c>
      <c r="J13" s="434">
        <v>2.0660230186838213E-2</v>
      </c>
      <c r="K13" s="409"/>
      <c r="L13" s="409"/>
      <c r="N13" s="278">
        <v>39.95289416</v>
      </c>
      <c r="O13" s="282">
        <v>0.31794850411741338</v>
      </c>
      <c r="P13" s="276">
        <v>1.8816939014644641E-2</v>
      </c>
      <c r="Q13" s="283">
        <v>9.607611962223924</v>
      </c>
      <c r="R13" s="275">
        <v>0.14577999723061763</v>
      </c>
      <c r="S13" s="276">
        <v>9.8484097820177741E-3</v>
      </c>
      <c r="T13" s="283">
        <v>13.369270067580754</v>
      </c>
      <c r="U13" s="275">
        <v>2.7476106975459103E-2</v>
      </c>
      <c r="V13" s="277">
        <v>-2.0530035629183763E-3</v>
      </c>
    </row>
    <row r="14" spans="1:22" x14ac:dyDescent="0.2">
      <c r="A14" t="str">
        <f t="shared" si="0"/>
        <v>100/520</v>
      </c>
      <c r="B14" s="435">
        <v>20.073238814</v>
      </c>
      <c r="C14" s="436">
        <v>0.41300674578822555</v>
      </c>
      <c r="D14" s="433">
        <v>2.4696214593441009E-2</v>
      </c>
      <c r="E14" s="437">
        <v>9.6547910486505106</v>
      </c>
      <c r="F14" s="433">
        <v>0.16087079269678239</v>
      </c>
      <c r="G14" s="433">
        <v>1.4691428923935938E-2</v>
      </c>
      <c r="H14" s="437">
        <v>16.250658466480459</v>
      </c>
      <c r="I14" s="433">
        <v>6.9604927953682283E-2</v>
      </c>
      <c r="J14" s="434">
        <v>2.2763000489977786E-2</v>
      </c>
      <c r="K14" s="409"/>
      <c r="L14" s="409"/>
      <c r="N14" s="278">
        <v>20.410588654000001</v>
      </c>
      <c r="O14" s="282">
        <v>0.37309207469497901</v>
      </c>
      <c r="P14" s="276">
        <v>2.2925503101065014E-2</v>
      </c>
      <c r="Q14" s="283">
        <v>10.462095246720962</v>
      </c>
      <c r="R14" s="275">
        <v>0.1362867470648953</v>
      </c>
      <c r="S14" s="276">
        <v>1.3055721472424248E-2</v>
      </c>
      <c r="T14" s="283">
        <v>11.796039366954137</v>
      </c>
      <c r="U14" s="275">
        <v>2.9690256860435749E-2</v>
      </c>
      <c r="V14" s="277">
        <v>-1.821045141909311E-3</v>
      </c>
    </row>
    <row r="15" spans="1:22" x14ac:dyDescent="0.2">
      <c r="A15" t="str">
        <f t="shared" si="0"/>
        <v>100/510</v>
      </c>
      <c r="B15" s="435">
        <v>10.093327226</v>
      </c>
      <c r="C15" s="436">
        <v>0.46485664587527964</v>
      </c>
      <c r="D15" s="433">
        <v>3.3138465179335705E-2</v>
      </c>
      <c r="E15" s="437">
        <v>13.454865576571107</v>
      </c>
      <c r="F15" s="433">
        <v>0.13998090385502324</v>
      </c>
      <c r="G15" s="433">
        <v>2.1508674884639915E-2</v>
      </c>
      <c r="H15" s="437">
        <v>6.8317533094636156</v>
      </c>
      <c r="I15" s="433">
        <v>8.9383432544962393E-2</v>
      </c>
      <c r="J15" s="434">
        <v>5.8751696658241315E-3</v>
      </c>
      <c r="K15" s="409"/>
      <c r="L15" s="409"/>
      <c r="N15" s="278">
        <v>10.018823012</v>
      </c>
      <c r="O15" s="282">
        <v>0.41157445956753275</v>
      </c>
      <c r="P15" s="276">
        <v>3.2839924238253979E-2</v>
      </c>
      <c r="Q15" s="283">
        <v>16.862207691799512</v>
      </c>
      <c r="R15" s="275">
        <v>0.13445125490821078</v>
      </c>
      <c r="S15" s="276">
        <v>2.1944942280814006E-2</v>
      </c>
      <c r="T15" s="283">
        <v>7.2102449406199023</v>
      </c>
      <c r="U15" s="275">
        <v>3.6101246237215501E-2</v>
      </c>
      <c r="V15" s="277">
        <v>3.4552071901167158E-4</v>
      </c>
    </row>
    <row r="16" spans="1:22" ht="13.5" thickBot="1" x14ac:dyDescent="0.25">
      <c r="A16" t="str">
        <f t="shared" si="0"/>
        <v>100/55</v>
      </c>
      <c r="B16" s="435">
        <v>5.0062205082000002</v>
      </c>
      <c r="C16" s="436">
        <v>0.49025071827737993</v>
      </c>
      <c r="D16" s="433">
        <v>4.9807034115693365E-2</v>
      </c>
      <c r="E16" s="437">
        <v>10.550927101177047</v>
      </c>
      <c r="F16" s="433">
        <v>0.16344883463677234</v>
      </c>
      <c r="G16" s="433">
        <v>4.1899807877504837E-2</v>
      </c>
      <c r="H16" s="437">
        <v>6.0364774761191597</v>
      </c>
      <c r="I16" s="433">
        <v>9.3734403390142496E-2</v>
      </c>
      <c r="J16" s="434">
        <v>9.8221270055652635E-2</v>
      </c>
      <c r="K16" s="409"/>
      <c r="L16" s="409"/>
      <c r="N16" s="284"/>
      <c r="O16" s="438"/>
      <c r="P16" s="285"/>
      <c r="Q16" s="286"/>
      <c r="R16" s="285"/>
      <c r="S16" s="285"/>
      <c r="T16" s="286"/>
      <c r="U16" s="285"/>
      <c r="V16" s="287"/>
    </row>
    <row r="17" spans="1:22" ht="13.5" thickBot="1" x14ac:dyDescent="0.25">
      <c r="B17" s="439"/>
      <c r="C17" s="440"/>
      <c r="D17" s="441"/>
      <c r="E17" s="442"/>
      <c r="F17" s="441"/>
      <c r="G17" s="441"/>
      <c r="H17" s="442"/>
      <c r="I17" s="441"/>
      <c r="J17" s="443"/>
      <c r="K17" s="409"/>
      <c r="L17" s="409"/>
      <c r="N17" s="288"/>
      <c r="O17" s="288"/>
      <c r="P17" s="288"/>
      <c r="Q17" s="288"/>
      <c r="R17" s="288"/>
      <c r="S17" s="288"/>
      <c r="T17" s="288"/>
      <c r="U17" s="288"/>
      <c r="V17" s="288"/>
    </row>
    <row r="18" spans="1:22" ht="13.5" thickBot="1" x14ac:dyDescent="0.25"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</row>
    <row r="19" spans="1:22" x14ac:dyDescent="0.2">
      <c r="B19" s="411" t="s">
        <v>259</v>
      </c>
      <c r="C19" s="412"/>
      <c r="D19" s="412"/>
      <c r="E19" s="412"/>
      <c r="F19" s="412"/>
      <c r="G19" s="412"/>
      <c r="H19" s="412"/>
      <c r="I19" s="412"/>
      <c r="J19" s="413"/>
      <c r="K19" s="409"/>
      <c r="L19" s="409"/>
      <c r="N19" s="262" t="s">
        <v>259</v>
      </c>
      <c r="O19" s="263"/>
      <c r="P19" s="263"/>
      <c r="Q19" s="263"/>
      <c r="R19" s="263"/>
      <c r="S19" s="263"/>
      <c r="T19" s="263"/>
      <c r="U19" s="263"/>
      <c r="V19" s="264"/>
    </row>
    <row r="20" spans="1:22" x14ac:dyDescent="0.2">
      <c r="B20" s="414" t="s">
        <v>260</v>
      </c>
      <c r="C20" s="415"/>
      <c r="D20" s="415"/>
      <c r="E20" s="415"/>
      <c r="F20" s="415"/>
      <c r="G20" s="415"/>
      <c r="H20" s="415"/>
      <c r="I20" s="415"/>
      <c r="J20" s="416"/>
      <c r="K20" s="409"/>
      <c r="L20" s="409"/>
      <c r="N20" s="265" t="s">
        <v>260</v>
      </c>
      <c r="O20" s="7"/>
      <c r="P20" s="7"/>
      <c r="Q20" s="7"/>
      <c r="R20" s="7"/>
      <c r="S20" s="7"/>
      <c r="T20" s="7"/>
      <c r="U20" s="7"/>
      <c r="V20" s="266"/>
    </row>
    <row r="21" spans="1:22" x14ac:dyDescent="0.2">
      <c r="B21" s="417"/>
      <c r="C21" s="418"/>
      <c r="D21" s="418"/>
      <c r="E21" s="418"/>
      <c r="F21" s="418"/>
      <c r="G21" s="418"/>
      <c r="H21" s="418"/>
      <c r="I21" s="418"/>
      <c r="J21" s="419"/>
      <c r="K21" s="409"/>
      <c r="L21" s="409"/>
      <c r="N21" s="255"/>
      <c r="O21" s="38"/>
      <c r="P21" s="38"/>
      <c r="Q21" s="38"/>
      <c r="R21" s="38"/>
      <c r="S21" s="38"/>
      <c r="T21" s="38"/>
      <c r="U21" s="38"/>
      <c r="V21" s="256"/>
    </row>
    <row r="22" spans="1:22" x14ac:dyDescent="0.2">
      <c r="B22" s="420" t="s">
        <v>247</v>
      </c>
      <c r="C22" s="652" t="s">
        <v>248</v>
      </c>
      <c r="D22" s="653"/>
      <c r="E22" s="654"/>
      <c r="F22" s="652" t="s">
        <v>249</v>
      </c>
      <c r="G22" s="653"/>
      <c r="H22" s="654"/>
      <c r="I22" s="652" t="s">
        <v>250</v>
      </c>
      <c r="J22" s="655"/>
      <c r="K22" s="409"/>
      <c r="L22" s="409"/>
      <c r="N22" s="257" t="s">
        <v>247</v>
      </c>
      <c r="O22" s="645" t="s">
        <v>248</v>
      </c>
      <c r="P22" s="656"/>
      <c r="Q22" s="646"/>
      <c r="R22" s="645" t="s">
        <v>249</v>
      </c>
      <c r="S22" s="656"/>
      <c r="T22" s="646"/>
      <c r="U22" s="645" t="s">
        <v>250</v>
      </c>
      <c r="V22" s="651"/>
    </row>
    <row r="23" spans="1:22" ht="51" x14ac:dyDescent="0.2">
      <c r="A23" s="2" t="s">
        <v>419</v>
      </c>
      <c r="B23" s="421" t="s">
        <v>251</v>
      </c>
      <c r="C23" s="425" t="s">
        <v>252</v>
      </c>
      <c r="D23" s="426" t="s">
        <v>253</v>
      </c>
      <c r="E23" s="427" t="s">
        <v>254</v>
      </c>
      <c r="F23" s="425" t="s">
        <v>255</v>
      </c>
      <c r="G23" s="426" t="s">
        <v>256</v>
      </c>
      <c r="H23" s="427" t="s">
        <v>254</v>
      </c>
      <c r="I23" s="426" t="s">
        <v>257</v>
      </c>
      <c r="J23" s="428" t="s">
        <v>258</v>
      </c>
      <c r="K23" s="409"/>
      <c r="L23" s="409"/>
      <c r="N23" s="258" t="s">
        <v>251</v>
      </c>
      <c r="O23" s="267" t="s">
        <v>252</v>
      </c>
      <c r="P23" s="268" t="s">
        <v>253</v>
      </c>
      <c r="Q23" s="269" t="s">
        <v>254</v>
      </c>
      <c r="R23" s="267" t="s">
        <v>255</v>
      </c>
      <c r="S23" s="268" t="s">
        <v>256</v>
      </c>
      <c r="T23" s="269" t="s">
        <v>254</v>
      </c>
      <c r="U23" s="268" t="s">
        <v>257</v>
      </c>
      <c r="V23" s="270" t="s">
        <v>258</v>
      </c>
    </row>
    <row r="24" spans="1:22" x14ac:dyDescent="0.2">
      <c r="A24" t="str">
        <f>"120/100"&amp;ROUND(B24,0)</f>
        <v>120/100120</v>
      </c>
      <c r="B24" s="429">
        <v>119.92392908000001</v>
      </c>
      <c r="C24" s="444">
        <v>0.1351880117726019</v>
      </c>
      <c r="D24" s="433">
        <v>1.6096370766919457E-2</v>
      </c>
      <c r="E24" s="432">
        <v>24.621821467894847</v>
      </c>
      <c r="F24" s="444">
        <v>8.4429064204047777E-2</v>
      </c>
      <c r="G24" s="433">
        <v>1.3667236857368769E-2</v>
      </c>
      <c r="H24" s="432">
        <v>19.204457240840355</v>
      </c>
      <c r="I24" s="444">
        <v>-2.8284705733240822E-3</v>
      </c>
      <c r="J24" s="445">
        <v>7.6073254519321704E-3</v>
      </c>
      <c r="K24" s="409"/>
      <c r="L24" s="409"/>
      <c r="N24" s="271">
        <v>119.63385220000001</v>
      </c>
      <c r="O24" s="275">
        <v>0.11919135123880428</v>
      </c>
      <c r="P24" s="276">
        <v>1.5880817970718979E-2</v>
      </c>
      <c r="Q24" s="274">
        <v>5</v>
      </c>
      <c r="R24" s="275">
        <v>9.439670075183168E-2</v>
      </c>
      <c r="S24" s="276">
        <v>1.3177892087046734E-2</v>
      </c>
      <c r="T24" s="274">
        <v>5</v>
      </c>
      <c r="U24" s="275">
        <v>-1.8825131107121695E-2</v>
      </c>
      <c r="V24" s="277">
        <v>1.7574961999716074E-2</v>
      </c>
    </row>
    <row r="25" spans="1:22" x14ac:dyDescent="0.2">
      <c r="A25" t="str">
        <f t="shared" ref="A25:A30" si="1">"120/100"&amp;ROUND(B25,0)</f>
        <v>120/100100</v>
      </c>
      <c r="B25" s="435">
        <v>100.09320314000001</v>
      </c>
      <c r="C25" s="444">
        <v>0.1503019718467504</v>
      </c>
      <c r="D25" s="433">
        <v>1.7081376704608024E-2</v>
      </c>
      <c r="E25" s="437">
        <v>21.852081943131115</v>
      </c>
      <c r="F25" s="444">
        <v>8.3871606677233645E-2</v>
      </c>
      <c r="G25" s="433">
        <v>1.3499563237031699E-2</v>
      </c>
      <c r="H25" s="437">
        <v>18.739135038858148</v>
      </c>
      <c r="I25" s="444">
        <v>-4.1125932687116062E-3</v>
      </c>
      <c r="J25" s="445">
        <v>8.769453982085243E-3</v>
      </c>
      <c r="K25" s="409"/>
      <c r="L25" s="409"/>
      <c r="N25" s="278">
        <v>100.13187366</v>
      </c>
      <c r="O25" s="275">
        <v>0.12801795370826757</v>
      </c>
      <c r="P25" s="276">
        <v>1.6278938663700775E-2</v>
      </c>
      <c r="Q25" s="283">
        <v>5</v>
      </c>
      <c r="R25" s="275">
        <v>9.6643846910426434E-2</v>
      </c>
      <c r="S25" s="276">
        <v>1.3418624804646076E-2</v>
      </c>
      <c r="T25" s="283">
        <v>5</v>
      </c>
      <c r="U25" s="275">
        <v>-2.6396611407194431E-2</v>
      </c>
      <c r="V25" s="277">
        <v>2.1541694215278032E-2</v>
      </c>
    </row>
    <row r="26" spans="1:22" x14ac:dyDescent="0.2">
      <c r="A26" t="str">
        <f t="shared" si="1"/>
        <v>120/10060</v>
      </c>
      <c r="B26" s="435">
        <v>60.035549210000006</v>
      </c>
      <c r="C26" s="444">
        <v>0.2025501789952302</v>
      </c>
      <c r="D26" s="433">
        <v>2.1236543512662368E-2</v>
      </c>
      <c r="E26" s="437">
        <v>17.326095281400008</v>
      </c>
      <c r="F26" s="444">
        <v>6.3994896945218094E-2</v>
      </c>
      <c r="G26" s="433">
        <v>1.298738043525156E-2</v>
      </c>
      <c r="H26" s="437">
        <v>20.476281847116027</v>
      </c>
      <c r="I26" s="444">
        <v>3.1199705344872042E-3</v>
      </c>
      <c r="J26" s="445">
        <v>-2.0745404495301073E-3</v>
      </c>
      <c r="K26" s="409"/>
      <c r="L26" s="409"/>
      <c r="N26" s="278">
        <v>60.037315034000002</v>
      </c>
      <c r="O26" s="275">
        <v>0.18135978222250174</v>
      </c>
      <c r="P26" s="276">
        <v>2.0447664234290862E-2</v>
      </c>
      <c r="Q26" s="283">
        <v>5</v>
      </c>
      <c r="R26" s="275">
        <v>7.9519839869645365E-2</v>
      </c>
      <c r="S26" s="276">
        <v>1.3494618274584346E-2</v>
      </c>
      <c r="T26" s="283">
        <v>5</v>
      </c>
      <c r="U26" s="275">
        <v>-1.8070426238241261E-2</v>
      </c>
      <c r="V26" s="277">
        <v>1.3450402474897163E-2</v>
      </c>
    </row>
    <row r="27" spans="1:22" x14ac:dyDescent="0.2">
      <c r="A27" t="str">
        <f t="shared" si="1"/>
        <v>120/10040</v>
      </c>
      <c r="B27" s="435">
        <v>40.057213714</v>
      </c>
      <c r="C27" s="444">
        <v>0.23919254108133742</v>
      </c>
      <c r="D27" s="433">
        <v>2.4363202200685205E-2</v>
      </c>
      <c r="E27" s="437">
        <v>16.230217867659967</v>
      </c>
      <c r="F27" s="444">
        <v>6.6457406708342742E-2</v>
      </c>
      <c r="G27" s="433">
        <v>1.3642335567769118E-2</v>
      </c>
      <c r="H27" s="437">
        <v>22.146183519509062</v>
      </c>
      <c r="I27" s="444">
        <v>9.4208546406434057E-3</v>
      </c>
      <c r="J27" s="445">
        <v>8.9628442339950432E-3</v>
      </c>
      <c r="K27" s="409"/>
      <c r="L27" s="409"/>
      <c r="N27" s="278">
        <v>40.011632356</v>
      </c>
      <c r="O27" s="275">
        <v>0.21498591869480649</v>
      </c>
      <c r="P27" s="276">
        <v>2.3633543357345223E-2</v>
      </c>
      <c r="Q27" s="283">
        <v>5</v>
      </c>
      <c r="R27" s="275">
        <v>7.0917170054923651E-2</v>
      </c>
      <c r="S27" s="276">
        <v>1.4136241932058447E-2</v>
      </c>
      <c r="T27" s="283">
        <v>5</v>
      </c>
      <c r="U27" s="275">
        <v>-1.4785767745887524E-2</v>
      </c>
      <c r="V27" s="277">
        <v>1.3422607580575951E-2</v>
      </c>
    </row>
    <row r="28" spans="1:22" x14ac:dyDescent="0.2">
      <c r="A28" t="str">
        <f t="shared" si="1"/>
        <v>120/10020</v>
      </c>
      <c r="B28" s="435">
        <v>20.152266273999999</v>
      </c>
      <c r="C28" s="444">
        <v>0.29956840986740263</v>
      </c>
      <c r="D28" s="433">
        <v>3.0238445191571289E-2</v>
      </c>
      <c r="E28" s="437">
        <v>17.150810440966996</v>
      </c>
      <c r="F28" s="444">
        <v>6.014378358939431E-2</v>
      </c>
      <c r="G28" s="433">
        <v>1.7156595017443932E-2</v>
      </c>
      <c r="H28" s="437">
        <v>26.395261029758544</v>
      </c>
      <c r="I28" s="444">
        <v>3.2010642119608634E-2</v>
      </c>
      <c r="J28" s="445">
        <v>1.4532012560104009E-2</v>
      </c>
      <c r="K28" s="409"/>
      <c r="L28" s="409"/>
      <c r="N28" s="278">
        <v>20.017811465999998</v>
      </c>
      <c r="O28" s="275">
        <v>0.25743621921360793</v>
      </c>
      <c r="P28" s="276">
        <v>2.9789634413326282E-2</v>
      </c>
      <c r="Q28" s="283">
        <v>5</v>
      </c>
      <c r="R28" s="275">
        <v>5.4028536557412236E-2</v>
      </c>
      <c r="S28" s="276">
        <v>1.9594049461758873E-2</v>
      </c>
      <c r="T28" s="283">
        <v>5</v>
      </c>
      <c r="U28" s="275">
        <v>-1.0121548534186064E-2</v>
      </c>
      <c r="V28" s="277">
        <v>8.4167655281219347E-3</v>
      </c>
    </row>
    <row r="29" spans="1:22" x14ac:dyDescent="0.2">
      <c r="A29" t="str">
        <f t="shared" si="1"/>
        <v>120/10010</v>
      </c>
      <c r="B29" s="435">
        <v>9.9747214224</v>
      </c>
      <c r="C29" s="444">
        <v>0.33931546290343328</v>
      </c>
      <c r="D29" s="433">
        <v>3.8245176521990061E-2</v>
      </c>
      <c r="E29" s="437">
        <v>20.11641494405421</v>
      </c>
      <c r="F29" s="444">
        <v>3.3537829090675063E-2</v>
      </c>
      <c r="G29" s="433">
        <v>2.3624185897921333E-2</v>
      </c>
      <c r="H29" s="437">
        <v>9.799986927149563</v>
      </c>
      <c r="I29" s="444">
        <v>4.8985587997452285E-2</v>
      </c>
      <c r="J29" s="445">
        <v>-4.9264282396465353E-3</v>
      </c>
      <c r="K29" s="409"/>
      <c r="L29" s="409"/>
      <c r="N29" s="278">
        <v>10.023455089999999</v>
      </c>
      <c r="O29" s="275">
        <v>0.29168908386977793</v>
      </c>
      <c r="P29" s="276">
        <v>4.5135325342814371E-2</v>
      </c>
      <c r="Q29" s="283">
        <v>5</v>
      </c>
      <c r="R29" s="275">
        <v>5.202799011029325E-2</v>
      </c>
      <c r="S29" s="276">
        <v>3.3460252684457424E-2</v>
      </c>
      <c r="T29" s="283">
        <v>5</v>
      </c>
      <c r="U29" s="275">
        <v>1.3592089637969318E-3</v>
      </c>
      <c r="V29" s="277">
        <v>1.3563732779971652E-2</v>
      </c>
    </row>
    <row r="30" spans="1:22" ht="13.5" thickBot="1" x14ac:dyDescent="0.25">
      <c r="A30" t="str">
        <f t="shared" si="1"/>
        <v>120/1005</v>
      </c>
      <c r="B30" s="435">
        <v>4.9441033636</v>
      </c>
      <c r="C30" s="444">
        <v>0.35538771066235075</v>
      </c>
      <c r="D30" s="433">
        <v>5.4009794837085796E-2</v>
      </c>
      <c r="E30" s="437">
        <v>14.100271033348145</v>
      </c>
      <c r="F30" s="444">
        <v>5.7768877602184486E-2</v>
      </c>
      <c r="G30" s="433">
        <v>4.3532402985312753E-2</v>
      </c>
      <c r="H30" s="437">
        <v>7.0244604545981897</v>
      </c>
      <c r="I30" s="444">
        <v>5.3570352543040378E-2</v>
      </c>
      <c r="J30" s="445">
        <v>-2.6529832053361714E-2</v>
      </c>
      <c r="K30" s="409"/>
      <c r="L30" s="409"/>
      <c r="N30" s="284"/>
      <c r="O30" s="285"/>
      <c r="P30" s="285"/>
      <c r="Q30" s="286"/>
      <c r="R30" s="285"/>
      <c r="S30" s="285"/>
      <c r="T30" s="286"/>
      <c r="U30" s="285"/>
      <c r="V30" s="287"/>
    </row>
    <row r="31" spans="1:22" ht="13.5" thickBot="1" x14ac:dyDescent="0.25">
      <c r="B31" s="439"/>
      <c r="C31" s="441"/>
      <c r="D31" s="441"/>
      <c r="E31" s="442"/>
      <c r="F31" s="441"/>
      <c r="G31" s="441"/>
      <c r="H31" s="442"/>
      <c r="I31" s="441"/>
      <c r="J31" s="443"/>
      <c r="K31" s="409"/>
      <c r="L31" s="409"/>
      <c r="N31" s="288"/>
      <c r="O31" s="288"/>
      <c r="P31" s="288"/>
      <c r="Q31" s="288"/>
      <c r="R31" s="288"/>
      <c r="S31" s="288"/>
      <c r="T31" s="288"/>
      <c r="U31" s="288"/>
      <c r="V31" s="288"/>
    </row>
    <row r="32" spans="1:22" ht="13.5" thickBot="1" x14ac:dyDescent="0.25">
      <c r="B32" s="409"/>
      <c r="C32" s="409"/>
      <c r="D32" s="409"/>
      <c r="E32" s="409"/>
      <c r="F32" s="409"/>
      <c r="G32" s="409"/>
      <c r="H32" s="409"/>
      <c r="I32" s="409"/>
      <c r="J32" s="409"/>
      <c r="K32" s="409"/>
      <c r="L32" s="409"/>
    </row>
    <row r="33" spans="1:22" x14ac:dyDescent="0.2">
      <c r="B33" s="411" t="s">
        <v>261</v>
      </c>
      <c r="C33" s="412"/>
      <c r="D33" s="412"/>
      <c r="E33" s="412"/>
      <c r="F33" s="412"/>
      <c r="G33" s="412"/>
      <c r="H33" s="412"/>
      <c r="I33" s="412"/>
      <c r="J33" s="413"/>
      <c r="K33" s="409"/>
      <c r="L33" s="409"/>
      <c r="N33" s="262" t="s">
        <v>261</v>
      </c>
      <c r="O33" s="263"/>
      <c r="P33" s="263"/>
      <c r="Q33" s="263"/>
      <c r="R33" s="263"/>
      <c r="S33" s="263"/>
      <c r="T33" s="263"/>
      <c r="U33" s="263"/>
      <c r="V33" s="264"/>
    </row>
    <row r="34" spans="1:22" x14ac:dyDescent="0.2">
      <c r="B34" s="414" t="s">
        <v>262</v>
      </c>
      <c r="C34" s="415"/>
      <c r="D34" s="415"/>
      <c r="E34" s="415"/>
      <c r="F34" s="415"/>
      <c r="G34" s="415"/>
      <c r="H34" s="415"/>
      <c r="I34" s="415"/>
      <c r="J34" s="416"/>
      <c r="K34" s="409"/>
      <c r="L34" s="409"/>
      <c r="N34" s="265" t="s">
        <v>262</v>
      </c>
      <c r="O34" s="7"/>
      <c r="P34" s="7"/>
      <c r="Q34" s="7"/>
      <c r="R34" s="7"/>
      <c r="S34" s="7"/>
      <c r="T34" s="7"/>
      <c r="U34" s="7"/>
      <c r="V34" s="266"/>
    </row>
    <row r="35" spans="1:22" x14ac:dyDescent="0.2">
      <c r="B35" s="417"/>
      <c r="C35" s="418"/>
      <c r="D35" s="418"/>
      <c r="E35" s="418"/>
      <c r="F35" s="418"/>
      <c r="G35" s="418"/>
      <c r="H35" s="418"/>
      <c r="I35" s="418"/>
      <c r="J35" s="419"/>
      <c r="K35" s="409"/>
      <c r="L35" s="409"/>
      <c r="N35" s="255"/>
      <c r="O35" s="38"/>
      <c r="P35" s="38"/>
      <c r="Q35" s="38"/>
      <c r="R35" s="38"/>
      <c r="S35" s="38"/>
      <c r="T35" s="38"/>
      <c r="U35" s="38"/>
      <c r="V35" s="256"/>
    </row>
    <row r="36" spans="1:22" x14ac:dyDescent="0.2">
      <c r="B36" s="420" t="s">
        <v>247</v>
      </c>
      <c r="C36" s="652" t="s">
        <v>248</v>
      </c>
      <c r="D36" s="653"/>
      <c r="E36" s="654"/>
      <c r="F36" s="652" t="s">
        <v>249</v>
      </c>
      <c r="G36" s="653"/>
      <c r="H36" s="654"/>
      <c r="I36" s="652" t="s">
        <v>250</v>
      </c>
      <c r="J36" s="655"/>
      <c r="K36" s="409"/>
      <c r="L36" s="409"/>
      <c r="N36" s="257" t="s">
        <v>247</v>
      </c>
      <c r="O36" s="645" t="s">
        <v>248</v>
      </c>
      <c r="P36" s="656"/>
      <c r="Q36" s="646"/>
      <c r="R36" s="645" t="s">
        <v>249</v>
      </c>
      <c r="S36" s="656"/>
      <c r="T36" s="646"/>
      <c r="U36" s="645" t="s">
        <v>250</v>
      </c>
      <c r="V36" s="651"/>
    </row>
    <row r="37" spans="1:22" ht="51" x14ac:dyDescent="0.2">
      <c r="A37" s="2" t="s">
        <v>416</v>
      </c>
      <c r="B37" s="421" t="s">
        <v>251</v>
      </c>
      <c r="C37" s="425" t="s">
        <v>252</v>
      </c>
      <c r="D37" s="426" t="s">
        <v>253</v>
      </c>
      <c r="E37" s="427" t="s">
        <v>254</v>
      </c>
      <c r="F37" s="425" t="s">
        <v>255</v>
      </c>
      <c r="G37" s="426" t="s">
        <v>256</v>
      </c>
      <c r="H37" s="427" t="s">
        <v>254</v>
      </c>
      <c r="I37" s="426" t="s">
        <v>257</v>
      </c>
      <c r="J37" s="428" t="s">
        <v>258</v>
      </c>
      <c r="K37" s="409"/>
      <c r="L37" s="409"/>
      <c r="N37" s="258" t="s">
        <v>251</v>
      </c>
      <c r="O37" s="267" t="s">
        <v>252</v>
      </c>
      <c r="P37" s="268" t="s">
        <v>253</v>
      </c>
      <c r="Q37" s="269" t="s">
        <v>254</v>
      </c>
      <c r="R37" s="267" t="s">
        <v>255</v>
      </c>
      <c r="S37" s="268" t="s">
        <v>256</v>
      </c>
      <c r="T37" s="269" t="s">
        <v>254</v>
      </c>
      <c r="U37" s="268" t="s">
        <v>257</v>
      </c>
      <c r="V37" s="270" t="s">
        <v>258</v>
      </c>
    </row>
    <row r="38" spans="1:22" x14ac:dyDescent="0.2">
      <c r="A38" t="str">
        <f>"100/100"&amp;ROUND(B38,0)</f>
        <v>100/100120</v>
      </c>
      <c r="B38" s="429">
        <v>119.84700020000001</v>
      </c>
      <c r="C38" s="444">
        <v>0.19099327491213469</v>
      </c>
      <c r="D38" s="433">
        <v>2.0124848236233134E-2</v>
      </c>
      <c r="E38" s="432">
        <v>36.303330659717147</v>
      </c>
      <c r="F38" s="444">
        <v>0.12771511396560489</v>
      </c>
      <c r="G38" s="433">
        <v>1.5916373531336424E-2</v>
      </c>
      <c r="H38" s="432">
        <v>29.48720479177727</v>
      </c>
      <c r="I38" s="444">
        <v>2.079747152331371E-2</v>
      </c>
      <c r="J38" s="445">
        <v>1.3713001740780897E-2</v>
      </c>
      <c r="K38" s="409"/>
      <c r="L38" s="409"/>
      <c r="N38" s="271">
        <v>119.26987710000002</v>
      </c>
      <c r="O38" s="275">
        <v>0.16196260708155136</v>
      </c>
      <c r="P38" s="276">
        <v>1.9342116818154769E-2</v>
      </c>
      <c r="Q38" s="274">
        <v>5</v>
      </c>
      <c r="R38" s="275">
        <v>0.16556192207802131</v>
      </c>
      <c r="S38" s="276">
        <v>1.634526862054772E-2</v>
      </c>
      <c r="T38" s="274">
        <v>5</v>
      </c>
      <c r="U38" s="275">
        <v>-8.2331963072696246E-3</v>
      </c>
      <c r="V38" s="277">
        <v>5.1559809853197316E-2</v>
      </c>
    </row>
    <row r="39" spans="1:22" x14ac:dyDescent="0.2">
      <c r="A39" t="str">
        <f t="shared" ref="A39:A44" si="2">"100/100"&amp;ROUND(B39,0)</f>
        <v>100/100100</v>
      </c>
      <c r="B39" s="435">
        <v>99.84864608800001</v>
      </c>
      <c r="C39" s="444">
        <v>0.20981100044611947</v>
      </c>
      <c r="D39" s="433">
        <v>2.1401557404299852E-2</v>
      </c>
      <c r="E39" s="437">
        <v>32.535486393782257</v>
      </c>
      <c r="F39" s="444">
        <v>0.12832447060119506</v>
      </c>
      <c r="G39" s="433">
        <v>1.5778683712531938E-2</v>
      </c>
      <c r="H39" s="437">
        <v>28.989013053416308</v>
      </c>
      <c r="I39" s="444">
        <v>1.9265121323215478E-2</v>
      </c>
      <c r="J39" s="445">
        <v>1.4464783756326052E-2</v>
      </c>
      <c r="K39" s="409"/>
      <c r="L39" s="409"/>
      <c r="N39" s="278">
        <v>100.00971487200002</v>
      </c>
      <c r="O39" s="275">
        <v>0.17520180394394938</v>
      </c>
      <c r="P39" s="276">
        <v>2.000821860847907E-2</v>
      </c>
      <c r="Q39" s="283">
        <v>5</v>
      </c>
      <c r="R39" s="275">
        <v>0.16595331840525132</v>
      </c>
      <c r="S39" s="276">
        <v>1.6535335725816291E-2</v>
      </c>
      <c r="T39" s="283">
        <v>5</v>
      </c>
      <c r="U39" s="275">
        <v>-1.5344075178954614E-2</v>
      </c>
      <c r="V39" s="277">
        <v>5.2093631560382311E-2</v>
      </c>
    </row>
    <row r="40" spans="1:22" x14ac:dyDescent="0.2">
      <c r="A40" t="str">
        <f t="shared" si="2"/>
        <v>100/10060</v>
      </c>
      <c r="B40" s="435">
        <v>60.036926252000001</v>
      </c>
      <c r="C40" s="444">
        <v>0.27625827740036574</v>
      </c>
      <c r="D40" s="433">
        <v>2.655252842011236E-2</v>
      </c>
      <c r="E40" s="437">
        <v>25.946287991607512</v>
      </c>
      <c r="F40" s="444">
        <v>0.11282248388897273</v>
      </c>
      <c r="G40" s="433">
        <v>1.5004742192860278E-2</v>
      </c>
      <c r="H40" s="437">
        <v>31.314679021367883</v>
      </c>
      <c r="I40" s="444">
        <v>2.602938322985876E-2</v>
      </c>
      <c r="J40" s="445">
        <v>5.2096931059407298E-3</v>
      </c>
      <c r="K40" s="409"/>
      <c r="L40" s="409"/>
      <c r="N40" s="278">
        <v>60.197048628000005</v>
      </c>
      <c r="O40" s="275">
        <v>0.23896056624373971</v>
      </c>
      <c r="P40" s="276">
        <v>2.5300541287207795E-2</v>
      </c>
      <c r="Q40" s="283">
        <v>5</v>
      </c>
      <c r="R40" s="275">
        <v>0.15257698926646732</v>
      </c>
      <c r="S40" s="276">
        <v>1.6808406780691381E-2</v>
      </c>
      <c r="T40" s="283">
        <v>5</v>
      </c>
      <c r="U40" s="275">
        <v>-1.1268327926767269E-2</v>
      </c>
      <c r="V40" s="277">
        <v>4.4964198483435316E-2</v>
      </c>
    </row>
    <row r="41" spans="1:22" x14ac:dyDescent="0.2">
      <c r="A41" t="str">
        <f t="shared" si="2"/>
        <v>100/10040</v>
      </c>
      <c r="B41" s="435">
        <v>40.078594610000003</v>
      </c>
      <c r="C41" s="444">
        <v>0.32629674811974124</v>
      </c>
      <c r="D41" s="433">
        <v>3.0559040415488556E-2</v>
      </c>
      <c r="E41" s="437">
        <v>24.205756242845428</v>
      </c>
      <c r="F41" s="444">
        <v>0.11582823559203237</v>
      </c>
      <c r="G41" s="433">
        <v>1.5740570603991911E-2</v>
      </c>
      <c r="H41" s="437">
        <v>33.797899350185752</v>
      </c>
      <c r="I41" s="444">
        <v>3.4103937754745239E-2</v>
      </c>
      <c r="J41" s="445">
        <v>1.5885937959603261E-2</v>
      </c>
      <c r="K41" s="409"/>
      <c r="L41" s="409"/>
      <c r="N41" s="278">
        <v>40.124291820000003</v>
      </c>
      <c r="O41" s="275">
        <v>0.28509596843850948</v>
      </c>
      <c r="P41" s="276">
        <v>2.9547532156889232E-2</v>
      </c>
      <c r="Q41" s="283">
        <v>5</v>
      </c>
      <c r="R41" s="275">
        <v>0.14641460750250063</v>
      </c>
      <c r="S41" s="276">
        <v>1.7871673159362486E-2</v>
      </c>
      <c r="T41" s="283">
        <v>5</v>
      </c>
      <c r="U41" s="275">
        <v>-7.096841926486519E-3</v>
      </c>
      <c r="V41" s="277">
        <v>4.6472309870071518E-2</v>
      </c>
    </row>
    <row r="42" spans="1:22" x14ac:dyDescent="0.2">
      <c r="A42" t="str">
        <f t="shared" si="2"/>
        <v>100/10020</v>
      </c>
      <c r="B42" s="435">
        <v>20.078383601999999</v>
      </c>
      <c r="C42" s="444">
        <v>0.40232279277714023</v>
      </c>
      <c r="D42" s="433">
        <v>3.7645110990182758E-2</v>
      </c>
      <c r="E42" s="437">
        <v>24.584483233483652</v>
      </c>
      <c r="F42" s="444">
        <v>0.11063791085087632</v>
      </c>
      <c r="G42" s="433">
        <v>1.9008777739775218E-2</v>
      </c>
      <c r="H42" s="437">
        <v>37.252803357787002</v>
      </c>
      <c r="I42" s="444">
        <v>5.7200561719555232E-2</v>
      </c>
      <c r="J42" s="445">
        <v>2.042082180517861E-2</v>
      </c>
      <c r="K42" s="409"/>
      <c r="L42" s="409"/>
      <c r="N42" s="278">
        <v>20.059537148</v>
      </c>
      <c r="O42" s="275">
        <v>0.34319498529966458</v>
      </c>
      <c r="P42" s="276">
        <v>3.7090882231471681E-2</v>
      </c>
      <c r="Q42" s="283">
        <v>5</v>
      </c>
      <c r="R42" s="275">
        <v>0.13628147792375231</v>
      </c>
      <c r="S42" s="276">
        <v>2.4791704707731409E-2</v>
      </c>
      <c r="T42" s="283">
        <v>5</v>
      </c>
      <c r="U42" s="275">
        <v>-1.927245757920415E-3</v>
      </c>
      <c r="V42" s="277">
        <v>4.6064388878054599E-2</v>
      </c>
    </row>
    <row r="43" spans="1:22" x14ac:dyDescent="0.2">
      <c r="A43" t="str">
        <f t="shared" si="2"/>
        <v>100/10010</v>
      </c>
      <c r="B43" s="435">
        <v>9.9260643214000002</v>
      </c>
      <c r="C43" s="444">
        <v>0.45121819923305623</v>
      </c>
      <c r="D43" s="433">
        <v>4.5782024540891628E-2</v>
      </c>
      <c r="E43" s="437">
        <v>27.729440144663613</v>
      </c>
      <c r="F43" s="444">
        <v>9.1127136797747921E-2</v>
      </c>
      <c r="G43" s="433">
        <v>2.5259577418462086E-2</v>
      </c>
      <c r="H43" s="437">
        <v>12.741720558815567</v>
      </c>
      <c r="I43" s="444">
        <v>7.4024572679697254E-2</v>
      </c>
      <c r="J43" s="445">
        <v>4.9121057696557141E-3</v>
      </c>
      <c r="K43" s="409"/>
      <c r="L43" s="409"/>
      <c r="N43" s="278">
        <v>10.052191638</v>
      </c>
      <c r="O43" s="275">
        <v>0.39513198474162503</v>
      </c>
      <c r="P43" s="276">
        <v>5.8193108710040631E-2</v>
      </c>
      <c r="Q43" s="283">
        <v>5</v>
      </c>
      <c r="R43" s="275">
        <v>0.13472263380234348</v>
      </c>
      <c r="S43" s="276">
        <v>4.5177739351197503E-2</v>
      </c>
      <c r="T43" s="283">
        <v>5</v>
      </c>
      <c r="U43" s="275">
        <v>1.7938358188266057E-2</v>
      </c>
      <c r="V43" s="277">
        <v>4.8507602774251271E-2</v>
      </c>
    </row>
    <row r="44" spans="1:22" ht="13.5" thickBot="1" x14ac:dyDescent="0.25">
      <c r="A44" t="str">
        <f t="shared" si="2"/>
        <v>100/1005</v>
      </c>
      <c r="B44" s="435">
        <v>5.0156125952000004</v>
      </c>
      <c r="C44" s="444">
        <v>0.47859715367101707</v>
      </c>
      <c r="D44" s="433">
        <v>6.0054592660030867E-2</v>
      </c>
      <c r="E44" s="437">
        <v>19.433578577675302</v>
      </c>
      <c r="F44" s="444">
        <v>0.11175136033072258</v>
      </c>
      <c r="G44" s="433">
        <v>4.4838022507639012E-2</v>
      </c>
      <c r="H44" s="437">
        <v>7.8997747119382122</v>
      </c>
      <c r="I44" s="444">
        <v>8.2080838783779642E-2</v>
      </c>
      <c r="J44" s="445">
        <v>4.6523795749602873E-2</v>
      </c>
      <c r="K44" s="409"/>
      <c r="L44" s="409"/>
      <c r="N44" s="284"/>
      <c r="O44" s="285"/>
      <c r="P44" s="285"/>
      <c r="Q44" s="286"/>
      <c r="R44" s="285"/>
      <c r="S44" s="285"/>
      <c r="T44" s="286"/>
      <c r="U44" s="285"/>
      <c r="V44" s="287"/>
    </row>
    <row r="45" spans="1:22" ht="13.5" thickBot="1" x14ac:dyDescent="0.25">
      <c r="B45" s="439"/>
      <c r="C45" s="441"/>
      <c r="D45" s="441"/>
      <c r="E45" s="442"/>
      <c r="F45" s="441"/>
      <c r="G45" s="441"/>
      <c r="H45" s="442"/>
      <c r="I45" s="441"/>
      <c r="J45" s="443"/>
      <c r="K45" s="409"/>
      <c r="L45" s="409"/>
      <c r="N45" s="288"/>
      <c r="O45" s="288"/>
      <c r="P45" s="288"/>
      <c r="Q45" s="288"/>
      <c r="R45" s="288"/>
      <c r="S45" s="288"/>
      <c r="T45" s="288"/>
      <c r="U45" s="288"/>
      <c r="V45" s="288"/>
    </row>
    <row r="46" spans="1:22" ht="13.5" thickBot="1" x14ac:dyDescent="0.25">
      <c r="B46" s="409"/>
      <c r="C46" s="409"/>
      <c r="D46" s="409"/>
      <c r="E46" s="409"/>
      <c r="F46" s="409"/>
      <c r="G46" s="409"/>
      <c r="H46" s="409"/>
      <c r="I46" s="409"/>
      <c r="J46" s="409"/>
      <c r="K46" s="409"/>
      <c r="L46" s="409"/>
    </row>
    <row r="47" spans="1:22" x14ac:dyDescent="0.2">
      <c r="B47" s="411" t="s">
        <v>263</v>
      </c>
      <c r="C47" s="412"/>
      <c r="D47" s="412"/>
      <c r="E47" s="412"/>
      <c r="F47" s="412"/>
      <c r="G47" s="412"/>
      <c r="H47" s="412"/>
      <c r="I47" s="412"/>
      <c r="J47" s="413"/>
      <c r="K47" s="409"/>
      <c r="L47" s="409"/>
      <c r="N47" s="262" t="s">
        <v>263</v>
      </c>
      <c r="O47" s="263"/>
      <c r="P47" s="263"/>
      <c r="Q47" s="263"/>
      <c r="R47" s="263"/>
      <c r="S47" s="263"/>
      <c r="T47" s="263"/>
      <c r="U47" s="263"/>
      <c r="V47" s="264"/>
    </row>
    <row r="48" spans="1:22" x14ac:dyDescent="0.2">
      <c r="B48" s="414" t="s">
        <v>264</v>
      </c>
      <c r="C48" s="415"/>
      <c r="D48" s="415"/>
      <c r="E48" s="415"/>
      <c r="F48" s="415"/>
      <c r="G48" s="415"/>
      <c r="H48" s="415"/>
      <c r="I48" s="415"/>
      <c r="J48" s="416"/>
      <c r="K48" s="409"/>
      <c r="L48" s="409"/>
      <c r="N48" s="265" t="s">
        <v>264</v>
      </c>
      <c r="O48" s="7"/>
      <c r="P48" s="7"/>
      <c r="Q48" s="7"/>
      <c r="R48" s="7"/>
      <c r="S48" s="7"/>
      <c r="T48" s="7"/>
      <c r="U48" s="7"/>
      <c r="V48" s="266"/>
    </row>
    <row r="49" spans="1:22" x14ac:dyDescent="0.2">
      <c r="B49" s="417"/>
      <c r="C49" s="418"/>
      <c r="D49" s="418"/>
      <c r="E49" s="418"/>
      <c r="F49" s="418"/>
      <c r="G49" s="418"/>
      <c r="H49" s="418"/>
      <c r="I49" s="418"/>
      <c r="J49" s="419"/>
      <c r="K49" s="409"/>
      <c r="L49" s="409"/>
      <c r="N49" s="255"/>
      <c r="O49" s="38"/>
      <c r="P49" s="38"/>
      <c r="Q49" s="38"/>
      <c r="R49" s="38"/>
      <c r="S49" s="38"/>
      <c r="T49" s="38"/>
      <c r="U49" s="38"/>
      <c r="V49" s="256"/>
    </row>
    <row r="50" spans="1:22" x14ac:dyDescent="0.2">
      <c r="B50" s="420" t="s">
        <v>247</v>
      </c>
      <c r="C50" s="652" t="s">
        <v>248</v>
      </c>
      <c r="D50" s="653"/>
      <c r="E50" s="654"/>
      <c r="F50" s="652" t="s">
        <v>249</v>
      </c>
      <c r="G50" s="653"/>
      <c r="H50" s="654"/>
      <c r="I50" s="652" t="s">
        <v>250</v>
      </c>
      <c r="J50" s="655"/>
      <c r="K50" s="409"/>
      <c r="L50" s="409"/>
      <c r="N50" s="257" t="s">
        <v>247</v>
      </c>
      <c r="O50" s="645" t="s">
        <v>248</v>
      </c>
      <c r="P50" s="656"/>
      <c r="Q50" s="646"/>
      <c r="R50" s="645" t="s">
        <v>249</v>
      </c>
      <c r="S50" s="656"/>
      <c r="T50" s="646"/>
      <c r="U50" s="645" t="s">
        <v>250</v>
      </c>
      <c r="V50" s="651"/>
    </row>
    <row r="51" spans="1:22" ht="51" x14ac:dyDescent="0.2">
      <c r="A51" s="2" t="s">
        <v>417</v>
      </c>
      <c r="B51" s="421" t="s">
        <v>251</v>
      </c>
      <c r="C51" s="425" t="s">
        <v>252</v>
      </c>
      <c r="D51" s="426" t="s">
        <v>253</v>
      </c>
      <c r="E51" s="427" t="s">
        <v>254</v>
      </c>
      <c r="F51" s="425" t="s">
        <v>255</v>
      </c>
      <c r="G51" s="426" t="s">
        <v>256</v>
      </c>
      <c r="H51" s="427" t="s">
        <v>254</v>
      </c>
      <c r="I51" s="426" t="s">
        <v>257</v>
      </c>
      <c r="J51" s="428" t="s">
        <v>258</v>
      </c>
      <c r="K51" s="409"/>
      <c r="L51" s="409"/>
      <c r="N51" s="258" t="s">
        <v>251</v>
      </c>
      <c r="O51" s="267" t="s">
        <v>252</v>
      </c>
      <c r="P51" s="268" t="s">
        <v>253</v>
      </c>
      <c r="Q51" s="269" t="s">
        <v>254</v>
      </c>
      <c r="R51" s="267" t="s">
        <v>255</v>
      </c>
      <c r="S51" s="268" t="s">
        <v>256</v>
      </c>
      <c r="T51" s="269" t="s">
        <v>254</v>
      </c>
      <c r="U51" s="268" t="s">
        <v>257</v>
      </c>
      <c r="V51" s="270" t="s">
        <v>258</v>
      </c>
    </row>
    <row r="52" spans="1:22" x14ac:dyDescent="0.2">
      <c r="A52" t="str">
        <f>"120/200"&amp;ROUND(B52,0)</f>
        <v>120/200120</v>
      </c>
      <c r="B52" s="429">
        <v>119.90899723999999</v>
      </c>
      <c r="C52" s="444">
        <v>0.15213305302217844</v>
      </c>
      <c r="D52" s="433">
        <v>2.2681305202526644E-2</v>
      </c>
      <c r="E52" s="432">
        <v>68.00069900375496</v>
      </c>
      <c r="F52" s="444">
        <v>7.5885012454326176E-2</v>
      </c>
      <c r="G52" s="433">
        <v>1.7092397901526349E-2</v>
      </c>
      <c r="H52" s="432">
        <v>47.345132453902309</v>
      </c>
      <c r="I52" s="444">
        <v>1.4116570676252466E-2</v>
      </c>
      <c r="J52" s="445">
        <v>-9.3672629778943084E-4</v>
      </c>
      <c r="K52" s="409"/>
      <c r="L52" s="409"/>
      <c r="N52" s="271">
        <v>117.66056873999999</v>
      </c>
      <c r="O52" s="275">
        <v>0.14836914332564374</v>
      </c>
      <c r="P52" s="276">
        <v>1.5880817970718979E-2</v>
      </c>
      <c r="Q52" s="274">
        <v>5</v>
      </c>
      <c r="R52" s="275">
        <v>0.15721842710900885</v>
      </c>
      <c r="S52" s="276">
        <v>4.5086593779981483E-2</v>
      </c>
      <c r="T52" s="274">
        <v>5</v>
      </c>
      <c r="U52" s="275">
        <v>1.0352660979717765E-2</v>
      </c>
      <c r="V52" s="277">
        <v>8.0396688356893245E-2</v>
      </c>
    </row>
    <row r="53" spans="1:22" x14ac:dyDescent="0.2">
      <c r="A53" t="str">
        <f t="shared" ref="A53:A58" si="3">"120/200"&amp;ROUND(B53,0)</f>
        <v>120/200100</v>
      </c>
      <c r="B53" s="435">
        <v>100.16515392000001</v>
      </c>
      <c r="C53" s="444">
        <v>0.16881396356939835</v>
      </c>
      <c r="D53" s="433">
        <v>2.4131313466023582E-2</v>
      </c>
      <c r="E53" s="437">
        <v>59.567261398457461</v>
      </c>
      <c r="F53" s="444">
        <v>7.3590724152435352E-2</v>
      </c>
      <c r="G53" s="433">
        <v>1.6933288916776063E-2</v>
      </c>
      <c r="H53" s="437">
        <v>45.732629829898706</v>
      </c>
      <c r="I53" s="444">
        <v>1.4399398453936341E-2</v>
      </c>
      <c r="J53" s="445">
        <v>-1.5114285427130503E-3</v>
      </c>
      <c r="K53" s="409"/>
      <c r="L53" s="409"/>
      <c r="N53" s="278">
        <v>99.915426539999999</v>
      </c>
      <c r="O53" s="275">
        <v>0.1596215052462624</v>
      </c>
      <c r="P53" s="276">
        <v>1.6278938663700775E-2</v>
      </c>
      <c r="Q53" s="283">
        <v>5</v>
      </c>
      <c r="R53" s="275">
        <v>0.15634171190373808</v>
      </c>
      <c r="S53" s="276">
        <v>4.5086593779981483E-2</v>
      </c>
      <c r="T53" s="283">
        <v>5</v>
      </c>
      <c r="U53" s="275">
        <v>5.2069401308003915E-3</v>
      </c>
      <c r="V53" s="277">
        <v>8.1239559208589676E-2</v>
      </c>
    </row>
    <row r="54" spans="1:22" x14ac:dyDescent="0.2">
      <c r="A54" t="str">
        <f t="shared" si="3"/>
        <v>120/20060</v>
      </c>
      <c r="B54" s="435">
        <v>60.079884224000004</v>
      </c>
      <c r="C54" s="444">
        <v>0.21956276025286839</v>
      </c>
      <c r="D54" s="433">
        <v>2.970909824827871E-2</v>
      </c>
      <c r="E54" s="437">
        <v>42.291164682130272</v>
      </c>
      <c r="F54" s="444">
        <v>5.5507836163637803E-2</v>
      </c>
      <c r="G54" s="433">
        <v>1.6017059195029239E-2</v>
      </c>
      <c r="H54" s="437">
        <v>48.978667479860043</v>
      </c>
      <c r="I54" s="444">
        <v>2.0132551792125392E-2</v>
      </c>
      <c r="J54" s="445">
        <v>-1.0561601231110399E-2</v>
      </c>
      <c r="K54" s="409"/>
      <c r="L54" s="409"/>
      <c r="N54" s="278">
        <v>60.049026724000001</v>
      </c>
      <c r="O54" s="275">
        <v>0.21208712807656116</v>
      </c>
      <c r="P54" s="276">
        <v>2.0447664234290862E-2</v>
      </c>
      <c r="Q54" s="283">
        <v>5</v>
      </c>
      <c r="R54" s="275">
        <v>0.13961408852019719</v>
      </c>
      <c r="S54" s="276">
        <v>4.5086593779981483E-2</v>
      </c>
      <c r="T54" s="283">
        <v>5</v>
      </c>
      <c r="U54" s="275">
        <v>1.2656919615818163E-2</v>
      </c>
      <c r="V54" s="277">
        <v>7.3544651125448987E-2</v>
      </c>
    </row>
    <row r="55" spans="1:22" x14ac:dyDescent="0.2">
      <c r="A55" t="str">
        <f t="shared" si="3"/>
        <v>120/20040</v>
      </c>
      <c r="B55" s="435">
        <v>40.071349826000002</v>
      </c>
      <c r="C55" s="444">
        <v>0.25200167333853629</v>
      </c>
      <c r="D55" s="433">
        <v>3.3964590328801364E-2</v>
      </c>
      <c r="E55" s="437">
        <v>38.659909732018328</v>
      </c>
      <c r="F55" s="444">
        <v>5.7416420558101512E-2</v>
      </c>
      <c r="G55" s="433">
        <v>1.6849048737447556E-2</v>
      </c>
      <c r="H55" s="437">
        <v>52.499330597885681</v>
      </c>
      <c r="I55" s="444">
        <v>2.222998689784228E-2</v>
      </c>
      <c r="J55" s="445">
        <v>-7.8141916246186882E-5</v>
      </c>
      <c r="K55" s="409"/>
      <c r="L55" s="409"/>
      <c r="N55" s="278">
        <v>40.094040904000003</v>
      </c>
      <c r="O55" s="275">
        <v>0.24706502039020384</v>
      </c>
      <c r="P55" s="276">
        <v>2.3633543357345223E-2</v>
      </c>
      <c r="Q55" s="283">
        <v>5</v>
      </c>
      <c r="R55" s="275">
        <v>0.13065436901270489</v>
      </c>
      <c r="S55" s="276">
        <v>4.5086593779981483E-2</v>
      </c>
      <c r="T55" s="283">
        <v>5</v>
      </c>
      <c r="U55" s="275">
        <v>1.7293333949509826E-2</v>
      </c>
      <c r="V55" s="277">
        <v>7.3159806538357186E-2</v>
      </c>
    </row>
    <row r="56" spans="1:22" x14ac:dyDescent="0.2">
      <c r="A56" t="str">
        <f t="shared" si="3"/>
        <v>120/20020</v>
      </c>
      <c r="B56" s="435">
        <v>19.999084906</v>
      </c>
      <c r="C56" s="444">
        <v>0.31280516301103778</v>
      </c>
      <c r="D56" s="433">
        <v>4.1783202303610198E-2</v>
      </c>
      <c r="E56" s="437">
        <v>36.657700403051521</v>
      </c>
      <c r="F56" s="444">
        <v>4.5493238991726803E-2</v>
      </c>
      <c r="G56" s="433">
        <v>1.9770475075939077E-2</v>
      </c>
      <c r="H56" s="437">
        <v>53.09445811850042</v>
      </c>
      <c r="I56" s="444">
        <v>4.5247395263243784E-2</v>
      </c>
      <c r="J56" s="445">
        <v>-1.185320375634985E-4</v>
      </c>
      <c r="K56" s="409"/>
      <c r="L56" s="409"/>
      <c r="N56" s="278">
        <v>20.242127338</v>
      </c>
      <c r="O56" s="275">
        <v>0.29095423993023634</v>
      </c>
      <c r="P56" s="276">
        <v>2.9789634413326282E-2</v>
      </c>
      <c r="Q56" s="283">
        <v>5</v>
      </c>
      <c r="R56" s="275">
        <v>0.11558979632792932</v>
      </c>
      <c r="S56" s="276">
        <v>4.5086593779981483E-2</v>
      </c>
      <c r="T56" s="283">
        <v>5</v>
      </c>
      <c r="U56" s="275">
        <v>2.3396472182442341E-2</v>
      </c>
      <c r="V56" s="277">
        <v>6.9978025298639016E-2</v>
      </c>
    </row>
    <row r="57" spans="1:22" x14ac:dyDescent="0.2">
      <c r="A57" t="str">
        <f t="shared" si="3"/>
        <v>120/20010</v>
      </c>
      <c r="B57" s="435">
        <v>9.999829483800001</v>
      </c>
      <c r="C57" s="444">
        <v>0.34690340839935313</v>
      </c>
      <c r="D57" s="433">
        <v>5.0170517941146887E-2</v>
      </c>
      <c r="E57" s="437">
        <v>38.265350164989712</v>
      </c>
      <c r="F57" s="444">
        <v>2.6036797087866981E-2</v>
      </c>
      <c r="G57" s="433">
        <v>2.6007385215056779E-2</v>
      </c>
      <c r="H57" s="437">
        <v>16.586629386739094</v>
      </c>
      <c r="I57" s="444">
        <v>5.657353349337213E-2</v>
      </c>
      <c r="J57" s="445">
        <v>-1.2427460242454617E-2</v>
      </c>
      <c r="K57" s="409"/>
      <c r="L57" s="409"/>
      <c r="N57" s="278">
        <v>10.0535274</v>
      </c>
      <c r="O57" s="275">
        <v>0.33152953213379704</v>
      </c>
      <c r="P57" s="276">
        <v>4.5135325342814371E-2</v>
      </c>
      <c r="Q57" s="283">
        <v>5</v>
      </c>
      <c r="R57" s="275">
        <v>0.11831896848118796</v>
      </c>
      <c r="S57" s="276">
        <v>4.5086593779981483E-2</v>
      </c>
      <c r="T57" s="283">
        <v>5</v>
      </c>
      <c r="U57" s="275">
        <v>4.1199657227816044E-2</v>
      </c>
      <c r="V57" s="277">
        <v>7.985471115086637E-2</v>
      </c>
    </row>
    <row r="58" spans="1:22" ht="13.5" thickBot="1" x14ac:dyDescent="0.25">
      <c r="A58" t="str">
        <f t="shared" si="3"/>
        <v>120/2005</v>
      </c>
      <c r="B58" s="435">
        <v>4.9392275202000002</v>
      </c>
      <c r="C58" s="444">
        <v>0.36805932694608762</v>
      </c>
      <c r="D58" s="433">
        <v>6.4429594675743468E-2</v>
      </c>
      <c r="E58" s="437">
        <v>26.31606241070681</v>
      </c>
      <c r="F58" s="444">
        <v>4.6965346060309596E-2</v>
      </c>
      <c r="G58" s="433">
        <v>4.6788986298833414E-2</v>
      </c>
      <c r="H58" s="437">
        <v>9.9413455012810044</v>
      </c>
      <c r="I58" s="444">
        <v>6.6241968826777242E-2</v>
      </c>
      <c r="J58" s="445">
        <v>-3.7333363595236604E-2</v>
      </c>
      <c r="K58" s="409"/>
      <c r="L58" s="409"/>
      <c r="N58" s="284"/>
      <c r="O58" s="285"/>
      <c r="P58" s="285"/>
      <c r="Q58" s="286"/>
      <c r="R58" s="285"/>
      <c r="S58" s="285"/>
      <c r="T58" s="286"/>
      <c r="U58" s="285"/>
      <c r="V58" s="287"/>
    </row>
    <row r="59" spans="1:22" ht="13.5" thickBot="1" x14ac:dyDescent="0.25">
      <c r="B59" s="439"/>
      <c r="C59" s="441"/>
      <c r="D59" s="441"/>
      <c r="E59" s="442"/>
      <c r="F59" s="441"/>
      <c r="G59" s="441"/>
      <c r="H59" s="442"/>
      <c r="I59" s="441"/>
      <c r="J59" s="443"/>
      <c r="K59" s="409"/>
      <c r="L59" s="409"/>
      <c r="N59" s="288"/>
      <c r="O59" s="288"/>
      <c r="P59" s="288"/>
      <c r="Q59" s="288"/>
      <c r="R59" s="288"/>
      <c r="S59" s="288"/>
      <c r="T59" s="288"/>
      <c r="U59" s="288"/>
      <c r="V59" s="288"/>
    </row>
    <row r="60" spans="1:22" ht="13.5" thickBot="1" x14ac:dyDescent="0.25">
      <c r="B60" s="446"/>
      <c r="C60" s="446"/>
      <c r="D60" s="446"/>
      <c r="E60" s="446"/>
      <c r="F60" s="446"/>
      <c r="G60" s="446"/>
      <c r="H60" s="446"/>
      <c r="I60" s="446"/>
      <c r="J60" s="446"/>
      <c r="K60" s="409"/>
      <c r="L60" s="409"/>
      <c r="N60" s="288"/>
      <c r="O60" s="288"/>
      <c r="P60" s="288"/>
      <c r="Q60" s="288"/>
      <c r="R60" s="288"/>
      <c r="S60" s="288"/>
      <c r="T60" s="288"/>
      <c r="U60" s="288"/>
      <c r="V60" s="288"/>
    </row>
    <row r="61" spans="1:22" x14ac:dyDescent="0.2">
      <c r="B61" s="411" t="s">
        <v>265</v>
      </c>
      <c r="C61" s="412"/>
      <c r="D61" s="412"/>
      <c r="E61" s="412"/>
      <c r="F61" s="412"/>
      <c r="G61" s="412"/>
      <c r="H61" s="412"/>
      <c r="I61" s="412"/>
      <c r="J61" s="413"/>
      <c r="K61" s="409"/>
      <c r="L61" s="409"/>
      <c r="N61" s="262" t="s">
        <v>265</v>
      </c>
      <c r="O61" s="263"/>
      <c r="P61" s="263"/>
      <c r="Q61" s="263"/>
      <c r="R61" s="263"/>
      <c r="S61" s="263"/>
      <c r="T61" s="263"/>
      <c r="U61" s="263"/>
      <c r="V61" s="264"/>
    </row>
    <row r="62" spans="1:22" x14ac:dyDescent="0.2">
      <c r="B62" s="414" t="s">
        <v>266</v>
      </c>
      <c r="C62" s="415"/>
      <c r="D62" s="415"/>
      <c r="E62" s="415"/>
      <c r="F62" s="415"/>
      <c r="G62" s="415"/>
      <c r="H62" s="415"/>
      <c r="I62" s="415"/>
      <c r="J62" s="416"/>
      <c r="K62" s="409"/>
      <c r="L62" s="409"/>
      <c r="N62" s="265" t="s">
        <v>266</v>
      </c>
      <c r="O62" s="7"/>
      <c r="P62" s="7"/>
      <c r="Q62" s="7"/>
      <c r="R62" s="7"/>
      <c r="S62" s="7"/>
      <c r="T62" s="7"/>
      <c r="U62" s="7"/>
      <c r="V62" s="266"/>
    </row>
    <row r="63" spans="1:22" x14ac:dyDescent="0.2">
      <c r="B63" s="417"/>
      <c r="C63" s="418"/>
      <c r="D63" s="418"/>
      <c r="E63" s="418"/>
      <c r="F63" s="418"/>
      <c r="G63" s="418"/>
      <c r="H63" s="418"/>
      <c r="I63" s="418"/>
      <c r="J63" s="419"/>
      <c r="K63" s="409"/>
      <c r="L63" s="409"/>
      <c r="N63" s="255"/>
      <c r="O63" s="38"/>
      <c r="P63" s="38"/>
      <c r="Q63" s="38"/>
      <c r="R63" s="38"/>
      <c r="S63" s="38"/>
      <c r="T63" s="38"/>
      <c r="U63" s="38"/>
      <c r="V63" s="256"/>
    </row>
    <row r="64" spans="1:22" x14ac:dyDescent="0.2">
      <c r="B64" s="420" t="s">
        <v>247</v>
      </c>
      <c r="C64" s="652" t="s">
        <v>248</v>
      </c>
      <c r="D64" s="653"/>
      <c r="E64" s="654"/>
      <c r="F64" s="652" t="s">
        <v>249</v>
      </c>
      <c r="G64" s="653"/>
      <c r="H64" s="654"/>
      <c r="I64" s="652" t="s">
        <v>250</v>
      </c>
      <c r="J64" s="655"/>
      <c r="K64" s="409"/>
      <c r="L64" s="409"/>
      <c r="N64" s="257" t="s">
        <v>247</v>
      </c>
      <c r="O64" s="645" t="s">
        <v>248</v>
      </c>
      <c r="P64" s="656"/>
      <c r="Q64" s="646"/>
      <c r="R64" s="645" t="s">
        <v>249</v>
      </c>
      <c r="S64" s="656"/>
      <c r="T64" s="646"/>
      <c r="U64" s="645" t="s">
        <v>250</v>
      </c>
      <c r="V64" s="651"/>
    </row>
    <row r="65" spans="1:22" ht="51" x14ac:dyDescent="0.2">
      <c r="A65" s="2" t="s">
        <v>418</v>
      </c>
      <c r="B65" s="421" t="s">
        <v>251</v>
      </c>
      <c r="C65" s="425" t="s">
        <v>252</v>
      </c>
      <c r="D65" s="426" t="s">
        <v>253</v>
      </c>
      <c r="E65" s="427" t="s">
        <v>254</v>
      </c>
      <c r="F65" s="425" t="s">
        <v>255</v>
      </c>
      <c r="G65" s="426" t="s">
        <v>256</v>
      </c>
      <c r="H65" s="427" t="s">
        <v>254</v>
      </c>
      <c r="I65" s="426" t="s">
        <v>257</v>
      </c>
      <c r="J65" s="428" t="s">
        <v>258</v>
      </c>
      <c r="K65" s="409"/>
      <c r="L65" s="409"/>
      <c r="N65" s="258" t="s">
        <v>251</v>
      </c>
      <c r="O65" s="267" t="s">
        <v>252</v>
      </c>
      <c r="P65" s="268" t="s">
        <v>253</v>
      </c>
      <c r="Q65" s="269" t="s">
        <v>254</v>
      </c>
      <c r="R65" s="267" t="s">
        <v>255</v>
      </c>
      <c r="S65" s="268" t="s">
        <v>256</v>
      </c>
      <c r="T65" s="269" t="s">
        <v>254</v>
      </c>
      <c r="U65" s="268" t="s">
        <v>257</v>
      </c>
      <c r="V65" s="270" t="s">
        <v>258</v>
      </c>
    </row>
    <row r="66" spans="1:22" x14ac:dyDescent="0.2">
      <c r="A66" t="str">
        <f t="shared" ref="A66:A72" si="4">"100/500"&amp;ROUND(B66,0)</f>
        <v>100/500120</v>
      </c>
      <c r="B66" s="435">
        <v>119.66667364000001</v>
      </c>
      <c r="C66" s="444">
        <v>-0.10273283205552934</v>
      </c>
      <c r="D66" s="433">
        <v>1.8295886934784636E-2</v>
      </c>
      <c r="E66" s="437">
        <v>52.992849928943109</v>
      </c>
      <c r="F66" s="444">
        <v>2.6678024887283512E-2</v>
      </c>
      <c r="G66" s="433">
        <v>1.4551976086753656E-2</v>
      </c>
      <c r="H66" s="437">
        <v>37.046839680257939</v>
      </c>
      <c r="I66" s="444">
        <v>-0.27292863544435031</v>
      </c>
      <c r="J66" s="445">
        <v>-8.732408733754049E-2</v>
      </c>
      <c r="K66" s="409"/>
      <c r="L66" s="409"/>
      <c r="N66" s="271"/>
      <c r="O66" s="275"/>
      <c r="P66" s="276"/>
      <c r="Q66" s="274"/>
      <c r="R66" s="275"/>
      <c r="S66" s="276"/>
      <c r="T66" s="274"/>
      <c r="U66" s="275"/>
      <c r="V66" s="277"/>
    </row>
    <row r="67" spans="1:22" x14ac:dyDescent="0.2">
      <c r="A67" t="str">
        <f t="shared" si="4"/>
        <v>100/500100</v>
      </c>
      <c r="B67" s="435">
        <v>100.02898456</v>
      </c>
      <c r="C67" s="444">
        <v>-8.2498579719605572E-2</v>
      </c>
      <c r="D67" s="433">
        <v>1.8956626609729386E-2</v>
      </c>
      <c r="E67" s="437">
        <v>46.1075151157861</v>
      </c>
      <c r="F67" s="444">
        <v>1.6971980492755709E-2</v>
      </c>
      <c r="G67" s="433">
        <v>1.4311967938516405E-2</v>
      </c>
      <c r="H67" s="437">
        <v>35.794797431999896</v>
      </c>
      <c r="I67" s="444">
        <v>-0.27304445884250955</v>
      </c>
      <c r="J67" s="445">
        <v>-9.6887706352113301E-2</v>
      </c>
      <c r="K67" s="409"/>
      <c r="L67" s="409"/>
      <c r="N67" s="278">
        <v>99.611517662000011</v>
      </c>
      <c r="O67" s="275">
        <v>0.54640760694846324</v>
      </c>
      <c r="P67" s="276">
        <v>3.1825247579431531E-2</v>
      </c>
      <c r="Q67" s="283">
        <v>5</v>
      </c>
      <c r="R67" s="275">
        <v>0.35994836512551204</v>
      </c>
      <c r="S67" s="276">
        <v>4.5086593779981483E-2</v>
      </c>
      <c r="T67" s="283">
        <v>5</v>
      </c>
      <c r="U67" s="275">
        <v>0.35586172782555925</v>
      </c>
      <c r="V67" s="277">
        <v>0.24608867828064301</v>
      </c>
    </row>
    <row r="68" spans="1:22" x14ac:dyDescent="0.2">
      <c r="A68" t="str">
        <f t="shared" si="4"/>
        <v>100/50060</v>
      </c>
      <c r="B68" s="435">
        <v>60.015608854</v>
      </c>
      <c r="C68" s="444">
        <v>-5.4520588644240149E-2</v>
      </c>
      <c r="D68" s="433">
        <v>2.2530884288471498E-2</v>
      </c>
      <c r="E68" s="437">
        <v>32.309008121776252</v>
      </c>
      <c r="F68" s="444">
        <v>4.9589713461817555E-3</v>
      </c>
      <c r="G68" s="433">
        <v>1.3813293909315565E-2</v>
      </c>
      <c r="H68" s="437">
        <v>38.941228878414144</v>
      </c>
      <c r="I68" s="444">
        <v>-0.30474948281474712</v>
      </c>
      <c r="J68" s="445">
        <v>-0.10265381943685024</v>
      </c>
      <c r="K68" s="409"/>
      <c r="L68" s="409"/>
      <c r="N68" s="278">
        <v>59.981850372000004</v>
      </c>
      <c r="O68" s="275">
        <v>0.62086238459036192</v>
      </c>
      <c r="P68" s="276">
        <v>3.7095752362213318E-2</v>
      </c>
      <c r="Q68" s="283">
        <v>5</v>
      </c>
      <c r="R68" s="275">
        <v>0.33620188570819387</v>
      </c>
      <c r="S68" s="276">
        <v>4.5086593779981483E-2</v>
      </c>
      <c r="T68" s="283">
        <v>5</v>
      </c>
      <c r="U68" s="275">
        <v>0.37063349041985494</v>
      </c>
      <c r="V68" s="277">
        <v>0.22858909492516188</v>
      </c>
    </row>
    <row r="69" spans="1:22" x14ac:dyDescent="0.2">
      <c r="A69" t="str">
        <f t="shared" si="4"/>
        <v>100/50040</v>
      </c>
      <c r="B69" s="435">
        <v>39.986475329999998</v>
      </c>
      <c r="C69" s="444">
        <v>-3.330705314182917E-2</v>
      </c>
      <c r="D69" s="433">
        <v>2.5730888296073045E-2</v>
      </c>
      <c r="E69" s="437">
        <v>29.817691439368154</v>
      </c>
      <c r="F69" s="444">
        <v>6.9880834743435071E-3</v>
      </c>
      <c r="G69" s="433">
        <v>1.4424795287986404E-2</v>
      </c>
      <c r="H69" s="437">
        <v>41.183878201319992</v>
      </c>
      <c r="I69" s="444">
        <v>-0.32549986350682519</v>
      </c>
      <c r="J69" s="445">
        <v>-9.2954214158085607E-2</v>
      </c>
      <c r="K69" s="409"/>
      <c r="L69" s="409"/>
      <c r="N69" s="278">
        <v>40.233165411999998</v>
      </c>
      <c r="O69" s="275">
        <v>0.6545947137162218</v>
      </c>
      <c r="P69" s="276">
        <v>4.0977170764233267E-2</v>
      </c>
      <c r="Q69" s="283">
        <v>5</v>
      </c>
      <c r="R69" s="275">
        <v>0.33774750493078942</v>
      </c>
      <c r="S69" s="276">
        <v>4.5086593779981483E-2</v>
      </c>
      <c r="T69" s="283">
        <v>5</v>
      </c>
      <c r="U69" s="275">
        <v>0.3624019033512258</v>
      </c>
      <c r="V69" s="277">
        <v>0.2378052072983603</v>
      </c>
    </row>
    <row r="70" spans="1:22" x14ac:dyDescent="0.2">
      <c r="A70" t="str">
        <f t="shared" si="4"/>
        <v>100/50020</v>
      </c>
      <c r="B70" s="435">
        <v>20.004374869999999</v>
      </c>
      <c r="C70" s="444">
        <v>1.2524470562496524E-2</v>
      </c>
      <c r="D70" s="433">
        <v>3.1349737027076635E-2</v>
      </c>
      <c r="E70" s="437">
        <v>28.27852719903964</v>
      </c>
      <c r="F70" s="444">
        <v>-2.1786290507728297E-2</v>
      </c>
      <c r="G70" s="433">
        <v>1.8147427661444039E-2</v>
      </c>
      <c r="H70" s="437">
        <v>45.96748976299007</v>
      </c>
      <c r="I70" s="444">
        <v>-0.33259776049508849</v>
      </c>
      <c r="J70" s="445">
        <v>-0.11200337955342601</v>
      </c>
      <c r="K70" s="409"/>
      <c r="L70" s="409"/>
      <c r="N70" s="278">
        <v>20.007466214000001</v>
      </c>
      <c r="O70" s="275">
        <v>0.71062049400808847</v>
      </c>
      <c r="P70" s="276">
        <v>4.7689958845213903E-2</v>
      </c>
      <c r="Q70" s="283">
        <v>5</v>
      </c>
      <c r="R70" s="275">
        <v>0.32824996676334517</v>
      </c>
      <c r="S70" s="276">
        <v>4.5086593779981483E-2</v>
      </c>
      <c r="T70" s="283">
        <v>5</v>
      </c>
      <c r="U70" s="275">
        <v>0.36549826295050347</v>
      </c>
      <c r="V70" s="277">
        <v>0.23803287771764747</v>
      </c>
    </row>
    <row r="71" spans="1:22" x14ac:dyDescent="0.2">
      <c r="A71" t="str">
        <f t="shared" si="4"/>
        <v>100/50010</v>
      </c>
      <c r="B71" s="435">
        <v>10.014578373999999</v>
      </c>
      <c r="C71" s="444">
        <v>3.9200285856382265E-2</v>
      </c>
      <c r="D71" s="433">
        <v>3.8970970976925777E-2</v>
      </c>
      <c r="E71" s="437">
        <v>29.84467012079725</v>
      </c>
      <c r="F71" s="444">
        <v>-2.690834427300209E-2</v>
      </c>
      <c r="G71" s="433">
        <v>2.4531274446844199E-2</v>
      </c>
      <c r="H71" s="437">
        <v>14.786008712790281</v>
      </c>
      <c r="I71" s="444">
        <v>-0.33799334069697673</v>
      </c>
      <c r="J71" s="445">
        <v>-0.1131233753010943</v>
      </c>
      <c r="K71" s="409"/>
      <c r="L71" s="409"/>
      <c r="N71" s="278">
        <v>9.9802665546</v>
      </c>
      <c r="O71" s="275">
        <v>0.77251729359210541</v>
      </c>
      <c r="P71" s="276">
        <v>6.2278066073460682E-2</v>
      </c>
      <c r="Q71" s="283">
        <v>5</v>
      </c>
      <c r="R71" s="275">
        <v>0.32909980159000068</v>
      </c>
      <c r="S71" s="276">
        <v>4.5086593779981483E-2</v>
      </c>
      <c r="T71" s="283">
        <v>5</v>
      </c>
      <c r="U71" s="275">
        <v>0.39532366703874644</v>
      </c>
      <c r="V71" s="277">
        <v>0.24288477056190849</v>
      </c>
    </row>
    <row r="72" spans="1:22" ht="13.5" thickBot="1" x14ac:dyDescent="0.25">
      <c r="A72" t="str">
        <f t="shared" si="4"/>
        <v>100/5005</v>
      </c>
      <c r="B72" s="435">
        <v>5.0256175958</v>
      </c>
      <c r="C72" s="444">
        <v>5.5034085585151292E-2</v>
      </c>
      <c r="D72" s="433">
        <v>5.4820493375693558E-2</v>
      </c>
      <c r="E72" s="437">
        <v>20.617791572739396</v>
      </c>
      <c r="F72" s="444">
        <v>-1.756844024903096E-2</v>
      </c>
      <c r="G72" s="433">
        <v>4.421445692838117E-2</v>
      </c>
      <c r="H72" s="437">
        <v>8.4048502181639559</v>
      </c>
      <c r="I72" s="444">
        <v>-0.34148222930208616</v>
      </c>
      <c r="J72" s="445">
        <v>-8.2796004830150677E-2</v>
      </c>
      <c r="K72" s="409"/>
      <c r="L72" s="409"/>
      <c r="N72" s="284"/>
      <c r="O72" s="285"/>
      <c r="P72" s="285"/>
      <c r="Q72" s="286"/>
      <c r="R72" s="285"/>
      <c r="S72" s="285"/>
      <c r="T72" s="286"/>
      <c r="U72" s="285"/>
      <c r="V72" s="287"/>
    </row>
    <row r="73" spans="1:22" ht="13.5" thickBot="1" x14ac:dyDescent="0.25">
      <c r="B73" s="439"/>
      <c r="C73" s="441"/>
      <c r="D73" s="441"/>
      <c r="E73" s="442"/>
      <c r="F73" s="441"/>
      <c r="G73" s="441"/>
      <c r="H73" s="442"/>
      <c r="I73" s="441"/>
      <c r="J73" s="443"/>
      <c r="K73" s="409"/>
      <c r="L73" s="409"/>
    </row>
    <row r="74" spans="1:22" x14ac:dyDescent="0.2">
      <c r="B74" s="409"/>
      <c r="C74" s="409"/>
      <c r="D74" s="409"/>
      <c r="E74" s="409"/>
      <c r="F74" s="409"/>
      <c r="G74" s="409"/>
      <c r="H74" s="409"/>
      <c r="I74" s="409"/>
      <c r="J74" s="409"/>
      <c r="K74" s="409"/>
      <c r="L74" s="409"/>
    </row>
  </sheetData>
  <sheetProtection sheet="1" objects="1" scenarios="1"/>
  <mergeCells count="30">
    <mergeCell ref="I64:J64"/>
    <mergeCell ref="U50:V50"/>
    <mergeCell ref="C36:E36"/>
    <mergeCell ref="F36:H36"/>
    <mergeCell ref="I36:J36"/>
    <mergeCell ref="O36:Q36"/>
    <mergeCell ref="R36:T36"/>
    <mergeCell ref="C50:E50"/>
    <mergeCell ref="F50:H50"/>
    <mergeCell ref="I50:J50"/>
    <mergeCell ref="O50:Q50"/>
    <mergeCell ref="R50:T50"/>
    <mergeCell ref="O64:Q64"/>
    <mergeCell ref="R64:T64"/>
    <mergeCell ref="U64:V64"/>
    <mergeCell ref="U36:V36"/>
    <mergeCell ref="U8:V8"/>
    <mergeCell ref="C22:E22"/>
    <mergeCell ref="F22:H22"/>
    <mergeCell ref="I22:J22"/>
    <mergeCell ref="O22:Q22"/>
    <mergeCell ref="R22:T22"/>
    <mergeCell ref="U22:V22"/>
    <mergeCell ref="C8:E8"/>
    <mergeCell ref="F8:H8"/>
    <mergeCell ref="I8:J8"/>
    <mergeCell ref="O8:Q8"/>
    <mergeCell ref="R8:T8"/>
    <mergeCell ref="C64:E64"/>
    <mergeCell ref="F64:H64"/>
  </mergeCells>
  <phoneticPr fontId="1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N234"/>
  <sheetViews>
    <sheetView zoomScale="75" workbookViewId="0">
      <selection activeCell="B2" sqref="B2"/>
    </sheetView>
  </sheetViews>
  <sheetFormatPr defaultRowHeight="12.75" x14ac:dyDescent="0.2"/>
  <cols>
    <col min="1" max="1" width="10.85546875" customWidth="1"/>
    <col min="2" max="2" width="9.85546875" customWidth="1"/>
    <col min="3" max="3" width="11.42578125" customWidth="1"/>
    <col min="4" max="4" width="10.28515625" customWidth="1"/>
    <col min="5" max="6" width="11.42578125" customWidth="1"/>
    <col min="7" max="7" width="11.5703125" customWidth="1"/>
    <col min="14" max="15" width="10.7109375" customWidth="1"/>
    <col min="16" max="16" width="9.7109375" customWidth="1"/>
    <col min="17" max="17" width="10.140625" customWidth="1"/>
    <col min="18" max="18" width="11" customWidth="1"/>
    <col min="20" max="20" width="10.42578125" customWidth="1"/>
    <col min="21" max="21" width="13.140625" customWidth="1"/>
    <col min="23" max="23" width="11.85546875" customWidth="1"/>
    <col min="24" max="24" width="10.140625" bestFit="1" customWidth="1"/>
  </cols>
  <sheetData>
    <row r="1" spans="1:38" x14ac:dyDescent="0.2">
      <c r="C1" s="261" t="s">
        <v>289</v>
      </c>
      <c r="D1" s="1" t="s">
        <v>399</v>
      </c>
      <c r="M1" s="5"/>
      <c r="O1" s="261" t="s">
        <v>289</v>
      </c>
      <c r="P1" s="1" t="s">
        <v>282</v>
      </c>
      <c r="AB1" s="1" t="s">
        <v>99</v>
      </c>
      <c r="AF1" t="s">
        <v>108</v>
      </c>
      <c r="AK1" s="158" t="s">
        <v>166</v>
      </c>
      <c r="AL1" s="158"/>
    </row>
    <row r="2" spans="1:38" x14ac:dyDescent="0.2">
      <c r="B2">
        <v>4000</v>
      </c>
      <c r="C2" t="s">
        <v>397</v>
      </c>
      <c r="M2" s="5"/>
      <c r="N2" s="89">
        <v>5000</v>
      </c>
      <c r="O2" t="s">
        <v>113</v>
      </c>
      <c r="AB2">
        <v>4000</v>
      </c>
      <c r="AC2" t="s">
        <v>113</v>
      </c>
    </row>
    <row r="3" spans="1:38" x14ac:dyDescent="0.2">
      <c r="B3" s="60" t="s">
        <v>386</v>
      </c>
      <c r="C3" s="18"/>
      <c r="D3" s="18"/>
      <c r="E3" s="18"/>
      <c r="F3" s="18"/>
      <c r="G3" s="10"/>
      <c r="H3" s="10"/>
      <c r="I3" s="11"/>
      <c r="M3" s="5"/>
      <c r="N3" s="348" t="s">
        <v>291</v>
      </c>
      <c r="O3" s="132"/>
      <c r="P3" s="132"/>
      <c r="Q3" s="132"/>
      <c r="R3" s="132"/>
      <c r="S3" s="76"/>
      <c r="T3" s="76"/>
      <c r="U3" s="77"/>
      <c r="AB3" s="60" t="s">
        <v>96</v>
      </c>
      <c r="AC3" s="18"/>
      <c r="AD3" s="18"/>
      <c r="AE3" s="18"/>
      <c r="AF3" s="18"/>
      <c r="AG3" s="10"/>
      <c r="AH3" s="10"/>
      <c r="AI3" s="11"/>
    </row>
    <row r="4" spans="1:38" ht="25.5" x14ac:dyDescent="0.2">
      <c r="B4" s="12"/>
      <c r="C4" s="13"/>
      <c r="D4" s="645" t="s">
        <v>19</v>
      </c>
      <c r="E4" s="646"/>
      <c r="F4" s="645" t="s">
        <v>20</v>
      </c>
      <c r="G4" s="646"/>
      <c r="H4" s="645" t="s">
        <v>8</v>
      </c>
      <c r="I4" s="646"/>
      <c r="M4" s="5"/>
      <c r="N4" s="128"/>
      <c r="O4" s="129"/>
      <c r="P4" s="128" t="s">
        <v>19</v>
      </c>
      <c r="Q4" s="129"/>
      <c r="R4" s="128" t="s">
        <v>20</v>
      </c>
      <c r="S4" s="129"/>
      <c r="T4" s="128" t="s">
        <v>8</v>
      </c>
      <c r="U4" s="129"/>
      <c r="AB4" s="12"/>
      <c r="AC4" s="13"/>
      <c r="AD4" s="645" t="s">
        <v>19</v>
      </c>
      <c r="AE4" s="646"/>
      <c r="AF4" s="645" t="s">
        <v>20</v>
      </c>
      <c r="AG4" s="646"/>
      <c r="AH4" s="645" t="s">
        <v>8</v>
      </c>
      <c r="AI4" s="646"/>
    </row>
    <row r="5" spans="1:38" ht="51" x14ac:dyDescent="0.2">
      <c r="B5" s="12" t="s">
        <v>351</v>
      </c>
      <c r="C5" s="54" t="s">
        <v>241</v>
      </c>
      <c r="D5" s="54" t="s">
        <v>387</v>
      </c>
      <c r="E5" s="13" t="s">
        <v>388</v>
      </c>
      <c r="F5" s="54" t="s">
        <v>387</v>
      </c>
      <c r="G5" s="13" t="s">
        <v>388</v>
      </c>
      <c r="H5" s="54" t="s">
        <v>158</v>
      </c>
      <c r="I5" s="13" t="s">
        <v>159</v>
      </c>
      <c r="N5" s="290" t="s">
        <v>9</v>
      </c>
      <c r="O5" s="349" t="s">
        <v>15</v>
      </c>
      <c r="P5" s="17" t="s">
        <v>102</v>
      </c>
      <c r="Q5" s="9" t="s">
        <v>103</v>
      </c>
      <c r="R5" s="17" t="s">
        <v>102</v>
      </c>
      <c r="S5" s="9" t="s">
        <v>103</v>
      </c>
      <c r="T5" s="350" t="s">
        <v>280</v>
      </c>
      <c r="U5" s="129" t="s">
        <v>281</v>
      </c>
      <c r="AB5" s="8" t="s">
        <v>9</v>
      </c>
      <c r="AC5" s="17" t="s">
        <v>15</v>
      </c>
      <c r="AD5" s="17" t="s">
        <v>102</v>
      </c>
      <c r="AE5" s="9" t="s">
        <v>103</v>
      </c>
      <c r="AF5" s="17" t="s">
        <v>102</v>
      </c>
      <c r="AG5" s="9" t="s">
        <v>103</v>
      </c>
      <c r="AH5" s="17" t="s">
        <v>81</v>
      </c>
      <c r="AI5" s="9" t="s">
        <v>82</v>
      </c>
    </row>
    <row r="6" spans="1:38" x14ac:dyDescent="0.2">
      <c r="B6" s="53">
        <v>0.2</v>
      </c>
      <c r="C6" s="57">
        <v>5</v>
      </c>
      <c r="D6" s="65">
        <v>-59.180175627164019</v>
      </c>
      <c r="E6" s="56">
        <v>97.859486589359577</v>
      </c>
      <c r="F6" s="65">
        <v>26.864380099662682</v>
      </c>
      <c r="G6" s="56">
        <v>102.23301940526385</v>
      </c>
      <c r="H6" s="56">
        <v>2.1548082267295086</v>
      </c>
      <c r="I6" s="49">
        <v>2.1837386759815018</v>
      </c>
      <c r="K6" s="27">
        <f t="shared" ref="K6:L12" si="0">(D6-P111)/F6</f>
        <v>-0.40782474105419336</v>
      </c>
      <c r="L6" s="27">
        <f t="shared" si="0"/>
        <v>-9.3853026445126594E-2</v>
      </c>
      <c r="N6" s="351">
        <v>1.8399999999999996E-2</v>
      </c>
      <c r="O6" s="352">
        <v>5</v>
      </c>
      <c r="P6" s="353">
        <v>-54.227231305052307</v>
      </c>
      <c r="Q6" s="352">
        <v>96.999345579183128</v>
      </c>
      <c r="R6" s="353">
        <v>72.364174767967867</v>
      </c>
      <c r="S6" s="352">
        <v>70.172982408039047</v>
      </c>
      <c r="T6" s="354">
        <v>2.8918163320189336</v>
      </c>
      <c r="U6" s="355">
        <v>2.5931432879342236</v>
      </c>
      <c r="AB6" s="47">
        <v>2.2619999999999998E-2</v>
      </c>
      <c r="AC6" s="61">
        <v>5</v>
      </c>
      <c r="AD6" s="62">
        <v>-59.629944387105489</v>
      </c>
      <c r="AE6" s="61">
        <v>87.125160699865091</v>
      </c>
      <c r="AF6" s="62">
        <v>70.982490542608474</v>
      </c>
      <c r="AG6" s="61">
        <v>70.914756046757816</v>
      </c>
      <c r="AH6" s="63">
        <v>2.7572249241419682</v>
      </c>
      <c r="AI6" s="55">
        <v>2.3853298266967844</v>
      </c>
    </row>
    <row r="7" spans="1:38" x14ac:dyDescent="0.2">
      <c r="B7" s="53">
        <v>0.2</v>
      </c>
      <c r="C7" s="57">
        <v>10</v>
      </c>
      <c r="D7" s="65">
        <v>-58.151187482581534</v>
      </c>
      <c r="E7" s="56">
        <v>80.892131345438656</v>
      </c>
      <c r="F7" s="65">
        <v>21.350614733816574</v>
      </c>
      <c r="G7" s="56">
        <v>80.490615158793631</v>
      </c>
      <c r="H7" s="56">
        <v>2.1628644241038053</v>
      </c>
      <c r="I7" s="49">
        <v>2.1801838545335452</v>
      </c>
      <c r="K7" s="27">
        <f t="shared" si="0"/>
        <v>-0.48369434842679082</v>
      </c>
      <c r="L7" s="27">
        <f t="shared" si="0"/>
        <v>-0.16403206988005245</v>
      </c>
      <c r="N7" s="356">
        <v>1.8399999999999996E-2</v>
      </c>
      <c r="O7" s="130">
        <v>10</v>
      </c>
      <c r="P7" s="89">
        <v>-54.62743227409328</v>
      </c>
      <c r="Q7" s="130">
        <v>85.963491890533561</v>
      </c>
      <c r="R7" s="89">
        <v>59.969623144795882</v>
      </c>
      <c r="S7" s="130">
        <v>70.457517799974966</v>
      </c>
      <c r="T7" s="357">
        <v>2.85501585772225</v>
      </c>
      <c r="U7" s="133">
        <v>2.6377362046524748</v>
      </c>
      <c r="AB7" s="48">
        <v>2.2619999999999998E-2</v>
      </c>
      <c r="AC7" s="57">
        <v>10</v>
      </c>
      <c r="AD7" s="64">
        <v>-54.42733178957279</v>
      </c>
      <c r="AE7" s="57">
        <v>69.119294155226314</v>
      </c>
      <c r="AF7" s="64">
        <v>58.702923168265137</v>
      </c>
      <c r="AG7" s="57">
        <v>70.819868025887857</v>
      </c>
      <c r="AH7" s="65">
        <v>2.6879494798164094</v>
      </c>
      <c r="AI7" s="56">
        <v>2.4064072585868805</v>
      </c>
    </row>
    <row r="8" spans="1:38" x14ac:dyDescent="0.2">
      <c r="B8" s="53">
        <v>0.2</v>
      </c>
      <c r="C8" s="57">
        <v>20</v>
      </c>
      <c r="D8" s="65">
        <v>-57.419589209821083</v>
      </c>
      <c r="E8" s="56">
        <v>60.219274145769347</v>
      </c>
      <c r="F8" s="65">
        <v>29.422744628904326</v>
      </c>
      <c r="G8" s="56">
        <v>64.078170529478172</v>
      </c>
      <c r="H8" s="56">
        <v>2.1944148098499814</v>
      </c>
      <c r="I8" s="49">
        <v>2.1589986961469751</v>
      </c>
      <c r="K8" s="27">
        <f t="shared" si="0"/>
        <v>-0.31932686917569159</v>
      </c>
      <c r="L8" s="27">
        <f t="shared" si="0"/>
        <v>-0.2476667597453551</v>
      </c>
      <c r="N8" s="356">
        <v>1.8399999999999996E-2</v>
      </c>
      <c r="O8" s="130">
        <v>20</v>
      </c>
      <c r="P8" s="89">
        <v>-54.62743227409328</v>
      </c>
      <c r="Q8" s="130">
        <v>72.604300583220905</v>
      </c>
      <c r="R8" s="89">
        <v>44.852527919482206</v>
      </c>
      <c r="S8" s="130">
        <v>70.4558990820926</v>
      </c>
      <c r="T8" s="357">
        <v>2.8295329151975097</v>
      </c>
      <c r="U8" s="133">
        <v>2.637281535289477</v>
      </c>
      <c r="AB8" s="48">
        <v>2.2619999999999998E-2</v>
      </c>
      <c r="AC8" s="57">
        <v>20</v>
      </c>
      <c r="AD8" s="64">
        <v>-52.026125975326934</v>
      </c>
      <c r="AE8" s="57">
        <v>48.790089991924447</v>
      </c>
      <c r="AF8" s="64">
        <v>43.808748235703519</v>
      </c>
      <c r="AG8" s="57">
        <v>70.797637270245588</v>
      </c>
      <c r="AH8" s="65">
        <v>2.5870493155537546</v>
      </c>
      <c r="AI8" s="56">
        <v>2.4128696167542043</v>
      </c>
    </row>
    <row r="9" spans="1:38" x14ac:dyDescent="0.2">
      <c r="B9" s="53">
        <v>0.2</v>
      </c>
      <c r="C9" s="57">
        <v>40</v>
      </c>
      <c r="D9" s="65">
        <v>-59.275476032715304</v>
      </c>
      <c r="E9" s="56">
        <v>37.285142772707253</v>
      </c>
      <c r="F9" s="65">
        <v>25.72901548997179</v>
      </c>
      <c r="G9" s="56">
        <v>58.653366706221092</v>
      </c>
      <c r="H9" s="56">
        <v>2.2003436192884664</v>
      </c>
      <c r="I9" s="49">
        <v>2.1069210773302012</v>
      </c>
      <c r="K9" s="27">
        <f t="shared" si="0"/>
        <v>-0.28953500163317053</v>
      </c>
      <c r="L9" s="27">
        <f t="shared" si="0"/>
        <v>-0.32488833207678441</v>
      </c>
      <c r="N9" s="356">
        <v>1.8399999999999996E-2</v>
      </c>
      <c r="O9" s="130">
        <v>40</v>
      </c>
      <c r="P9" s="89">
        <v>-55.627934696695732</v>
      </c>
      <c r="Q9" s="130">
        <v>56.340937252579423</v>
      </c>
      <c r="R9" s="89">
        <v>44.820322162895849</v>
      </c>
      <c r="S9" s="130">
        <v>70.636752023557648</v>
      </c>
      <c r="T9" s="357">
        <v>2.8247765569775294</v>
      </c>
      <c r="U9" s="133">
        <v>2.6618114341343864</v>
      </c>
      <c r="AB9" s="48">
        <v>2.2619999999999998E-2</v>
      </c>
      <c r="AC9" s="57">
        <v>40</v>
      </c>
      <c r="AD9" s="64">
        <v>-52.426326944367908</v>
      </c>
      <c r="AE9" s="57">
        <v>29.622554637954128</v>
      </c>
      <c r="AF9" s="64">
        <v>43.806598921086014</v>
      </c>
      <c r="AG9" s="57">
        <v>70.766802945769641</v>
      </c>
      <c r="AH9" s="65">
        <v>2.5864431809976534</v>
      </c>
      <c r="AI9" s="56">
        <v>2.4231399582513502</v>
      </c>
    </row>
    <row r="10" spans="1:38" x14ac:dyDescent="0.2">
      <c r="B10" s="53">
        <v>0.2</v>
      </c>
      <c r="C10" s="51">
        <v>60</v>
      </c>
      <c r="D10" s="65">
        <v>-60.886501861867387</v>
      </c>
      <c r="E10" s="56">
        <v>21.19421401473635</v>
      </c>
      <c r="F10" s="65">
        <v>22.008274269169448</v>
      </c>
      <c r="G10" s="56">
        <v>54.743024357977603</v>
      </c>
      <c r="H10" s="56">
        <v>2.2077774970823154</v>
      </c>
      <c r="I10" s="49">
        <v>2.1677719101088786</v>
      </c>
      <c r="K10" s="27">
        <f t="shared" si="0"/>
        <v>-0.32985648586478233</v>
      </c>
      <c r="L10" s="27">
        <f t="shared" si="0"/>
        <v>-0.32372510115597058</v>
      </c>
      <c r="N10" s="356">
        <v>1.8399999999999996E-2</v>
      </c>
      <c r="O10" s="130">
        <v>60</v>
      </c>
      <c r="P10" s="89">
        <v>-51.826025490806451</v>
      </c>
      <c r="Q10" s="130">
        <v>51.113427610587522</v>
      </c>
      <c r="R10" s="89">
        <v>44.816137870121437</v>
      </c>
      <c r="S10" s="130">
        <v>70.575132402647981</v>
      </c>
      <c r="T10" s="357">
        <v>2.8241569066062167</v>
      </c>
      <c r="U10" s="133">
        <v>2.6537612613876651</v>
      </c>
      <c r="AB10" s="48">
        <v>2.2619999999999998E-2</v>
      </c>
      <c r="AC10" s="57">
        <v>60</v>
      </c>
      <c r="AD10" s="64">
        <v>-53.226728882449869</v>
      </c>
      <c r="AE10" s="57">
        <v>16.263363330641479</v>
      </c>
      <c r="AF10" s="64">
        <v>43.804960598424948</v>
      </c>
      <c r="AG10" s="57">
        <v>70.7473636925222</v>
      </c>
      <c r="AH10" s="65">
        <v>2.5859797894476402</v>
      </c>
      <c r="AI10" s="56">
        <v>2.4329741406940419</v>
      </c>
    </row>
    <row r="11" spans="1:38" x14ac:dyDescent="0.2">
      <c r="B11" s="53">
        <v>0.2</v>
      </c>
      <c r="C11" s="51">
        <v>100</v>
      </c>
      <c r="D11" s="65">
        <v>-61.333695978429816</v>
      </c>
      <c r="E11" s="56">
        <v>1.599373320031666</v>
      </c>
      <c r="F11" s="65">
        <v>20.02443678884103</v>
      </c>
      <c r="G11" s="56">
        <v>56.974765413447258</v>
      </c>
      <c r="H11" s="56">
        <v>2.1816675755102897</v>
      </c>
      <c r="I11" s="49">
        <v>2.1494165387256241</v>
      </c>
      <c r="K11" s="27">
        <f t="shared" si="0"/>
        <v>-0.34489680092804004</v>
      </c>
      <c r="L11" s="27">
        <f t="shared" si="0"/>
        <v>-0.31344717449343867</v>
      </c>
      <c r="N11" s="356">
        <v>1.8399999999999996E-2</v>
      </c>
      <c r="O11" s="130">
        <v>100</v>
      </c>
      <c r="P11" s="89">
        <v>-48.02411628491717</v>
      </c>
      <c r="Q11" s="130">
        <v>40.658408326603706</v>
      </c>
      <c r="R11" s="89">
        <v>44.843971017850308</v>
      </c>
      <c r="S11" s="130">
        <v>70.611258092580115</v>
      </c>
      <c r="T11" s="357">
        <v>2.8282730761311337</v>
      </c>
      <c r="U11" s="133">
        <v>2.6585127994195896</v>
      </c>
      <c r="AB11" s="48">
        <v>2.2619999999999998E-2</v>
      </c>
      <c r="AC11" s="57">
        <v>100</v>
      </c>
      <c r="AD11" s="64">
        <v>-52.026125975326934</v>
      </c>
      <c r="AE11" s="57">
        <v>0</v>
      </c>
      <c r="AF11" s="64">
        <v>43.804882776822893</v>
      </c>
      <c r="AG11" s="57">
        <v>70.75126607789403</v>
      </c>
      <c r="AH11" s="65">
        <v>2.585956819184632</v>
      </c>
      <c r="AI11" s="56">
        <v>2.4305610313943542</v>
      </c>
    </row>
    <row r="12" spans="1:38" x14ac:dyDescent="0.2">
      <c r="B12" s="53">
        <v>0.2</v>
      </c>
      <c r="C12" s="51">
        <v>120</v>
      </c>
      <c r="D12" s="65">
        <v>-61.457387123767887</v>
      </c>
      <c r="E12" s="56">
        <v>-4.600013442893828</v>
      </c>
      <c r="F12" s="65">
        <v>27.26450778270782</v>
      </c>
      <c r="G12" s="56">
        <v>53.527036300456679</v>
      </c>
      <c r="H12" s="56">
        <v>2.2244633125452347</v>
      </c>
      <c r="I12" s="49">
        <v>2.1278128214395289</v>
      </c>
      <c r="K12" s="27">
        <f t="shared" si="0"/>
        <v>-0.34591716174031262</v>
      </c>
      <c r="L12" s="27">
        <f t="shared" si="0"/>
        <v>-0.30838843095822999</v>
      </c>
      <c r="N12" s="356">
        <v>1.8399999999999996E-2</v>
      </c>
      <c r="O12" s="130">
        <v>120</v>
      </c>
      <c r="P12" s="89">
        <v>-46.223211924232778</v>
      </c>
      <c r="Q12" s="130">
        <v>32.526726661282957</v>
      </c>
      <c r="R12" s="89">
        <v>44.850995933754568</v>
      </c>
      <c r="S12" s="130">
        <v>70.66716323916242</v>
      </c>
      <c r="T12" s="357">
        <v>2.8293071274289088</v>
      </c>
      <c r="U12" s="133">
        <v>2.6656805707260283</v>
      </c>
      <c r="X12" t="s">
        <v>283</v>
      </c>
      <c r="AB12" s="48">
        <v>2.2619999999999998E-2</v>
      </c>
      <c r="AC12" s="57">
        <v>120</v>
      </c>
      <c r="AD12" s="64">
        <v>-51.225724037244987</v>
      </c>
      <c r="AE12" s="57">
        <v>-6.9700128559892072</v>
      </c>
      <c r="AF12" s="64">
        <v>43.80568486342554</v>
      </c>
      <c r="AG12" s="57">
        <v>70.746937113992587</v>
      </c>
      <c r="AH12" s="65">
        <v>2.5861836293797991</v>
      </c>
      <c r="AI12" s="56">
        <v>2.4332606208525198</v>
      </c>
    </row>
    <row r="13" spans="1:38" x14ac:dyDescent="0.2">
      <c r="B13" s="119"/>
      <c r="C13" s="113"/>
      <c r="D13" s="390"/>
      <c r="E13" s="391"/>
      <c r="F13" s="448"/>
      <c r="G13" s="116"/>
      <c r="H13" s="116"/>
      <c r="I13" s="117"/>
      <c r="K13" s="27"/>
      <c r="L13" s="27"/>
      <c r="N13" s="356"/>
      <c r="O13" s="135"/>
      <c r="P13" s="156"/>
      <c r="Q13" s="131"/>
      <c r="R13" s="358"/>
      <c r="S13" s="131"/>
      <c r="T13" s="357"/>
      <c r="U13" s="133"/>
      <c r="AB13" s="48"/>
      <c r="AC13" s="51"/>
      <c r="AD13" s="15"/>
      <c r="AE13" s="53"/>
      <c r="AF13" s="33"/>
      <c r="AG13" s="53"/>
      <c r="AH13" s="65"/>
      <c r="AI13" s="56"/>
    </row>
    <row r="14" spans="1:38" x14ac:dyDescent="0.2">
      <c r="A14" s="5" t="str">
        <f>B2&amp;C14</f>
        <v>40005</v>
      </c>
      <c r="B14" s="53">
        <v>0</v>
      </c>
      <c r="C14" s="51">
        <v>5</v>
      </c>
      <c r="D14" s="65">
        <v>-52.26345624808372</v>
      </c>
      <c r="E14" s="56">
        <v>84.351058263613226</v>
      </c>
      <c r="F14" s="65">
        <v>26.867029772122187</v>
      </c>
      <c r="G14" s="56">
        <v>96.282684676538267</v>
      </c>
      <c r="H14" s="56">
        <v>2.1546737949049164</v>
      </c>
      <c r="I14" s="49">
        <v>2.186120934281075</v>
      </c>
      <c r="K14" s="27">
        <f t="shared" ref="K14:L20" si="1">(D14-P119)/F14</f>
        <v>0.1177792257250169</v>
      </c>
      <c r="L14" s="27">
        <f t="shared" si="1"/>
        <v>-0.38473514148446547</v>
      </c>
      <c r="N14" s="359">
        <v>0.33879999999999999</v>
      </c>
      <c r="O14" s="130">
        <v>5</v>
      </c>
      <c r="P14" s="89">
        <v>-60.430346325187436</v>
      </c>
      <c r="Q14" s="130">
        <v>110.93937129116156</v>
      </c>
      <c r="R14" s="89">
        <v>72.361022378957983</v>
      </c>
      <c r="S14" s="130">
        <v>70.165523030149643</v>
      </c>
      <c r="T14" s="357">
        <v>2.8915458731277672</v>
      </c>
      <c r="U14" s="133">
        <v>2.5918462414212593</v>
      </c>
      <c r="X14" s="14">
        <f t="shared" ref="X14:Y20" si="2">(P14-AD35)</f>
        <v>-27.813967348347859</v>
      </c>
      <c r="Y14" s="14">
        <f t="shared" si="2"/>
        <v>-0.58083440466575098</v>
      </c>
      <c r="AB14" s="50">
        <v>0.34247999999999995</v>
      </c>
      <c r="AC14" s="57">
        <v>5</v>
      </c>
      <c r="AD14" s="64">
        <v>-67.834064252445515</v>
      </c>
      <c r="AE14" s="57">
        <v>110.93937129116156</v>
      </c>
      <c r="AF14" s="64">
        <v>70.996345556294642</v>
      </c>
      <c r="AG14" s="57">
        <v>70.939412388674469</v>
      </c>
      <c r="AH14" s="65">
        <v>2.7586474707290929</v>
      </c>
      <c r="AI14" s="56">
        <v>2.3812414989770927</v>
      </c>
    </row>
    <row r="15" spans="1:38" x14ac:dyDescent="0.2">
      <c r="A15" s="5" t="str">
        <f>B2&amp;C15</f>
        <v>400010</v>
      </c>
      <c r="B15" s="53">
        <v>0</v>
      </c>
      <c r="C15" s="51">
        <v>10</v>
      </c>
      <c r="D15" s="65">
        <v>-50.607468889651017</v>
      </c>
      <c r="E15" s="56">
        <v>66.82186302733767</v>
      </c>
      <c r="F15" s="65">
        <v>21.349025502657028</v>
      </c>
      <c r="G15" s="56">
        <v>73.574902392034943</v>
      </c>
      <c r="H15" s="56">
        <v>2.162973501869609</v>
      </c>
      <c r="I15" s="49">
        <v>2.1754311808067004</v>
      </c>
      <c r="K15" s="27">
        <f t="shared" si="1"/>
        <v>0.21641572527180311</v>
      </c>
      <c r="L15" s="27">
        <f t="shared" si="1"/>
        <v>-0.52068250139212546</v>
      </c>
      <c r="N15" s="359">
        <v>0.33879999999999999</v>
      </c>
      <c r="O15" s="130">
        <v>10</v>
      </c>
      <c r="P15" s="89">
        <v>-61.630949232310371</v>
      </c>
      <c r="Q15" s="130">
        <v>99.322683197846203</v>
      </c>
      <c r="R15" s="89">
        <v>59.968130526741319</v>
      </c>
      <c r="S15" s="130">
        <v>70.385508668994547</v>
      </c>
      <c r="T15" s="357">
        <v>2.854856064070356</v>
      </c>
      <c r="U15" s="133">
        <v>2.627197872936553</v>
      </c>
      <c r="X15" s="14">
        <f t="shared" si="2"/>
        <v>-27.213665894786402</v>
      </c>
      <c r="Y15" s="14">
        <f t="shared" si="2"/>
        <v>0</v>
      </c>
      <c r="AB15" s="50">
        <v>0.34247999999999995</v>
      </c>
      <c r="AC15" s="57">
        <v>10</v>
      </c>
      <c r="AD15" s="64">
        <v>-63.832054562035744</v>
      </c>
      <c r="AE15" s="57">
        <v>90.610167127859683</v>
      </c>
      <c r="AF15" s="64">
        <v>58.705326586830544</v>
      </c>
      <c r="AG15" s="57">
        <v>70.847852889153572</v>
      </c>
      <c r="AH15" s="65">
        <v>2.6882934631729505</v>
      </c>
      <c r="AI15" s="56">
        <v>2.4002529088715456</v>
      </c>
    </row>
    <row r="16" spans="1:38" x14ac:dyDescent="0.2">
      <c r="A16" s="5" t="str">
        <f>B2&amp;C16</f>
        <v>400020</v>
      </c>
      <c r="B16" s="53">
        <v>0</v>
      </c>
      <c r="C16" s="51">
        <v>20</v>
      </c>
      <c r="D16" s="65">
        <v>-50.026848630238746</v>
      </c>
      <c r="E16" s="56">
        <v>49.041816133053402</v>
      </c>
      <c r="F16" s="65">
        <v>29.42100233386968</v>
      </c>
      <c r="G16" s="56">
        <v>59.19517989138582</v>
      </c>
      <c r="H16" s="56">
        <v>2.1945284996189032</v>
      </c>
      <c r="I16" s="49">
        <v>2.1635050181226227</v>
      </c>
      <c r="K16" s="27">
        <f t="shared" si="1"/>
        <v>0.19717841306511527</v>
      </c>
      <c r="L16" s="27">
        <f t="shared" si="1"/>
        <v>-0.63353993063214487</v>
      </c>
      <c r="N16" s="359">
        <v>0.33879999999999999</v>
      </c>
      <c r="O16" s="130">
        <v>20</v>
      </c>
      <c r="P16" s="89">
        <v>-62.231250685871835</v>
      </c>
      <c r="Q16" s="130">
        <v>82.478485462538956</v>
      </c>
      <c r="R16" s="89">
        <v>44.853291468048369</v>
      </c>
      <c r="S16" s="130">
        <v>70.481085475804008</v>
      </c>
      <c r="T16" s="357">
        <v>2.8296451772574018</v>
      </c>
      <c r="U16" s="133">
        <v>2.6408826415464364</v>
      </c>
      <c r="X16" s="14">
        <f t="shared" si="2"/>
        <v>-26.213163472183957</v>
      </c>
      <c r="Y16" s="14">
        <f t="shared" si="2"/>
        <v>-1.1616688093315446</v>
      </c>
      <c r="AB16" s="50">
        <v>0.34247999999999995</v>
      </c>
      <c r="AC16" s="57">
        <v>20</v>
      </c>
      <c r="AD16" s="64">
        <v>-62.031150201351345</v>
      </c>
      <c r="AE16" s="57">
        <v>67.376790941229004</v>
      </c>
      <c r="AF16" s="64">
        <v>43.805268966437986</v>
      </c>
      <c r="AG16" s="57">
        <v>70.84498592582581</v>
      </c>
      <c r="AH16" s="65">
        <v>2.5860690287986339</v>
      </c>
      <c r="AI16" s="56">
        <v>2.4017193160794079</v>
      </c>
    </row>
    <row r="17" spans="1:35" x14ac:dyDescent="0.2">
      <c r="A17" s="5" t="str">
        <f>B2&amp;C17</f>
        <v>400040</v>
      </c>
      <c r="B17" s="53">
        <v>0</v>
      </c>
      <c r="C17" s="51">
        <v>40</v>
      </c>
      <c r="D17" s="65">
        <v>-51.606835988671463</v>
      </c>
      <c r="E17" s="56">
        <v>29.888511838519776</v>
      </c>
      <c r="F17" s="65">
        <v>25.726149495121131</v>
      </c>
      <c r="G17" s="56">
        <v>56.893900532384194</v>
      </c>
      <c r="H17" s="56">
        <v>2.2005686074244375</v>
      </c>
      <c r="I17" s="49">
        <v>2.1184744649999829</v>
      </c>
      <c r="K17" s="27">
        <f t="shared" si="1"/>
        <v>0.3196439826532928</v>
      </c>
      <c r="L17" s="27">
        <f t="shared" si="1"/>
        <v>-0.58745204595393663</v>
      </c>
      <c r="N17" s="359">
        <v>0.33879999999999999</v>
      </c>
      <c r="O17" s="130">
        <v>40</v>
      </c>
      <c r="P17" s="89">
        <v>-61.630949232310371</v>
      </c>
      <c r="Q17" s="130">
        <v>67.376790941229004</v>
      </c>
      <c r="R17" s="89">
        <v>44.849296926845838</v>
      </c>
      <c r="S17" s="130">
        <v>70.559977504546396</v>
      </c>
      <c r="T17" s="357">
        <v>2.8290576051307532</v>
      </c>
      <c r="U17" s="133">
        <v>2.6517471680968163</v>
      </c>
      <c r="X17" s="14">
        <f t="shared" si="2"/>
        <v>-23.211656204376638</v>
      </c>
      <c r="Y17" s="14">
        <f t="shared" si="2"/>
        <v>2.3233376186630892</v>
      </c>
      <c r="AB17" s="50">
        <v>0.34247999999999995</v>
      </c>
      <c r="AC17" s="57">
        <v>40</v>
      </c>
      <c r="AD17" s="64">
        <v>-64.032155046556227</v>
      </c>
      <c r="AE17" s="57">
        <v>42.98174594526678</v>
      </c>
      <c r="AF17" s="64">
        <v>43.804612345304847</v>
      </c>
      <c r="AG17" s="57">
        <v>70.779027429883556</v>
      </c>
      <c r="AH17" s="65">
        <v>2.5858823046331243</v>
      </c>
      <c r="AI17" s="56">
        <v>2.4186451538640941</v>
      </c>
    </row>
    <row r="18" spans="1:35" x14ac:dyDescent="0.2">
      <c r="A18" s="5" t="str">
        <f>B2&amp;C18</f>
        <v>400060</v>
      </c>
      <c r="B18" s="53">
        <v>0</v>
      </c>
      <c r="C18" s="51">
        <v>60</v>
      </c>
      <c r="D18" s="65">
        <v>-52.768076507495991</v>
      </c>
      <c r="E18" s="56">
        <v>16.130445695802472</v>
      </c>
      <c r="F18" s="65">
        <v>22.007176520045011</v>
      </c>
      <c r="G18" s="56">
        <v>54.133501493042438</v>
      </c>
      <c r="H18" s="56">
        <v>2.2078847864950903</v>
      </c>
      <c r="I18" s="49">
        <v>2.1822263942254709</v>
      </c>
      <c r="K18" s="27">
        <f t="shared" si="1"/>
        <v>0.44818903226558227</v>
      </c>
      <c r="L18" s="27">
        <f t="shared" si="1"/>
        <v>-0.5389386805484413</v>
      </c>
      <c r="N18" s="359">
        <v>0.33879999999999999</v>
      </c>
      <c r="O18" s="130">
        <v>60</v>
      </c>
      <c r="P18" s="89">
        <v>-59.830044871625979</v>
      </c>
      <c r="Q18" s="130">
        <v>56.340937252579423</v>
      </c>
      <c r="R18" s="89">
        <v>44.829537096902335</v>
      </c>
      <c r="S18" s="130">
        <v>70.419200724336974</v>
      </c>
      <c r="T18" s="357">
        <v>2.8261423160811434</v>
      </c>
      <c r="U18" s="133">
        <v>2.6318828247049915</v>
      </c>
      <c r="X18" s="14">
        <f t="shared" si="2"/>
        <v>-19.609847483007847</v>
      </c>
      <c r="Y18" s="14">
        <f t="shared" si="2"/>
        <v>4.0658408326603634</v>
      </c>
      <c r="AB18" s="50">
        <v>0.34247999999999995</v>
      </c>
      <c r="AC18" s="57">
        <v>60</v>
      </c>
      <c r="AD18" s="64">
        <v>-65.632958922720121</v>
      </c>
      <c r="AE18" s="57">
        <v>26.718382614625291</v>
      </c>
      <c r="AF18" s="64">
        <v>43.805356223138524</v>
      </c>
      <c r="AG18" s="57">
        <v>70.803739877458611</v>
      </c>
      <c r="AH18" s="65">
        <v>2.586091498003023</v>
      </c>
      <c r="AI18" s="56">
        <v>2.411368833192018</v>
      </c>
    </row>
    <row r="19" spans="1:35" x14ac:dyDescent="0.2">
      <c r="A19" s="5" t="str">
        <f>B2&amp;C19</f>
        <v>4000100</v>
      </c>
      <c r="B19" s="53">
        <v>0</v>
      </c>
      <c r="C19" s="51">
        <v>100</v>
      </c>
      <c r="D19" s="65">
        <v>-52.948949927300085</v>
      </c>
      <c r="E19" s="56">
        <v>-1.4412722300077068</v>
      </c>
      <c r="F19" s="65">
        <v>20.025010990001206</v>
      </c>
      <c r="G19" s="56">
        <v>56.981969057378322</v>
      </c>
      <c r="H19" s="56">
        <v>2.1816179818484582</v>
      </c>
      <c r="I19" s="49">
        <v>2.1492545573234514</v>
      </c>
      <c r="K19" s="27">
        <f t="shared" si="1"/>
        <v>0.54347558861115031</v>
      </c>
      <c r="L19" s="27">
        <f t="shared" si="1"/>
        <v>-0.4636054539293788</v>
      </c>
      <c r="N19" s="359">
        <v>0.33879999999999999</v>
      </c>
      <c r="O19" s="130">
        <v>100</v>
      </c>
      <c r="P19" s="89">
        <v>-56.828537603818639</v>
      </c>
      <c r="Q19" s="130">
        <v>38.335070707940638</v>
      </c>
      <c r="R19" s="89">
        <v>44.847794371456523</v>
      </c>
      <c r="S19" s="130">
        <v>70.638111009370974</v>
      </c>
      <c r="T19" s="357">
        <v>2.8288362118542394</v>
      </c>
      <c r="U19" s="133">
        <v>2.6619829911444186</v>
      </c>
      <c r="X19" s="14">
        <f t="shared" si="2"/>
        <v>-14.807435854516115</v>
      </c>
      <c r="Y19" s="14">
        <f t="shared" si="2"/>
        <v>2.9041720233288402</v>
      </c>
      <c r="AB19" s="50">
        <v>0.34247999999999995</v>
      </c>
      <c r="AC19" s="57">
        <v>100</v>
      </c>
      <c r="AD19" s="64">
        <v>-65.032657469158664</v>
      </c>
      <c r="AE19" s="57">
        <v>6.3891784513234402</v>
      </c>
      <c r="AF19" s="64">
        <v>43.804102346237912</v>
      </c>
      <c r="AG19" s="57">
        <v>70.752964384949976</v>
      </c>
      <c r="AH19" s="65">
        <v>2.5857361147573581</v>
      </c>
      <c r="AI19" s="56">
        <v>2.4296092746352631</v>
      </c>
    </row>
    <row r="20" spans="1:35" x14ac:dyDescent="0.2">
      <c r="A20" s="5" t="str">
        <f>B2&amp;C20</f>
        <v>4000120</v>
      </c>
      <c r="B20" s="53">
        <v>0</v>
      </c>
      <c r="C20" s="51">
        <v>120</v>
      </c>
      <c r="D20" s="65">
        <v>-52.054456248083724</v>
      </c>
      <c r="E20" s="56">
        <v>-8.5137459601290626</v>
      </c>
      <c r="F20" s="65">
        <v>27.263774364928125</v>
      </c>
      <c r="G20" s="56">
        <v>53.666977300268655</v>
      </c>
      <c r="H20" s="56">
        <v>2.2245299708933306</v>
      </c>
      <c r="I20" s="49">
        <v>2.1251380980507344</v>
      </c>
      <c r="K20" s="27">
        <f t="shared" si="1"/>
        <v>0.38061109160503248</v>
      </c>
      <c r="L20" s="27">
        <f t="shared" si="1"/>
        <v>-0.44544818594901969</v>
      </c>
      <c r="N20" s="359">
        <v>0.33879999999999999</v>
      </c>
      <c r="O20" s="130">
        <v>120</v>
      </c>
      <c r="P20" s="89">
        <v>-55.627934696695732</v>
      </c>
      <c r="Q20" s="130">
        <v>32.526726661282957</v>
      </c>
      <c r="R20" s="89">
        <v>44.849969382865268</v>
      </c>
      <c r="S20" s="130">
        <v>70.66716323916242</v>
      </c>
      <c r="T20" s="357">
        <v>2.8291560984964415</v>
      </c>
      <c r="U20" s="133">
        <v>2.6656805707260283</v>
      </c>
      <c r="X20" s="14">
        <f t="shared" si="2"/>
        <v>-13.406732462872718</v>
      </c>
      <c r="Y20" s="14">
        <f t="shared" si="2"/>
        <v>3.4850064279945947</v>
      </c>
      <c r="AB20" s="50">
        <v>0.34247999999999995</v>
      </c>
      <c r="AC20" s="57">
        <v>120</v>
      </c>
      <c r="AD20" s="64">
        <v>-64.032155046556227</v>
      </c>
      <c r="AE20" s="57">
        <v>-1.7425032139973018</v>
      </c>
      <c r="AF20" s="64">
        <v>43.805208319476982</v>
      </c>
      <c r="AG20" s="57">
        <v>70.746935552445024</v>
      </c>
      <c r="AH20" s="65">
        <v>2.5860490628437311</v>
      </c>
      <c r="AI20" s="56">
        <v>2.4332616814605577</v>
      </c>
    </row>
    <row r="21" spans="1:35" x14ac:dyDescent="0.2">
      <c r="B21" s="39"/>
      <c r="C21" s="52"/>
      <c r="D21" s="38"/>
      <c r="E21" s="52"/>
      <c r="F21" s="38"/>
      <c r="G21" s="52"/>
      <c r="H21" s="52"/>
      <c r="I21" s="40"/>
      <c r="N21" s="92"/>
      <c r="O21" s="140"/>
      <c r="P21" s="82"/>
      <c r="Q21" s="140"/>
      <c r="R21" s="82"/>
      <c r="S21" s="140"/>
      <c r="T21" s="82"/>
      <c r="U21" s="140"/>
      <c r="AB21" s="39"/>
      <c r="AC21" s="52"/>
      <c r="AD21" s="38"/>
      <c r="AE21" s="52"/>
      <c r="AF21" s="38"/>
      <c r="AG21" s="52"/>
      <c r="AH21" s="38"/>
      <c r="AI21" s="52"/>
    </row>
    <row r="22" spans="1:35" x14ac:dyDescent="0.2">
      <c r="B22" s="7"/>
      <c r="C22" s="7"/>
      <c r="D22" s="7"/>
      <c r="E22" s="7"/>
      <c r="F22" s="7"/>
      <c r="G22" s="7"/>
      <c r="H22" s="7"/>
      <c r="I22" s="7"/>
      <c r="N22" s="68"/>
      <c r="O22" s="68"/>
      <c r="P22" s="68"/>
      <c r="Q22" s="68"/>
      <c r="R22" s="68"/>
      <c r="S22" s="68"/>
      <c r="T22" s="68"/>
      <c r="U22" s="68"/>
    </row>
    <row r="23" spans="1:35" x14ac:dyDescent="0.2">
      <c r="C23" s="95" t="s">
        <v>398</v>
      </c>
      <c r="N23" s="68"/>
      <c r="O23" s="68"/>
      <c r="P23" s="68"/>
      <c r="Q23" s="68"/>
      <c r="R23" s="68"/>
      <c r="S23" s="68"/>
      <c r="T23" s="68"/>
      <c r="U23" s="68"/>
      <c r="AB23" s="89">
        <v>5000</v>
      </c>
      <c r="AC23" t="s">
        <v>113</v>
      </c>
    </row>
    <row r="24" spans="1:35" x14ac:dyDescent="0.2">
      <c r="B24" s="60" t="s">
        <v>389</v>
      </c>
      <c r="C24" s="18"/>
      <c r="D24" s="18"/>
      <c r="E24" s="18"/>
      <c r="F24" s="18"/>
      <c r="G24" s="10"/>
      <c r="H24" s="10"/>
      <c r="I24" s="11"/>
      <c r="N24" s="348" t="s">
        <v>290</v>
      </c>
      <c r="O24" s="132"/>
      <c r="P24" s="132"/>
      <c r="Q24" s="132"/>
      <c r="R24" s="132"/>
      <c r="S24" s="76"/>
      <c r="T24" s="76"/>
      <c r="U24" s="77"/>
      <c r="AB24" s="60" t="s">
        <v>97</v>
      </c>
      <c r="AC24" s="18"/>
      <c r="AD24" s="18"/>
      <c r="AE24" s="18"/>
      <c r="AF24" s="18"/>
      <c r="AG24" s="10"/>
      <c r="AH24" s="10"/>
      <c r="AI24" s="11"/>
    </row>
    <row r="25" spans="1:35" ht="25.5" x14ac:dyDescent="0.2">
      <c r="B25" s="12"/>
      <c r="C25" s="13"/>
      <c r="D25" s="645" t="s">
        <v>19</v>
      </c>
      <c r="E25" s="646"/>
      <c r="F25" s="645" t="s">
        <v>20</v>
      </c>
      <c r="G25" s="646"/>
      <c r="H25" s="645" t="s">
        <v>8</v>
      </c>
      <c r="I25" s="646"/>
      <c r="N25" s="128"/>
      <c r="O25" s="129"/>
      <c r="P25" s="128" t="s">
        <v>19</v>
      </c>
      <c r="Q25" s="129"/>
      <c r="R25" s="128" t="s">
        <v>20</v>
      </c>
      <c r="S25" s="129"/>
      <c r="T25" s="128" t="s">
        <v>8</v>
      </c>
      <c r="U25" s="129"/>
      <c r="AB25" s="12"/>
      <c r="AC25" s="13"/>
      <c r="AD25" s="645" t="s">
        <v>19</v>
      </c>
      <c r="AE25" s="646"/>
      <c r="AF25" s="645" t="s">
        <v>20</v>
      </c>
      <c r="AG25" s="646"/>
      <c r="AH25" s="645" t="s">
        <v>8</v>
      </c>
      <c r="AI25" s="646"/>
    </row>
    <row r="26" spans="1:35" ht="51" x14ac:dyDescent="0.2">
      <c r="B26" s="12" t="s">
        <v>351</v>
      </c>
      <c r="C26" s="54" t="s">
        <v>241</v>
      </c>
      <c r="D26" s="54" t="s">
        <v>387</v>
      </c>
      <c r="E26" s="13" t="s">
        <v>388</v>
      </c>
      <c r="F26" s="54" t="s">
        <v>387</v>
      </c>
      <c r="G26" s="13" t="s">
        <v>388</v>
      </c>
      <c r="H26" s="54" t="s">
        <v>158</v>
      </c>
      <c r="I26" s="13" t="s">
        <v>159</v>
      </c>
      <c r="N26" s="290" t="s">
        <v>9</v>
      </c>
      <c r="O26" s="349" t="s">
        <v>15</v>
      </c>
      <c r="P26" s="17" t="s">
        <v>102</v>
      </c>
      <c r="Q26" s="9" t="s">
        <v>103</v>
      </c>
      <c r="R26" s="17" t="s">
        <v>102</v>
      </c>
      <c r="S26" s="9" t="s">
        <v>103</v>
      </c>
      <c r="T26" s="350" t="s">
        <v>280</v>
      </c>
      <c r="U26" s="129" t="s">
        <v>281</v>
      </c>
      <c r="AB26" s="8" t="s">
        <v>9</v>
      </c>
      <c r="AC26" s="17" t="s">
        <v>15</v>
      </c>
      <c r="AD26" s="17" t="s">
        <v>102</v>
      </c>
      <c r="AE26" s="9" t="s">
        <v>103</v>
      </c>
      <c r="AF26" s="17" t="s">
        <v>102</v>
      </c>
      <c r="AG26" s="9" t="s">
        <v>103</v>
      </c>
      <c r="AH26" s="17" t="s">
        <v>81</v>
      </c>
      <c r="AI26" s="9" t="s">
        <v>82</v>
      </c>
    </row>
    <row r="27" spans="1:35" x14ac:dyDescent="0.2">
      <c r="B27" s="53">
        <v>0.32</v>
      </c>
      <c r="C27" s="57">
        <v>5</v>
      </c>
      <c r="D27" s="65">
        <v>-63.425971988504457</v>
      </c>
      <c r="E27" s="56">
        <v>100.76271627243287</v>
      </c>
      <c r="F27" s="65">
        <v>26.874639288256528</v>
      </c>
      <c r="G27" s="56">
        <v>103.72850995491218</v>
      </c>
      <c r="H27" s="56">
        <v>2.1542910388004519</v>
      </c>
      <c r="I27" s="49">
        <v>2.1831370355304345</v>
      </c>
      <c r="K27" s="27">
        <f t="shared" ref="K27:L33" si="3">(D27-P90)/F27</f>
        <v>-0.56565429794287669</v>
      </c>
      <c r="L27" s="27">
        <f t="shared" si="3"/>
        <v>-6.4511180134012761E-2</v>
      </c>
      <c r="N27" s="351">
        <v>1.8399999999999996E-2</v>
      </c>
      <c r="O27" s="352">
        <v>5</v>
      </c>
      <c r="P27" s="353">
        <v>-54.227231305052307</v>
      </c>
      <c r="Q27" s="352">
        <v>96.999345579183128</v>
      </c>
      <c r="R27" s="353">
        <v>72.36719917524276</v>
      </c>
      <c r="S27" s="352">
        <v>70.176953403447115</v>
      </c>
      <c r="T27" s="354">
        <v>2.8920757525928806</v>
      </c>
      <c r="U27" s="355">
        <v>2.5938160788895184</v>
      </c>
      <c r="AB27" s="47">
        <v>2.2619999999999998E-2</v>
      </c>
      <c r="AC27" s="61">
        <v>5</v>
      </c>
      <c r="AD27" s="62">
        <v>-27.013565410265908</v>
      </c>
      <c r="AE27" s="61">
        <v>96.999345579183128</v>
      </c>
      <c r="AF27" s="62">
        <v>71.021566619044279</v>
      </c>
      <c r="AG27" s="61">
        <v>70.856767246246505</v>
      </c>
      <c r="AH27" s="63">
        <v>2.7612247176637257</v>
      </c>
      <c r="AI27" s="55">
        <v>2.396923679587005</v>
      </c>
    </row>
    <row r="28" spans="1:35" x14ac:dyDescent="0.2">
      <c r="B28" s="53">
        <v>0.32</v>
      </c>
      <c r="C28" s="57">
        <v>10</v>
      </c>
      <c r="D28" s="65">
        <v>-62.665142530183736</v>
      </c>
      <c r="E28" s="56">
        <v>80.684119587251644</v>
      </c>
      <c r="F28" s="65">
        <v>21.361269984196639</v>
      </c>
      <c r="G28" s="56">
        <v>80.185889973896792</v>
      </c>
      <c r="H28" s="56">
        <v>2.1621425688362947</v>
      </c>
      <c r="I28" s="49">
        <v>2.1795511747017451</v>
      </c>
      <c r="K28" s="27">
        <f t="shared" si="3"/>
        <v>-0.69476799557173885</v>
      </c>
      <c r="L28" s="27">
        <f t="shared" si="3"/>
        <v>-0.16724954942781589</v>
      </c>
      <c r="N28" s="356">
        <v>1.8399999999999996E-2</v>
      </c>
      <c r="O28" s="130">
        <v>10</v>
      </c>
      <c r="P28" s="89">
        <v>-54.62743227409328</v>
      </c>
      <c r="Q28" s="130">
        <v>85.963491890533561</v>
      </c>
      <c r="R28" s="89">
        <v>59.973892771137216</v>
      </c>
      <c r="S28" s="130">
        <v>70.462211627394083</v>
      </c>
      <c r="T28" s="357">
        <v>2.8554728349422471</v>
      </c>
      <c r="U28" s="133">
        <v>2.6383875722200059</v>
      </c>
      <c r="AB28" s="48">
        <v>2.2619999999999998E-2</v>
      </c>
      <c r="AC28" s="57">
        <v>10</v>
      </c>
      <c r="AD28" s="64">
        <v>-27.813967348347866</v>
      </c>
      <c r="AE28" s="57">
        <v>87.125160699865091</v>
      </c>
      <c r="AF28" s="64">
        <v>58.71346900570321</v>
      </c>
      <c r="AG28" s="57">
        <v>70.774050045055617</v>
      </c>
      <c r="AH28" s="65">
        <v>2.6894560565613905</v>
      </c>
      <c r="AI28" s="56">
        <v>2.4199426505639141</v>
      </c>
    </row>
    <row r="29" spans="1:35" x14ac:dyDescent="0.2">
      <c r="B29" s="53">
        <v>0.32</v>
      </c>
      <c r="C29" s="57">
        <v>20</v>
      </c>
      <c r="D29" s="65">
        <v>-63.223376064390479</v>
      </c>
      <c r="E29" s="56">
        <v>59.833401117675592</v>
      </c>
      <c r="F29" s="65">
        <v>29.43948795672231</v>
      </c>
      <c r="G29" s="56">
        <v>63.888172270760712</v>
      </c>
      <c r="H29" s="56">
        <v>2.1933320345913723</v>
      </c>
      <c r="I29" s="49">
        <v>2.1570176069248781</v>
      </c>
      <c r="K29" s="27">
        <f t="shared" si="3"/>
        <v>-0.51628818414970634</v>
      </c>
      <c r="L29" s="27">
        <f t="shared" si="3"/>
        <v>-0.25444312015448989</v>
      </c>
      <c r="N29" s="356">
        <v>1.8399999999999996E-2</v>
      </c>
      <c r="O29" s="130">
        <v>20</v>
      </c>
      <c r="P29" s="89">
        <v>-54.62743227409328</v>
      </c>
      <c r="Q29" s="130">
        <v>72.604300583220905</v>
      </c>
      <c r="R29" s="89">
        <v>44.858023513988556</v>
      </c>
      <c r="S29" s="130">
        <v>70.458485172339167</v>
      </c>
      <c r="T29" s="357">
        <v>2.83034090640618</v>
      </c>
      <c r="U29" s="133">
        <v>2.6376410291052146</v>
      </c>
      <c r="AB29" s="48">
        <v>2.2619999999999998E-2</v>
      </c>
      <c r="AC29" s="57">
        <v>20</v>
      </c>
      <c r="AD29" s="64">
        <v>-28.414268801909319</v>
      </c>
      <c r="AE29" s="57">
        <v>74.346803797218215</v>
      </c>
      <c r="AF29" s="64">
        <v>43.809557697129883</v>
      </c>
      <c r="AG29" s="57">
        <v>70.781447346379423</v>
      </c>
      <c r="AH29" s="65">
        <v>2.5872775276531721</v>
      </c>
      <c r="AI29" s="56">
        <v>2.4178763860944743</v>
      </c>
    </row>
    <row r="30" spans="1:35" x14ac:dyDescent="0.2">
      <c r="B30" s="53">
        <v>0.32</v>
      </c>
      <c r="C30" s="57">
        <v>40</v>
      </c>
      <c r="D30" s="65">
        <v>-65.664027347323895</v>
      </c>
      <c r="E30" s="56">
        <v>35.0552502347836</v>
      </c>
      <c r="F30" s="65">
        <v>25.749052780759786</v>
      </c>
      <c r="G30" s="56">
        <v>58.050333944707376</v>
      </c>
      <c r="H30" s="56">
        <v>2.1987921207754577</v>
      </c>
      <c r="I30" s="49">
        <v>2.1100082803823081</v>
      </c>
      <c r="K30" s="27">
        <f t="shared" si="3"/>
        <v>-0.53741789938220486</v>
      </c>
      <c r="L30" s="27">
        <f t="shared" si="3"/>
        <v>-0.36667639221628462</v>
      </c>
      <c r="N30" s="356">
        <v>1.8399999999999996E-2</v>
      </c>
      <c r="O30" s="130">
        <v>40</v>
      </c>
      <c r="P30" s="89">
        <v>-55.627934696695732</v>
      </c>
      <c r="Q30" s="130">
        <v>56.340937252579423</v>
      </c>
      <c r="R30" s="89">
        <v>44.825154770010336</v>
      </c>
      <c r="S30" s="130">
        <v>70.64060334592331</v>
      </c>
      <c r="T30" s="357">
        <v>2.8254913629499159</v>
      </c>
      <c r="U30" s="133">
        <v>2.6623036689888324</v>
      </c>
      <c r="AB30" s="48">
        <v>2.2619999999999998E-2</v>
      </c>
      <c r="AC30" s="57">
        <v>40</v>
      </c>
      <c r="AD30" s="64">
        <v>-30.015072678073231</v>
      </c>
      <c r="AE30" s="57">
        <v>57.502606061910953</v>
      </c>
      <c r="AF30" s="64">
        <v>43.808876811546241</v>
      </c>
      <c r="AG30" s="57">
        <v>70.759143200401624</v>
      </c>
      <c r="AH30" s="65">
        <v>2.5870861982321807</v>
      </c>
      <c r="AI30" s="56">
        <v>2.4264903409047029</v>
      </c>
    </row>
    <row r="31" spans="1:35" x14ac:dyDescent="0.2">
      <c r="B31" s="53">
        <v>0.32</v>
      </c>
      <c r="C31" s="51">
        <v>60</v>
      </c>
      <c r="D31" s="65">
        <v>-67.844961837142193</v>
      </c>
      <c r="E31" s="56">
        <v>19.440606937161043</v>
      </c>
      <c r="F31" s="65">
        <v>22.030549001345754</v>
      </c>
      <c r="G31" s="56">
        <v>54.614311963285189</v>
      </c>
      <c r="H31" s="56">
        <v>2.2056488306660884</v>
      </c>
      <c r="I31" s="49">
        <v>2.1701455474985014</v>
      </c>
      <c r="K31" s="27">
        <f t="shared" si="3"/>
        <v>-0.64537801508182258</v>
      </c>
      <c r="L31" s="27">
        <f t="shared" si="3"/>
        <v>-0.35659697019597641</v>
      </c>
      <c r="N31" s="356">
        <v>1.8399999999999996E-2</v>
      </c>
      <c r="O31" s="130">
        <v>60</v>
      </c>
      <c r="P31" s="89">
        <v>-51.826025490806451</v>
      </c>
      <c r="Q31" s="130">
        <v>51.113427610587522</v>
      </c>
      <c r="R31" s="89">
        <v>44.823205339309204</v>
      </c>
      <c r="S31" s="130">
        <v>70.575420714841457</v>
      </c>
      <c r="T31" s="357">
        <v>2.8252031212130433</v>
      </c>
      <c r="U31" s="133">
        <v>2.6537990899239068</v>
      </c>
      <c r="AB31" s="48">
        <v>2.2619999999999998E-2</v>
      </c>
      <c r="AC31" s="57">
        <v>60</v>
      </c>
      <c r="AD31" s="64">
        <v>-31.61587655423714</v>
      </c>
      <c r="AE31" s="57">
        <v>46.466752373261379</v>
      </c>
      <c r="AF31" s="64">
        <v>43.807504008776128</v>
      </c>
      <c r="AG31" s="57">
        <v>70.772540199551997</v>
      </c>
      <c r="AH31" s="65">
        <v>2.5866998905565501</v>
      </c>
      <c r="AI31" s="56">
        <v>2.4209972447143002</v>
      </c>
    </row>
    <row r="32" spans="1:35" x14ac:dyDescent="0.2">
      <c r="B32" s="53">
        <v>0.32</v>
      </c>
      <c r="C32" s="51">
        <v>100</v>
      </c>
      <c r="D32" s="65">
        <v>-68.477173574135648</v>
      </c>
      <c r="E32" s="56">
        <v>-1.8816882525969088</v>
      </c>
      <c r="F32" s="65">
        <v>20.053114250752344</v>
      </c>
      <c r="G32" s="56">
        <v>56.98718130275298</v>
      </c>
      <c r="H32" s="56">
        <v>2.1792678069655795</v>
      </c>
      <c r="I32" s="49">
        <v>2.1491357685319352</v>
      </c>
      <c r="K32" s="27">
        <f t="shared" si="3"/>
        <v>-0.7006314135988001</v>
      </c>
      <c r="L32" s="27">
        <f t="shared" si="3"/>
        <v>-0.37446387628000166</v>
      </c>
      <c r="N32" s="356">
        <v>1.8399999999999996E-2</v>
      </c>
      <c r="O32" s="130">
        <v>100</v>
      </c>
      <c r="P32" s="89">
        <v>-48.02411628491717</v>
      </c>
      <c r="Q32" s="130">
        <v>40.658408326603706</v>
      </c>
      <c r="R32" s="89">
        <v>44.851672624349717</v>
      </c>
      <c r="S32" s="130">
        <v>70.610126411631882</v>
      </c>
      <c r="T32" s="357">
        <v>2.8294071493832882</v>
      </c>
      <c r="U32" s="133">
        <v>2.6583665649631221</v>
      </c>
      <c r="AB32" s="48">
        <v>2.2619999999999998E-2</v>
      </c>
      <c r="AC32" s="57">
        <v>100</v>
      </c>
      <c r="AD32" s="64">
        <v>-33.616881399442022</v>
      </c>
      <c r="AE32" s="57">
        <v>31.365057851951434</v>
      </c>
      <c r="AF32" s="64">
        <v>43.810759182569598</v>
      </c>
      <c r="AG32" s="57">
        <v>70.749799214370654</v>
      </c>
      <c r="AH32" s="65">
        <v>2.5876139975294863</v>
      </c>
      <c r="AI32" s="56">
        <v>2.4314289030964016</v>
      </c>
    </row>
    <row r="33" spans="2:38" x14ac:dyDescent="0.2">
      <c r="B33" s="53">
        <v>0.32</v>
      </c>
      <c r="C33" s="51">
        <v>120</v>
      </c>
      <c r="D33" s="65">
        <v>-68.09624446006147</v>
      </c>
      <c r="E33" s="56">
        <v>-8.8390406904422267</v>
      </c>
      <c r="F33" s="65">
        <v>27.280777391107637</v>
      </c>
      <c r="G33" s="56">
        <v>53.695996665331528</v>
      </c>
      <c r="H33" s="56">
        <v>2.2230085065566692</v>
      </c>
      <c r="I33" s="49">
        <v>2.124603975760472</v>
      </c>
      <c r="K33" s="27">
        <f t="shared" si="3"/>
        <v>-0.58906380321745178</v>
      </c>
      <c r="L33" s="27">
        <f t="shared" si="3"/>
        <v>-0.38636299304385702</v>
      </c>
      <c r="N33" s="356">
        <v>1.8399999999999996E-2</v>
      </c>
      <c r="O33" s="130">
        <v>120</v>
      </c>
      <c r="P33" s="89">
        <v>-46.223211924232778</v>
      </c>
      <c r="Q33" s="130">
        <v>32.526726661282957</v>
      </c>
      <c r="R33" s="89">
        <v>44.860173583427532</v>
      </c>
      <c r="S33" s="130">
        <v>70.66700020735469</v>
      </c>
      <c r="T33" s="357">
        <v>2.8306566565400169</v>
      </c>
      <c r="U33" s="133">
        <v>2.6656599781729238</v>
      </c>
      <c r="AB33" s="48">
        <v>2.2619999999999998E-2</v>
      </c>
      <c r="AC33" s="57">
        <v>120</v>
      </c>
      <c r="AD33" s="64">
        <v>-34.017082368483003</v>
      </c>
      <c r="AE33" s="57">
        <v>25.556713805293761</v>
      </c>
      <c r="AF33" s="64">
        <v>43.811050571389295</v>
      </c>
      <c r="AG33" s="57">
        <v>70.746880989260205</v>
      </c>
      <c r="AH33" s="65">
        <v>2.5876956035857788</v>
      </c>
      <c r="AI33" s="56">
        <v>2.4332987005665605</v>
      </c>
    </row>
    <row r="34" spans="2:38" x14ac:dyDescent="0.2">
      <c r="B34" s="119"/>
      <c r="C34" s="113"/>
      <c r="D34" s="448"/>
      <c r="E34" s="116"/>
      <c r="F34" s="448"/>
      <c r="G34" s="116"/>
      <c r="H34" s="116"/>
      <c r="I34" s="117"/>
      <c r="K34" s="27"/>
      <c r="L34" s="27"/>
      <c r="N34" s="356"/>
      <c r="O34" s="135"/>
      <c r="P34" s="156"/>
      <c r="Q34" s="131"/>
      <c r="R34" s="358"/>
      <c r="S34" s="131"/>
      <c r="T34" s="357"/>
      <c r="U34" s="133"/>
      <c r="X34" t="s">
        <v>283</v>
      </c>
      <c r="AB34" s="48"/>
      <c r="AC34" s="51"/>
      <c r="AD34" s="15"/>
      <c r="AE34" s="53"/>
      <c r="AF34" s="33"/>
      <c r="AG34" s="53"/>
      <c r="AH34" s="65"/>
      <c r="AI34" s="56"/>
    </row>
    <row r="35" spans="2:38" x14ac:dyDescent="0.2">
      <c r="B35" s="53">
        <v>0</v>
      </c>
      <c r="C35" s="51">
        <v>5</v>
      </c>
      <c r="D35" s="65">
        <v>-52.275547157174628</v>
      </c>
      <c r="E35" s="56">
        <v>77.86373422202692</v>
      </c>
      <c r="F35" s="65">
        <v>26.872953017530289</v>
      </c>
      <c r="G35" s="56">
        <v>93.745812818115454</v>
      </c>
      <c r="H35" s="56">
        <v>2.1543763386643615</v>
      </c>
      <c r="I35" s="49">
        <v>2.1920429902065521</v>
      </c>
      <c r="K35" s="27"/>
      <c r="L35" s="27"/>
      <c r="N35" s="359">
        <v>0.22180000000000002</v>
      </c>
      <c r="O35" s="130">
        <v>5</v>
      </c>
      <c r="P35" s="89">
        <v>-58.029140510941581</v>
      </c>
      <c r="Q35" s="130">
        <v>105.71186164916963</v>
      </c>
      <c r="R35" s="89">
        <v>72.365886761858476</v>
      </c>
      <c r="S35" s="130">
        <v>70.176550572099302</v>
      </c>
      <c r="T35" s="357">
        <v>2.8919631936514292</v>
      </c>
      <c r="U35" s="133">
        <v>2.5937479969966208</v>
      </c>
      <c r="AB35" s="50">
        <v>0.34247999999999995</v>
      </c>
      <c r="AC35" s="57">
        <v>5</v>
      </c>
      <c r="AD35" s="64">
        <v>-32.616378976839577</v>
      </c>
      <c r="AE35" s="57">
        <v>111.52020569582731</v>
      </c>
      <c r="AF35" s="64">
        <v>71.01794900204122</v>
      </c>
      <c r="AG35" s="57">
        <v>70.867981909802381</v>
      </c>
      <c r="AH35" s="65">
        <v>2.7608559198270286</v>
      </c>
      <c r="AI35" s="56">
        <v>2.394415036278029</v>
      </c>
    </row>
    <row r="36" spans="2:38" x14ac:dyDescent="0.2">
      <c r="B36" s="53">
        <v>0</v>
      </c>
      <c r="C36" s="51">
        <v>10</v>
      </c>
      <c r="D36" s="65">
        <v>-51.687839123467697</v>
      </c>
      <c r="E36" s="56">
        <v>63.648641424500511</v>
      </c>
      <c r="F36" s="65">
        <v>21.361629522635251</v>
      </c>
      <c r="G36" s="56">
        <v>72.108146437566091</v>
      </c>
      <c r="H36" s="56">
        <v>2.1621179684321445</v>
      </c>
      <c r="I36" s="49">
        <v>2.1757391847769409</v>
      </c>
      <c r="K36" s="27">
        <f t="shared" ref="K36:L41" si="4">(D36-P99)/F36</f>
        <v>0.33432390155387409</v>
      </c>
      <c r="L36" s="27">
        <f t="shared" si="4"/>
        <v>-0.67999574948321717</v>
      </c>
      <c r="N36" s="359">
        <v>0.22180000000000002</v>
      </c>
      <c r="O36" s="130">
        <v>10</v>
      </c>
      <c r="P36" s="89">
        <v>-58.829542449023535</v>
      </c>
      <c r="Q36" s="130">
        <v>94.676007960520067</v>
      </c>
      <c r="R36" s="89">
        <v>59.972082061979229</v>
      </c>
      <c r="S36" s="130">
        <v>70.41512066420276</v>
      </c>
      <c r="T36" s="357">
        <v>2.8552790890380013</v>
      </c>
      <c r="U36" s="133">
        <v>2.631584550649023</v>
      </c>
      <c r="X36" s="14">
        <f t="shared" ref="X36:Y42" si="5">(P36-AD35)</f>
        <v>-26.213163472183957</v>
      </c>
      <c r="Y36" s="14">
        <f t="shared" si="5"/>
        <v>-16.844197735307247</v>
      </c>
      <c r="AB36" s="50">
        <v>0.34247999999999995</v>
      </c>
      <c r="AC36" s="57">
        <v>10</v>
      </c>
      <c r="AD36" s="64">
        <v>-34.417283337523969</v>
      </c>
      <c r="AE36" s="57">
        <v>99.322683197846203</v>
      </c>
      <c r="AF36" s="64">
        <v>58.710713018793072</v>
      </c>
      <c r="AG36" s="57">
        <v>70.786586821078018</v>
      </c>
      <c r="AH36" s="65">
        <v>2.6890630188443607</v>
      </c>
      <c r="AI36" s="56">
        <v>2.4156375183633738</v>
      </c>
    </row>
    <row r="37" spans="2:38" x14ac:dyDescent="0.2">
      <c r="B37" s="53">
        <v>0</v>
      </c>
      <c r="C37" s="51">
        <v>20</v>
      </c>
      <c r="D37" s="65">
        <v>-50.59317421880462</v>
      </c>
      <c r="E37" s="56">
        <v>44.53127608010788</v>
      </c>
      <c r="F37" s="65">
        <v>29.434068004142937</v>
      </c>
      <c r="G37" s="56">
        <v>57.567589074366879</v>
      </c>
      <c r="H37" s="56">
        <v>2.1936821461177387</v>
      </c>
      <c r="I37" s="49">
        <v>2.1684431994596167</v>
      </c>
      <c r="K37" s="27">
        <f t="shared" si="4"/>
        <v>0.32061389326183387</v>
      </c>
      <c r="L37" s="27">
        <f t="shared" si="4"/>
        <v>-0.84078957352005801</v>
      </c>
      <c r="N37" s="359">
        <v>0.22180000000000002</v>
      </c>
      <c r="O37" s="130">
        <v>20</v>
      </c>
      <c r="P37" s="89">
        <v>-59.629944387105489</v>
      </c>
      <c r="Q37" s="130">
        <v>78.993479034544364</v>
      </c>
      <c r="R37" s="89">
        <v>44.854830464973794</v>
      </c>
      <c r="S37" s="130">
        <v>70.471187423006128</v>
      </c>
      <c r="T37" s="357">
        <v>2.8298716335013316</v>
      </c>
      <c r="U37" s="133">
        <v>2.6394635961293349</v>
      </c>
      <c r="X37" s="14">
        <f t="shared" si="5"/>
        <v>-25.21266104958152</v>
      </c>
      <c r="Y37" s="14">
        <f t="shared" si="5"/>
        <v>-20.329204163301839</v>
      </c>
      <c r="AB37" s="50">
        <v>0.34247999999999995</v>
      </c>
      <c r="AC37" s="57">
        <v>20</v>
      </c>
      <c r="AD37" s="64">
        <v>-36.018087213687878</v>
      </c>
      <c r="AE37" s="57">
        <v>83.6401542718705</v>
      </c>
      <c r="AF37" s="64">
        <v>43.806803390631984</v>
      </c>
      <c r="AG37" s="57">
        <v>70.791686469135328</v>
      </c>
      <c r="AH37" s="65">
        <v>2.5865022275576712</v>
      </c>
      <c r="AI37" s="56">
        <v>2.4147030678193886</v>
      </c>
    </row>
    <row r="38" spans="2:38" x14ac:dyDescent="0.2">
      <c r="B38" s="53">
        <v>0</v>
      </c>
      <c r="C38" s="51">
        <v>40</v>
      </c>
      <c r="D38" s="65">
        <v>-52.356298319925436</v>
      </c>
      <c r="E38" s="56">
        <v>24.422238603772236</v>
      </c>
      <c r="F38" s="65">
        <v>25.740250233841056</v>
      </c>
      <c r="G38" s="56">
        <v>55.893605997537286</v>
      </c>
      <c r="H38" s="56">
        <v>2.1994742723151646</v>
      </c>
      <c r="I38" s="49">
        <v>2.1288115278580246</v>
      </c>
      <c r="K38" s="27">
        <f t="shared" si="4"/>
        <v>0.47692458576228663</v>
      </c>
      <c r="L38" s="27">
        <f t="shared" si="4"/>
        <v>-0.77889744211602197</v>
      </c>
      <c r="N38" s="359">
        <v>0.22180000000000002</v>
      </c>
      <c r="O38" s="130">
        <v>40</v>
      </c>
      <c r="P38" s="89">
        <v>-58.229240995462071</v>
      </c>
      <c r="Q38" s="130">
        <v>63.310950108568633</v>
      </c>
      <c r="R38" s="89">
        <v>44.854633402507382</v>
      </c>
      <c r="S38" s="130">
        <v>70.615658843339077</v>
      </c>
      <c r="T38" s="357">
        <v>2.8298425385621462</v>
      </c>
      <c r="U38" s="133">
        <v>2.6590878564244576</v>
      </c>
      <c r="X38" s="14">
        <f t="shared" si="5"/>
        <v>-22.211153781774193</v>
      </c>
      <c r="Y38" s="14">
        <f t="shared" si="5"/>
        <v>-20.329204163301867</v>
      </c>
      <c r="AB38" s="50">
        <v>0.34247999999999995</v>
      </c>
      <c r="AC38" s="57">
        <v>40</v>
      </c>
      <c r="AD38" s="64">
        <v>-38.419293027933733</v>
      </c>
      <c r="AE38" s="57">
        <v>65.053453322565915</v>
      </c>
      <c r="AF38" s="64">
        <v>43.80813737146579</v>
      </c>
      <c r="AG38" s="57">
        <v>70.764160107407264</v>
      </c>
      <c r="AH38" s="65">
        <v>2.5868783373416862</v>
      </c>
      <c r="AI38" s="56">
        <v>2.4242674730118021</v>
      </c>
    </row>
    <row r="39" spans="2:38" x14ac:dyDescent="0.2">
      <c r="B39" s="53">
        <v>0</v>
      </c>
      <c r="C39" s="51">
        <v>60</v>
      </c>
      <c r="D39" s="65">
        <v>-53.284192064713906</v>
      </c>
      <c r="E39" s="56">
        <v>10.855608940295372</v>
      </c>
      <c r="F39" s="65">
        <v>22.028144838643801</v>
      </c>
      <c r="G39" s="56">
        <v>53.750546835548754</v>
      </c>
      <c r="H39" s="56">
        <v>2.2058794870064573</v>
      </c>
      <c r="I39" s="49">
        <v>2.1934311496393994</v>
      </c>
      <c r="K39" s="27">
        <f t="shared" si="4"/>
        <v>0.66051282549254364</v>
      </c>
      <c r="L39" s="27">
        <f t="shared" si="4"/>
        <v>-0.73816894155550039</v>
      </c>
      <c r="N39" s="359">
        <v>0.22180000000000002</v>
      </c>
      <c r="O39" s="130">
        <v>60</v>
      </c>
      <c r="P39" s="89">
        <v>-56.428336634777665</v>
      </c>
      <c r="Q39" s="130">
        <v>55.760102847913657</v>
      </c>
      <c r="R39" s="89">
        <v>44.840155011162267</v>
      </c>
      <c r="S39" s="130">
        <v>70.362722755302627</v>
      </c>
      <c r="T39" s="357">
        <v>2.8277099155556416</v>
      </c>
      <c r="U39" s="133">
        <v>2.6232600059435276</v>
      </c>
      <c r="X39" s="14">
        <f t="shared" si="5"/>
        <v>-18.009043606843932</v>
      </c>
      <c r="Y39" s="14">
        <f t="shared" si="5"/>
        <v>-9.2933504746522573</v>
      </c>
      <c r="AB39" s="50">
        <v>0.34247999999999995</v>
      </c>
      <c r="AC39" s="57">
        <v>60</v>
      </c>
      <c r="AD39" s="64">
        <v>-40.220197388618132</v>
      </c>
      <c r="AE39" s="57">
        <v>52.275096419919059</v>
      </c>
      <c r="AF39" s="64">
        <v>43.807919120933299</v>
      </c>
      <c r="AG39" s="57">
        <v>70.780856831534933</v>
      </c>
      <c r="AH39" s="65">
        <v>2.5868168954294415</v>
      </c>
      <c r="AI39" s="56">
        <v>2.4181094885362575</v>
      </c>
    </row>
    <row r="40" spans="2:38" x14ac:dyDescent="0.2">
      <c r="B40" s="53">
        <v>0</v>
      </c>
      <c r="C40" s="51">
        <v>100</v>
      </c>
      <c r="D40" s="65">
        <v>-53.248455387597915</v>
      </c>
      <c r="E40" s="56">
        <v>-6.6843164544955886</v>
      </c>
      <c r="F40" s="65">
        <v>20.051133212781359</v>
      </c>
      <c r="G40" s="56">
        <v>57.077969298719914</v>
      </c>
      <c r="H40" s="56">
        <v>2.1794344197690476</v>
      </c>
      <c r="I40" s="49">
        <v>2.1471139879783938</v>
      </c>
      <c r="K40" s="27">
        <f t="shared" si="4"/>
        <v>0.81723626548381723</v>
      </c>
      <c r="L40" s="27">
        <f t="shared" si="4"/>
        <v>-0.59538792096706217</v>
      </c>
      <c r="N40" s="359">
        <v>0.22180000000000002</v>
      </c>
      <c r="O40" s="130">
        <v>100</v>
      </c>
      <c r="P40" s="89">
        <v>-53.626929851490843</v>
      </c>
      <c r="Q40" s="130">
        <v>35.430898684611797</v>
      </c>
      <c r="R40" s="89">
        <v>44.852884213330327</v>
      </c>
      <c r="S40" s="130">
        <v>70.664467408495383</v>
      </c>
      <c r="T40" s="357">
        <v>2.8295854194657144</v>
      </c>
      <c r="U40" s="133">
        <v>2.6653398669570754</v>
      </c>
      <c r="X40" s="14">
        <f t="shared" si="5"/>
        <v>-13.406732462872711</v>
      </c>
      <c r="Y40" s="14">
        <f t="shared" si="5"/>
        <v>-16.844197735307262</v>
      </c>
      <c r="AB40" s="50">
        <v>0.34247999999999995</v>
      </c>
      <c r="AC40" s="57">
        <v>100</v>
      </c>
      <c r="AD40" s="64">
        <v>-42.021101749302524</v>
      </c>
      <c r="AE40" s="57">
        <v>35.430898684611797</v>
      </c>
      <c r="AF40" s="64">
        <v>43.810649434936799</v>
      </c>
      <c r="AG40" s="57">
        <v>70.750454640242907</v>
      </c>
      <c r="AH40" s="65">
        <v>2.5875832748802399</v>
      </c>
      <c r="AI40" s="56">
        <v>2.4310366796101697</v>
      </c>
    </row>
    <row r="41" spans="2:38" x14ac:dyDescent="0.2">
      <c r="B41" s="53">
        <v>0</v>
      </c>
      <c r="C41" s="51">
        <v>120</v>
      </c>
      <c r="D41" s="65">
        <v>-52.848708547989737</v>
      </c>
      <c r="E41" s="56">
        <v>-13.056771569293131</v>
      </c>
      <c r="F41" s="65">
        <v>27.279504784884747</v>
      </c>
      <c r="G41" s="56">
        <v>53.957182527080192</v>
      </c>
      <c r="H41" s="56">
        <v>2.2231226816555365</v>
      </c>
      <c r="I41" s="49">
        <v>2.12009044287973</v>
      </c>
      <c r="K41" s="27">
        <f t="shared" si="4"/>
        <v>0.56399691984224409</v>
      </c>
      <c r="L41" s="27">
        <f t="shared" si="4"/>
        <v>-0.58645524166715646</v>
      </c>
      <c r="N41" s="359">
        <v>0.22180000000000002</v>
      </c>
      <c r="O41" s="130">
        <v>120</v>
      </c>
      <c r="P41" s="89">
        <v>-52.026125975326934</v>
      </c>
      <c r="Q41" s="130">
        <v>34.269229875280274</v>
      </c>
      <c r="R41" s="89">
        <v>44.85955990163793</v>
      </c>
      <c r="S41" s="130">
        <v>70.66695785313766</v>
      </c>
      <c r="T41" s="357">
        <v>2.8305665305907759</v>
      </c>
      <c r="U41" s="133">
        <v>2.6656546279963518</v>
      </c>
      <c r="X41" s="14">
        <f t="shared" si="5"/>
        <v>-10.00502422602441</v>
      </c>
      <c r="Y41" s="14">
        <f t="shared" si="5"/>
        <v>-1.1616688093315233</v>
      </c>
      <c r="AB41" s="50">
        <v>0.34247999999999995</v>
      </c>
      <c r="AC41" s="57">
        <v>120</v>
      </c>
      <c r="AD41" s="64">
        <v>-42.221202233823014</v>
      </c>
      <c r="AE41" s="57">
        <v>29.041720233288363</v>
      </c>
      <c r="AF41" s="64">
        <v>43.810845909444559</v>
      </c>
      <c r="AG41" s="57">
        <v>70.746887505415472</v>
      </c>
      <c r="AH41" s="65">
        <v>2.5876383448480005</v>
      </c>
      <c r="AI41" s="56">
        <v>2.4332942691127393</v>
      </c>
    </row>
    <row r="42" spans="2:38" x14ac:dyDescent="0.2">
      <c r="B42" s="39"/>
      <c r="C42" s="52"/>
      <c r="D42" s="449"/>
      <c r="E42" s="450"/>
      <c r="F42" s="449"/>
      <c r="G42" s="450"/>
      <c r="H42" s="52"/>
      <c r="I42" s="40"/>
      <c r="K42" s="27"/>
      <c r="L42" s="27"/>
      <c r="N42" s="92"/>
      <c r="O42" s="140"/>
      <c r="P42" s="82"/>
      <c r="Q42" s="140"/>
      <c r="R42" s="82"/>
      <c r="S42" s="140"/>
      <c r="T42" s="82"/>
      <c r="U42" s="140"/>
      <c r="X42" s="14">
        <f t="shared" si="5"/>
        <v>42.221202233823014</v>
      </c>
      <c r="Y42" s="14">
        <f t="shared" si="5"/>
        <v>-29.041720233288363</v>
      </c>
      <c r="AB42" s="39"/>
      <c r="AC42" s="52"/>
      <c r="AD42" s="38"/>
      <c r="AE42" s="52"/>
      <c r="AF42" s="38"/>
      <c r="AG42" s="52"/>
      <c r="AH42" s="38"/>
      <c r="AI42" s="52"/>
    </row>
    <row r="43" spans="2:38" x14ac:dyDescent="0.2">
      <c r="B43" s="7"/>
      <c r="C43" s="7"/>
      <c r="D43" s="461"/>
      <c r="E43" s="461"/>
      <c r="F43" s="461"/>
      <c r="G43" s="461"/>
      <c r="H43" s="7"/>
      <c r="I43" s="7"/>
      <c r="K43" s="27"/>
      <c r="L43" s="27"/>
      <c r="N43" s="68"/>
      <c r="O43" s="68"/>
      <c r="P43" s="68"/>
      <c r="Q43" s="68"/>
      <c r="R43" s="68"/>
      <c r="S43" s="68"/>
      <c r="T43" s="68"/>
      <c r="U43" s="68"/>
      <c r="X43" s="14"/>
      <c r="Y43" s="14"/>
    </row>
    <row r="44" spans="2:38" x14ac:dyDescent="0.2">
      <c r="B44" s="462">
        <v>5000</v>
      </c>
      <c r="C44" s="27" t="s">
        <v>400</v>
      </c>
      <c r="D44" s="27"/>
      <c r="E44" s="27"/>
      <c r="F44" s="27"/>
      <c r="G44" s="27"/>
      <c r="N44" s="89">
        <v>6000</v>
      </c>
      <c r="X44" s="14"/>
      <c r="Y44" s="14"/>
      <c r="AB44" s="88">
        <v>6000</v>
      </c>
      <c r="AC44" t="s">
        <v>113</v>
      </c>
      <c r="AK44" s="14"/>
      <c r="AL44" s="14"/>
    </row>
    <row r="45" spans="2:38" x14ac:dyDescent="0.2">
      <c r="B45" s="60" t="s">
        <v>390</v>
      </c>
      <c r="C45" s="132"/>
      <c r="D45" s="451"/>
      <c r="E45" s="451"/>
      <c r="F45" s="451"/>
      <c r="G45" s="452"/>
      <c r="H45" s="76"/>
      <c r="I45" s="77"/>
      <c r="N45" s="348" t="s">
        <v>293</v>
      </c>
      <c r="O45" s="132"/>
      <c r="P45" s="132"/>
      <c r="Q45" s="132"/>
      <c r="R45" s="132"/>
      <c r="S45" s="76"/>
      <c r="T45" s="76"/>
      <c r="U45" s="77"/>
      <c r="AB45" s="60" t="s">
        <v>98</v>
      </c>
      <c r="AC45" s="18"/>
      <c r="AD45" s="18"/>
      <c r="AE45" s="18"/>
      <c r="AF45" s="18"/>
      <c r="AG45" s="10"/>
      <c r="AH45" s="10"/>
      <c r="AI45" s="11"/>
    </row>
    <row r="46" spans="2:38" ht="25.5" x14ac:dyDescent="0.2">
      <c r="B46" s="128"/>
      <c r="C46" s="129"/>
      <c r="D46" s="657" t="s">
        <v>19</v>
      </c>
      <c r="E46" s="658"/>
      <c r="F46" s="657" t="s">
        <v>20</v>
      </c>
      <c r="G46" s="658"/>
      <c r="H46" s="649" t="s">
        <v>8</v>
      </c>
      <c r="I46" s="650"/>
      <c r="N46" s="128"/>
      <c r="O46" s="129"/>
      <c r="P46" s="128" t="s">
        <v>19</v>
      </c>
      <c r="Q46" s="129"/>
      <c r="R46" s="128" t="s">
        <v>20</v>
      </c>
      <c r="S46" s="129"/>
      <c r="T46" s="128" t="s">
        <v>8</v>
      </c>
      <c r="U46" s="129"/>
      <c r="AB46" s="12"/>
      <c r="AC46" s="13"/>
      <c r="AD46" s="645" t="s">
        <v>19</v>
      </c>
      <c r="AE46" s="646"/>
      <c r="AF46" s="645" t="s">
        <v>20</v>
      </c>
      <c r="AG46" s="646"/>
      <c r="AH46" s="645" t="s">
        <v>8</v>
      </c>
      <c r="AI46" s="646"/>
    </row>
    <row r="47" spans="2:38" ht="51" x14ac:dyDescent="0.2">
      <c r="B47" s="12" t="s">
        <v>351</v>
      </c>
      <c r="C47" s="54" t="s">
        <v>241</v>
      </c>
      <c r="D47" s="453" t="s">
        <v>387</v>
      </c>
      <c r="E47" s="454" t="s">
        <v>388</v>
      </c>
      <c r="F47" s="453" t="s">
        <v>387</v>
      </c>
      <c r="G47" s="454" t="s">
        <v>388</v>
      </c>
      <c r="H47" s="54" t="s">
        <v>158</v>
      </c>
      <c r="I47" s="13" t="s">
        <v>159</v>
      </c>
      <c r="N47" s="290" t="s">
        <v>9</v>
      </c>
      <c r="O47" s="349" t="s">
        <v>15</v>
      </c>
      <c r="P47" s="17" t="s">
        <v>102</v>
      </c>
      <c r="Q47" s="9" t="s">
        <v>103</v>
      </c>
      <c r="R47" s="17" t="s">
        <v>102</v>
      </c>
      <c r="S47" s="9" t="s">
        <v>103</v>
      </c>
      <c r="T47" s="350" t="s">
        <v>280</v>
      </c>
      <c r="U47" s="129" t="s">
        <v>281</v>
      </c>
      <c r="AB47" s="8" t="s">
        <v>9</v>
      </c>
      <c r="AC47" s="17" t="s">
        <v>15</v>
      </c>
      <c r="AD47" s="17" t="s">
        <v>102</v>
      </c>
      <c r="AE47" s="9" t="s">
        <v>103</v>
      </c>
      <c r="AF47" s="17" t="s">
        <v>102</v>
      </c>
      <c r="AG47" s="9" t="s">
        <v>103</v>
      </c>
      <c r="AH47" s="17" t="s">
        <v>81</v>
      </c>
      <c r="AI47" s="9" t="s">
        <v>82</v>
      </c>
    </row>
    <row r="48" spans="2:38" x14ac:dyDescent="0.2">
      <c r="B48" s="131">
        <v>0.2</v>
      </c>
      <c r="C48" s="130">
        <v>5</v>
      </c>
      <c r="D48" s="65">
        <v>-54.773086971669969</v>
      </c>
      <c r="E48" s="56">
        <v>79.662781758127139</v>
      </c>
      <c r="F48" s="65">
        <v>48.500137939696643</v>
      </c>
      <c r="G48" s="56">
        <v>88.305717580472333</v>
      </c>
      <c r="H48" s="133">
        <v>2.3510730976848881</v>
      </c>
      <c r="I48" s="134">
        <v>2.1784666056936377</v>
      </c>
      <c r="K48" s="27">
        <f t="shared" ref="K48:L54" si="6">(D48-P27)/F48</f>
        <v>-1.1254724002978292E-2</v>
      </c>
      <c r="L48" s="27">
        <f t="shared" si="6"/>
        <v>-0.19632436376792148</v>
      </c>
      <c r="N48" s="351">
        <v>1.8399999999999996E-2</v>
      </c>
      <c r="O48" s="352">
        <v>5</v>
      </c>
      <c r="P48" s="353">
        <v>-3.8019092058892761</v>
      </c>
      <c r="Q48" s="352">
        <v>96.999345579183128</v>
      </c>
      <c r="R48" s="353">
        <v>72.354923086679293</v>
      </c>
      <c r="S48" s="352">
        <v>70.540526705976447</v>
      </c>
      <c r="T48" s="354">
        <v>2.891022170426063</v>
      </c>
      <c r="U48" s="355">
        <v>2.4165980637123949</v>
      </c>
      <c r="AB48" s="47">
        <v>2.2619999999999998E-2</v>
      </c>
      <c r="AC48" s="61">
        <v>5</v>
      </c>
      <c r="AD48" s="62">
        <v>-4.0020096904097642</v>
      </c>
      <c r="AE48" s="61">
        <v>87.125160699865091</v>
      </c>
      <c r="AF48" s="62">
        <v>71.010532233186979</v>
      </c>
      <c r="AG48" s="61">
        <v>70.847487951794179</v>
      </c>
      <c r="AH48" s="63">
        <v>2.7600986973991586</v>
      </c>
      <c r="AI48" s="55">
        <v>2.3991449954924327</v>
      </c>
    </row>
    <row r="49" spans="1:40" x14ac:dyDescent="0.2">
      <c r="B49" s="131">
        <v>0.2</v>
      </c>
      <c r="C49" s="130">
        <v>10</v>
      </c>
      <c r="D49" s="65">
        <v>-56.380453284540636</v>
      </c>
      <c r="E49" s="56">
        <v>66.24548056917854</v>
      </c>
      <c r="F49" s="65">
        <v>47.964399964094397</v>
      </c>
      <c r="G49" s="56">
        <v>79.790478025918006</v>
      </c>
      <c r="H49" s="133">
        <v>2.4049127807177446</v>
      </c>
      <c r="I49" s="134">
        <v>2.1944917096921195</v>
      </c>
      <c r="K49" s="27">
        <f t="shared" si="6"/>
        <v>-3.6548377791854936E-2</v>
      </c>
      <c r="L49" s="27">
        <f t="shared" si="6"/>
        <v>-0.24712236107860017</v>
      </c>
      <c r="N49" s="356">
        <v>1.8399999999999996E-2</v>
      </c>
      <c r="O49" s="130">
        <v>10</v>
      </c>
      <c r="P49" s="89">
        <v>-6.6033159891761111</v>
      </c>
      <c r="Q49" s="130">
        <v>91.191001532525462</v>
      </c>
      <c r="R49" s="89">
        <v>59.927091782396403</v>
      </c>
      <c r="S49" s="130">
        <v>70.486796437704911</v>
      </c>
      <c r="T49" s="357">
        <v>2.8504462413900806</v>
      </c>
      <c r="U49" s="133">
        <v>2.4428263612608974</v>
      </c>
      <c r="AB49" s="48">
        <v>2.2619999999999998E-2</v>
      </c>
      <c r="AC49" s="57">
        <v>10</v>
      </c>
      <c r="AD49" s="64">
        <v>-7.2036174427375759</v>
      </c>
      <c r="AE49" s="57">
        <v>79.574313439210101</v>
      </c>
      <c r="AF49" s="64">
        <v>58.689109579326825</v>
      </c>
      <c r="AG49" s="57">
        <v>70.768126229170136</v>
      </c>
      <c r="AH49" s="65">
        <v>2.6859620022737971</v>
      </c>
      <c r="AI49" s="56">
        <v>2.4222698382997985</v>
      </c>
    </row>
    <row r="50" spans="1:40" x14ac:dyDescent="0.2">
      <c r="B50" s="131">
        <v>0.2</v>
      </c>
      <c r="C50" s="130">
        <v>20</v>
      </c>
      <c r="D50" s="65">
        <v>-56.191475271192459</v>
      </c>
      <c r="E50" s="56">
        <v>49.122677424481523</v>
      </c>
      <c r="F50" s="65">
        <v>41.324888375827932</v>
      </c>
      <c r="G50" s="56">
        <v>57.941865656097008</v>
      </c>
      <c r="H50" s="133">
        <v>2.3103393357807556</v>
      </c>
      <c r="I50" s="134">
        <v>2.1596045199510825</v>
      </c>
      <c r="K50" s="27">
        <f t="shared" si="6"/>
        <v>-3.7847482681018708E-2</v>
      </c>
      <c r="L50" s="27">
        <f t="shared" si="6"/>
        <v>-0.40526177217195797</v>
      </c>
      <c r="N50" s="356">
        <v>1.8399999999999996E-2</v>
      </c>
      <c r="O50" s="130">
        <v>20</v>
      </c>
      <c r="P50" s="89">
        <v>-11.405727617667829</v>
      </c>
      <c r="Q50" s="130">
        <v>82.478485462538956</v>
      </c>
      <c r="R50" s="89">
        <v>44.775986287965637</v>
      </c>
      <c r="S50" s="130">
        <v>70.487076650100917</v>
      </c>
      <c r="T50" s="357">
        <v>2.8181595367368746</v>
      </c>
      <c r="U50" s="133">
        <v>2.4431537032940831</v>
      </c>
      <c r="AB50" s="48">
        <v>2.2619999999999998E-2</v>
      </c>
      <c r="AC50" s="57">
        <v>20</v>
      </c>
      <c r="AD50" s="64">
        <v>-12.006029071229293</v>
      </c>
      <c r="AE50" s="57">
        <v>68.538459750560548</v>
      </c>
      <c r="AF50" s="64">
        <v>43.793606359300647</v>
      </c>
      <c r="AG50" s="57">
        <v>70.768496030940739</v>
      </c>
      <c r="AH50" s="65">
        <v>2.5827119416481454</v>
      </c>
      <c r="AI50" s="56">
        <v>2.4224905598254178</v>
      </c>
    </row>
    <row r="51" spans="1:40" x14ac:dyDescent="0.2">
      <c r="B51" s="131">
        <v>0.2</v>
      </c>
      <c r="C51" s="130">
        <v>40</v>
      </c>
      <c r="D51" s="65">
        <v>-54.849387377221248</v>
      </c>
      <c r="E51" s="56">
        <v>29.268815649396576</v>
      </c>
      <c r="F51" s="65">
        <v>32.979011355283987</v>
      </c>
      <c r="G51" s="56">
        <v>56.993583596417416</v>
      </c>
      <c r="H51" s="133">
        <v>2.2844458310851969</v>
      </c>
      <c r="I51" s="134">
        <v>2.1207412397998469</v>
      </c>
      <c r="K51" s="27">
        <f t="shared" si="6"/>
        <v>2.3607357755123938E-2</v>
      </c>
      <c r="L51" s="27">
        <f t="shared" si="6"/>
        <v>-0.47500297217465343</v>
      </c>
      <c r="N51" s="356">
        <v>1.8399999999999996E-2</v>
      </c>
      <c r="O51" s="130">
        <v>40</v>
      </c>
      <c r="P51" s="89">
        <v>-17.208641668761985</v>
      </c>
      <c r="Q51" s="130">
        <v>70.280962964557844</v>
      </c>
      <c r="R51" s="89">
        <v>44.797470072958355</v>
      </c>
      <c r="S51" s="130">
        <v>70.492696000139361</v>
      </c>
      <c r="T51" s="357">
        <v>2.8213751093948902</v>
      </c>
      <c r="U51" s="133">
        <v>2.4388076205598881</v>
      </c>
      <c r="AA51" s="14"/>
      <c r="AB51" s="48">
        <v>2.2619999999999998E-2</v>
      </c>
      <c r="AC51" s="57">
        <v>40</v>
      </c>
      <c r="AD51" s="64">
        <v>-17.008541184241501</v>
      </c>
      <c r="AE51" s="57">
        <v>54.598434038582127</v>
      </c>
      <c r="AF51" s="64">
        <v>43.807005083720071</v>
      </c>
      <c r="AG51" s="57">
        <v>70.755300263806632</v>
      </c>
      <c r="AH51" s="65">
        <v>2.5865579964131293</v>
      </c>
      <c r="AI51" s="56">
        <v>2.4283643939693147</v>
      </c>
    </row>
    <row r="52" spans="1:40" x14ac:dyDescent="0.2">
      <c r="B52" s="131">
        <v>0.2</v>
      </c>
      <c r="C52" s="130">
        <v>60</v>
      </c>
      <c r="D52" s="65">
        <v>-52.719818230095626</v>
      </c>
      <c r="E52" s="56">
        <v>14.287546563554454</v>
      </c>
      <c r="F52" s="65">
        <v>31.305425705010219</v>
      </c>
      <c r="G52" s="56">
        <v>53.853165360569534</v>
      </c>
      <c r="H52" s="133">
        <v>2.3167960608318596</v>
      </c>
      <c r="I52" s="134">
        <v>2.189158804128954</v>
      </c>
      <c r="K52" s="27">
        <f t="shared" si="6"/>
        <v>-2.8550729439406081E-2</v>
      </c>
      <c r="L52" s="27">
        <f t="shared" si="6"/>
        <v>-0.68382017659441818</v>
      </c>
      <c r="N52" s="356">
        <v>1.8399999999999996E-2</v>
      </c>
      <c r="O52" s="130">
        <v>60</v>
      </c>
      <c r="P52" s="89">
        <v>-22.21115378177419</v>
      </c>
      <c r="Q52" s="130">
        <v>55.179268443247885</v>
      </c>
      <c r="R52" s="89">
        <v>44.861545548803853</v>
      </c>
      <c r="S52" s="130">
        <v>70.4818555657003</v>
      </c>
      <c r="T52" s="357">
        <v>2.8308581505367307</v>
      </c>
      <c r="U52" s="133">
        <v>2.4499806162473381</v>
      </c>
      <c r="AA52" s="14"/>
      <c r="AB52" s="48">
        <v>2.2619999999999998E-2</v>
      </c>
      <c r="AC52" s="57">
        <v>60</v>
      </c>
      <c r="AD52" s="64">
        <v>-19.809947967528334</v>
      </c>
      <c r="AE52" s="57">
        <v>45.305083563929841</v>
      </c>
      <c r="AF52" s="64">
        <v>43.809293240956372</v>
      </c>
      <c r="AG52" s="57">
        <v>70.763945190298259</v>
      </c>
      <c r="AH52" s="65">
        <v>2.5872029816948552</v>
      </c>
      <c r="AI52" s="56">
        <v>2.4243706049504263</v>
      </c>
    </row>
    <row r="53" spans="1:40" x14ac:dyDescent="0.2">
      <c r="B53" s="131">
        <v>0.2</v>
      </c>
      <c r="C53" s="135">
        <v>100</v>
      </c>
      <c r="D53" s="65">
        <v>-49.569290790184446</v>
      </c>
      <c r="E53" s="56">
        <v>-0.8835437523464762</v>
      </c>
      <c r="F53" s="65">
        <v>28.033980580889356</v>
      </c>
      <c r="G53" s="56">
        <v>57.27181131432603</v>
      </c>
      <c r="H53" s="133">
        <v>2.2871051391807371</v>
      </c>
      <c r="I53" s="134">
        <v>2.1520089009808685</v>
      </c>
      <c r="K53" s="27">
        <f t="shared" si="6"/>
        <v>-5.5117913091536318E-2</v>
      </c>
      <c r="L53" s="27">
        <f t="shared" si="6"/>
        <v>-0.72534727164389223</v>
      </c>
      <c r="N53" s="356">
        <v>1.8399999999999996E-2</v>
      </c>
      <c r="O53" s="130">
        <v>100</v>
      </c>
      <c r="P53" s="89">
        <v>-23.411756688897121</v>
      </c>
      <c r="Q53" s="130">
        <v>49.951758801255977</v>
      </c>
      <c r="R53" s="89">
        <v>44.859118192913932</v>
      </c>
      <c r="S53" s="130">
        <v>70.482315148600321</v>
      </c>
      <c r="T53" s="357">
        <v>2.8305016832887708</v>
      </c>
      <c r="U53" s="133">
        <v>2.4490891257947798</v>
      </c>
      <c r="AA53" s="14"/>
      <c r="AB53" s="48">
        <v>2.2619999999999998E-2</v>
      </c>
      <c r="AC53" s="57">
        <v>100</v>
      </c>
      <c r="AD53" s="64">
        <v>-22.011053297253703</v>
      </c>
      <c r="AE53" s="57">
        <v>32.526726661282957</v>
      </c>
      <c r="AF53" s="64">
        <v>43.813296647680048</v>
      </c>
      <c r="AG53" s="57">
        <v>70.748727537198704</v>
      </c>
      <c r="AH53" s="65">
        <v>2.58832343121923</v>
      </c>
      <c r="AI53" s="56">
        <v>2.4320903598615375</v>
      </c>
      <c r="AL53" s="14"/>
      <c r="AM53" s="14"/>
      <c r="AN53" s="14"/>
    </row>
    <row r="54" spans="1:40" x14ac:dyDescent="0.2">
      <c r="B54" s="131">
        <v>0.2</v>
      </c>
      <c r="C54" s="135">
        <v>120</v>
      </c>
      <c r="D54" s="65">
        <v>-48.588741416697971</v>
      </c>
      <c r="E54" s="56">
        <v>-3.9622804673597063</v>
      </c>
      <c r="F54" s="65">
        <v>27.345541442271699</v>
      </c>
      <c r="G54" s="56">
        <v>56.100186576045246</v>
      </c>
      <c r="H54" s="133">
        <v>2.2261801282979721</v>
      </c>
      <c r="I54" s="134">
        <v>2.1412489339211276</v>
      </c>
      <c r="K54" s="27">
        <f t="shared" si="6"/>
        <v>-8.650512543183636E-2</v>
      </c>
      <c r="L54" s="27">
        <f t="shared" si="6"/>
        <v>-0.65042577138635493</v>
      </c>
      <c r="N54" s="356">
        <v>1.8399999999999996E-2</v>
      </c>
      <c r="O54" s="130">
        <v>120</v>
      </c>
      <c r="P54" s="89">
        <v>-24.612359596020053</v>
      </c>
      <c r="Q54" s="130">
        <v>42.98174594526678</v>
      </c>
      <c r="R54" s="89">
        <v>44.861822383311221</v>
      </c>
      <c r="S54" s="130">
        <v>70.481101806611306</v>
      </c>
      <c r="T54" s="357">
        <v>2.8308987337150588</v>
      </c>
      <c r="U54" s="133">
        <v>2.4520612687530514</v>
      </c>
      <c r="AA54" s="14"/>
      <c r="AB54" s="48">
        <v>2.2619999999999998E-2</v>
      </c>
      <c r="AC54" s="57">
        <v>120</v>
      </c>
      <c r="AD54" s="64">
        <v>-22.21115378177419</v>
      </c>
      <c r="AE54" s="57">
        <v>27.880051423956829</v>
      </c>
      <c r="AF54" s="64">
        <v>43.813104786781913</v>
      </c>
      <c r="AG54" s="57">
        <v>70.746907422617738</v>
      </c>
      <c r="AH54" s="65">
        <v>2.5882699056232319</v>
      </c>
      <c r="AI54" s="56">
        <v>2.4332807401976431</v>
      </c>
      <c r="AL54" s="14"/>
      <c r="AM54" s="14"/>
      <c r="AN54" s="14"/>
    </row>
    <row r="55" spans="1:40" x14ac:dyDescent="0.2">
      <c r="B55" s="136"/>
      <c r="C55" s="137"/>
      <c r="D55" s="448"/>
      <c r="E55" s="116"/>
      <c r="F55" s="448"/>
      <c r="G55" s="116"/>
      <c r="H55" s="138"/>
      <c r="I55" s="139"/>
      <c r="K55" s="27"/>
      <c r="L55" s="27"/>
      <c r="N55" s="356"/>
      <c r="O55" s="135"/>
      <c r="P55" s="156"/>
      <c r="Q55" s="131"/>
      <c r="R55" s="358"/>
      <c r="S55" s="131"/>
      <c r="T55" s="357"/>
      <c r="U55" s="133"/>
      <c r="AA55" s="14"/>
      <c r="AB55" s="48"/>
      <c r="AC55" s="51"/>
      <c r="AD55" s="15"/>
      <c r="AE55" s="53"/>
      <c r="AF55" s="33"/>
      <c r="AG55" s="53"/>
      <c r="AH55" s="65"/>
      <c r="AI55" s="56"/>
      <c r="AL55" s="14"/>
      <c r="AM55" s="14"/>
      <c r="AN55" s="14"/>
    </row>
    <row r="56" spans="1:40" x14ac:dyDescent="0.2">
      <c r="A56" s="5" t="str">
        <f>B44&amp;C56</f>
        <v>50005</v>
      </c>
      <c r="B56" s="131">
        <v>0</v>
      </c>
      <c r="C56" s="135">
        <v>5</v>
      </c>
      <c r="D56" s="65">
        <v>-49.855101790630563</v>
      </c>
      <c r="E56" s="56">
        <v>70.814067159481866</v>
      </c>
      <c r="F56" s="65">
        <v>48.499740282420383</v>
      </c>
      <c r="G56" s="56">
        <v>84.802411944651325</v>
      </c>
      <c r="H56" s="133">
        <v>2.3511428748552978</v>
      </c>
      <c r="I56" s="134">
        <v>2.1841836005659419</v>
      </c>
      <c r="K56" s="27">
        <f t="shared" ref="K56:L62" si="7">(D56-P35)/F56</f>
        <v>0.16853778335126152</v>
      </c>
      <c r="L56" s="27">
        <f t="shared" si="7"/>
        <v>-0.4115188906709964</v>
      </c>
      <c r="N56" s="356">
        <v>0.33879999999999999</v>
      </c>
      <c r="O56" s="130">
        <v>5</v>
      </c>
      <c r="P56" s="89">
        <v>-6.6033159891761111</v>
      </c>
      <c r="Q56" s="130">
        <v>110.35853688649577</v>
      </c>
      <c r="R56" s="89">
        <v>72.341658898322578</v>
      </c>
      <c r="S56" s="130">
        <v>70.545354342101717</v>
      </c>
      <c r="T56" s="357">
        <v>2.8898821685609506</v>
      </c>
      <c r="U56" s="133">
        <v>2.4148556976623237</v>
      </c>
      <c r="AA56" s="14"/>
      <c r="AB56" s="50">
        <v>0.34247999999999995</v>
      </c>
      <c r="AC56" s="57">
        <v>5</v>
      </c>
      <c r="AD56" s="64">
        <v>-8.0040193808195284</v>
      </c>
      <c r="AE56" s="57">
        <v>98.741848793180438</v>
      </c>
      <c r="AF56" s="64">
        <v>71.002933536300333</v>
      </c>
      <c r="AG56" s="57">
        <v>70.851435042359469</v>
      </c>
      <c r="AH56" s="65">
        <v>2.7593215441742722</v>
      </c>
      <c r="AI56" s="56">
        <v>2.3981859321269097</v>
      </c>
      <c r="AL56" s="14"/>
      <c r="AM56" s="14"/>
      <c r="AN56" s="14"/>
    </row>
    <row r="57" spans="1:40" x14ac:dyDescent="0.2">
      <c r="A57" s="5" t="str">
        <f>B44&amp;C57</f>
        <v>500010</v>
      </c>
      <c r="B57" s="131">
        <v>0</v>
      </c>
      <c r="C57" s="135">
        <v>10</v>
      </c>
      <c r="D57" s="65">
        <v>-51.235215729259195</v>
      </c>
      <c r="E57" s="56">
        <v>57.41739019406625</v>
      </c>
      <c r="F57" s="65">
        <v>47.96442513835683</v>
      </c>
      <c r="G57" s="56">
        <v>76.807292543814938</v>
      </c>
      <c r="H57" s="133">
        <v>2.4049021423164847</v>
      </c>
      <c r="I57" s="134">
        <v>2.2118698361375686</v>
      </c>
      <c r="K57" s="27">
        <f t="shared" si="7"/>
        <v>0.15833248700173011</v>
      </c>
      <c r="L57" s="27">
        <f t="shared" si="7"/>
        <v>-0.48509219023961209</v>
      </c>
      <c r="N57" s="356">
        <v>0.33879999999999999</v>
      </c>
      <c r="O57" s="130">
        <v>10</v>
      </c>
      <c r="P57" s="89">
        <v>-10.405225195065388</v>
      </c>
      <c r="Q57" s="130">
        <v>102.22685522117504</v>
      </c>
      <c r="R57" s="89">
        <v>59.909288599853731</v>
      </c>
      <c r="S57" s="130">
        <v>70.489699952152463</v>
      </c>
      <c r="T57" s="357">
        <v>2.8485239085595744</v>
      </c>
      <c r="U57" s="133">
        <v>2.4401771731143063</v>
      </c>
      <c r="AA57" s="14"/>
      <c r="AB57" s="50">
        <v>0.34247999999999995</v>
      </c>
      <c r="AC57" s="57">
        <v>10</v>
      </c>
      <c r="AD57" s="64">
        <v>-12.006029071229293</v>
      </c>
      <c r="AE57" s="57">
        <v>90.029332723193917</v>
      </c>
      <c r="AF57" s="64">
        <v>58.686832429917793</v>
      </c>
      <c r="AG57" s="57">
        <v>70.76992705747449</v>
      </c>
      <c r="AH57" s="65">
        <v>2.6856331398509008</v>
      </c>
      <c r="AI57" s="56">
        <v>2.4215398703142599</v>
      </c>
      <c r="AL57" s="14"/>
      <c r="AM57" s="14"/>
      <c r="AN57" s="14"/>
    </row>
    <row r="58" spans="1:40" x14ac:dyDescent="0.2">
      <c r="A58" s="5" t="str">
        <f>B44&amp;C58</f>
        <v>500020</v>
      </c>
      <c r="B58" s="131">
        <v>0</v>
      </c>
      <c r="C58" s="135">
        <v>20</v>
      </c>
      <c r="D58" s="65">
        <v>-50.597595469846922</v>
      </c>
      <c r="E58" s="56">
        <v>43.769861570641915</v>
      </c>
      <c r="F58" s="65">
        <v>41.325167832464473</v>
      </c>
      <c r="G58" s="56">
        <v>56.065638581583869</v>
      </c>
      <c r="H58" s="133">
        <v>2.3103028313758069</v>
      </c>
      <c r="I58" s="134">
        <v>2.1651223650686289</v>
      </c>
      <c r="K58" s="27">
        <f t="shared" si="7"/>
        <v>0.21856774917107244</v>
      </c>
      <c r="L58" s="27">
        <f t="shared" si="7"/>
        <v>-0.62825677821624792</v>
      </c>
      <c r="N58" s="356">
        <v>0.33879999999999999</v>
      </c>
      <c r="O58" s="130">
        <v>20</v>
      </c>
      <c r="P58" s="89">
        <v>-16.008038761639057</v>
      </c>
      <c r="Q58" s="130">
        <v>91.191001532525462</v>
      </c>
      <c r="R58" s="89">
        <v>44.763603699833972</v>
      </c>
      <c r="S58" s="130">
        <v>70.489053264396361</v>
      </c>
      <c r="T58" s="357">
        <v>2.8162981324481127</v>
      </c>
      <c r="U58" s="133">
        <v>2.4414379006914158</v>
      </c>
      <c r="AA58" s="14"/>
      <c r="AB58" s="50">
        <v>0.34247999999999995</v>
      </c>
      <c r="AC58" s="57">
        <v>20</v>
      </c>
      <c r="AD58" s="64">
        <v>-17.008541184241501</v>
      </c>
      <c r="AE58" s="57">
        <v>78.412644629878599</v>
      </c>
      <c r="AF58" s="64">
        <v>43.791990025501484</v>
      </c>
      <c r="AG58" s="57">
        <v>70.775828666804969</v>
      </c>
      <c r="AH58" s="65">
        <v>2.5822397911402879</v>
      </c>
      <c r="AI58" s="56">
        <v>2.4197717650553758</v>
      </c>
      <c r="AL58" s="14"/>
      <c r="AM58" s="14"/>
      <c r="AN58" s="14"/>
    </row>
    <row r="59" spans="1:40" x14ac:dyDescent="0.2">
      <c r="A59" s="5" t="str">
        <f>B44&amp;C59</f>
        <v>500040</v>
      </c>
      <c r="B59" s="131">
        <v>0</v>
      </c>
      <c r="C59" s="135">
        <v>40</v>
      </c>
      <c r="D59" s="65">
        <v>-48.979608111414208</v>
      </c>
      <c r="E59" s="56">
        <v>23.328345254928184</v>
      </c>
      <c r="F59" s="65">
        <v>32.977802446692863</v>
      </c>
      <c r="G59" s="56">
        <v>55.946451523621178</v>
      </c>
      <c r="H59" s="133">
        <v>2.2845997373411895</v>
      </c>
      <c r="I59" s="134">
        <v>2.1327890397664668</v>
      </c>
      <c r="K59" s="27">
        <f t="shared" si="7"/>
        <v>0.28048057171181978</v>
      </c>
      <c r="L59" s="27">
        <f t="shared" si="7"/>
        <v>-0.71465845937984784</v>
      </c>
      <c r="N59" s="356">
        <v>0.33879999999999999</v>
      </c>
      <c r="O59" s="130">
        <v>40</v>
      </c>
      <c r="P59" s="89">
        <v>-22.21115378177419</v>
      </c>
      <c r="Q59" s="130">
        <v>77.83181022521282</v>
      </c>
      <c r="R59" s="89">
        <v>44.82879924332628</v>
      </c>
      <c r="S59" s="130">
        <v>70.484825688265602</v>
      </c>
      <c r="T59" s="357">
        <v>2.8260311122241073</v>
      </c>
      <c r="U59" s="133">
        <v>2.445491982547682</v>
      </c>
      <c r="AB59" s="50">
        <v>0.34247999999999995</v>
      </c>
      <c r="AC59" s="57">
        <v>40</v>
      </c>
      <c r="AD59" s="64">
        <v>-22.21115378177419</v>
      </c>
      <c r="AE59" s="57">
        <v>62.730115703902868</v>
      </c>
      <c r="AF59" s="64">
        <v>43.806004537709747</v>
      </c>
      <c r="AG59" s="57">
        <v>70.759230082955455</v>
      </c>
      <c r="AH59" s="65">
        <v>2.5862750315826171</v>
      </c>
      <c r="AI59" s="56">
        <v>2.4264454819562857</v>
      </c>
      <c r="AL59" s="14"/>
      <c r="AM59" s="14"/>
      <c r="AN59" s="14"/>
    </row>
    <row r="60" spans="1:40" x14ac:dyDescent="0.2">
      <c r="A60" s="5" t="str">
        <f>B44&amp;C60</f>
        <v>500060</v>
      </c>
      <c r="B60" s="131">
        <v>0</v>
      </c>
      <c r="C60" s="135">
        <v>60</v>
      </c>
      <c r="D60" s="65">
        <v>-46.9998739133733</v>
      </c>
      <c r="E60" s="56">
        <v>10.097474568452034</v>
      </c>
      <c r="F60" s="65">
        <v>31.306508991351329</v>
      </c>
      <c r="G60" s="56">
        <v>53.518382920605347</v>
      </c>
      <c r="H60" s="133">
        <v>2.3165992092448264</v>
      </c>
      <c r="I60" s="134">
        <v>2.2000230540249022</v>
      </c>
      <c r="K60" s="27">
        <f t="shared" si="7"/>
        <v>0.30116621192126702</v>
      </c>
      <c r="L60" s="27">
        <f t="shared" si="7"/>
        <v>-0.85321390123468865</v>
      </c>
      <c r="N60" s="356">
        <v>0.33879999999999999</v>
      </c>
      <c r="O60" s="130">
        <v>60</v>
      </c>
      <c r="P60" s="89">
        <v>-25.81296250314298</v>
      </c>
      <c r="Q60" s="130">
        <v>67.376790941229004</v>
      </c>
      <c r="R60" s="89">
        <v>44.844210939464588</v>
      </c>
      <c r="S60" s="130">
        <v>70.48445562033838</v>
      </c>
      <c r="T60" s="357">
        <v>2.8283075588500912</v>
      </c>
      <c r="U60" s="133">
        <v>2.4458759175594604</v>
      </c>
      <c r="AB60" s="50">
        <v>0.34247999999999995</v>
      </c>
      <c r="AC60" s="57">
        <v>60</v>
      </c>
      <c r="AD60" s="64">
        <v>-25.212661049581513</v>
      </c>
      <c r="AE60" s="57">
        <v>51.694262015253294</v>
      </c>
      <c r="AF60" s="64">
        <v>43.809897226067328</v>
      </c>
      <c r="AG60" s="57">
        <v>70.772620787316555</v>
      </c>
      <c r="AH60" s="65">
        <v>2.587372693467104</v>
      </c>
      <c r="AI60" s="56">
        <v>2.4209624748245502</v>
      </c>
      <c r="AL60" s="14"/>
      <c r="AM60" s="14"/>
      <c r="AN60" s="14"/>
    </row>
    <row r="61" spans="1:40" x14ac:dyDescent="0.2">
      <c r="A61" s="5" t="str">
        <f>B44&amp;C61</f>
        <v>5000100</v>
      </c>
      <c r="B61" s="131">
        <v>0</v>
      </c>
      <c r="C61" s="135">
        <v>100</v>
      </c>
      <c r="D61" s="65">
        <v>-43.583025776703792</v>
      </c>
      <c r="E61" s="56">
        <v>-2.4680287626667603</v>
      </c>
      <c r="F61" s="65">
        <v>28.033691935904891</v>
      </c>
      <c r="G61" s="56">
        <v>57.296930324559234</v>
      </c>
      <c r="H61" s="133">
        <v>2.2871495303417713</v>
      </c>
      <c r="I61" s="134">
        <v>2.1514274253975629</v>
      </c>
      <c r="K61" s="27">
        <f t="shared" si="7"/>
        <v>0.35827974773180182</v>
      </c>
      <c r="L61" s="27">
        <f t="shared" si="7"/>
        <v>-0.66144778145355387</v>
      </c>
      <c r="N61" s="356">
        <v>0.33879999999999999</v>
      </c>
      <c r="O61" s="130">
        <v>100</v>
      </c>
      <c r="P61" s="89">
        <v>-28.61436928642981</v>
      </c>
      <c r="Q61" s="130">
        <v>57.502606061910953</v>
      </c>
      <c r="R61" s="89">
        <v>44.85399275043148</v>
      </c>
      <c r="S61" s="130">
        <v>70.483725412832612</v>
      </c>
      <c r="T61" s="357">
        <v>2.8297483384378954</v>
      </c>
      <c r="U61" s="133">
        <v>2.4468789332298728</v>
      </c>
      <c r="AB61" s="50">
        <v>0.34247999999999995</v>
      </c>
      <c r="AC61" s="57">
        <v>100</v>
      </c>
      <c r="AD61" s="64">
        <v>-27.213665894786395</v>
      </c>
      <c r="AE61" s="57">
        <v>36.592567493943335</v>
      </c>
      <c r="AF61" s="64">
        <v>43.812949251964618</v>
      </c>
      <c r="AG61" s="57">
        <v>70.748737648209342</v>
      </c>
      <c r="AH61" s="65">
        <v>2.5882265925080321</v>
      </c>
      <c r="AI61" s="56">
        <v>2.4320838419975956</v>
      </c>
    </row>
    <row r="62" spans="1:40" x14ac:dyDescent="0.2">
      <c r="A62" s="5" t="str">
        <f>B44&amp;C62</f>
        <v>5000120</v>
      </c>
      <c r="B62" s="131">
        <v>0</v>
      </c>
      <c r="C62" s="135">
        <v>120</v>
      </c>
      <c r="D62" s="65">
        <v>-42.583658677683339</v>
      </c>
      <c r="E62" s="56">
        <v>-7.2935487687073062</v>
      </c>
      <c r="F62" s="65">
        <v>27.345168588386667</v>
      </c>
      <c r="G62" s="56">
        <v>56.193055610194243</v>
      </c>
      <c r="H62" s="133">
        <v>2.2262144252765701</v>
      </c>
      <c r="I62" s="134">
        <v>2.1393042927349404</v>
      </c>
      <c r="K62" s="27">
        <f t="shared" si="7"/>
        <v>0.345306603874944</v>
      </c>
      <c r="L62" s="27">
        <f t="shared" si="7"/>
        <v>-0.73964261584749058</v>
      </c>
      <c r="N62" s="356">
        <v>0.33879999999999999</v>
      </c>
      <c r="O62" s="130">
        <v>120</v>
      </c>
      <c r="P62" s="89">
        <v>-30.415273647114208</v>
      </c>
      <c r="Q62" s="130">
        <v>48.209255587258689</v>
      </c>
      <c r="R62" s="89">
        <v>44.861478325501729</v>
      </c>
      <c r="S62" s="130">
        <v>70.481105165824047</v>
      </c>
      <c r="T62" s="357">
        <v>2.8308482271610318</v>
      </c>
      <c r="U62" s="133">
        <v>2.4520493598991133</v>
      </c>
      <c r="AB62" s="50">
        <v>0.34247999999999995</v>
      </c>
      <c r="AC62" s="57">
        <v>120</v>
      </c>
      <c r="AD62" s="64">
        <v>-27.813967348347866</v>
      </c>
      <c r="AE62" s="57">
        <v>31.945892256617203</v>
      </c>
      <c r="AF62" s="64">
        <v>43.813012606289384</v>
      </c>
      <c r="AG62" s="57">
        <v>70.746915759648104</v>
      </c>
      <c r="AH62" s="65">
        <v>2.5882442065921607</v>
      </c>
      <c r="AI62" s="56">
        <v>2.4332750755440755</v>
      </c>
    </row>
    <row r="63" spans="1:40" x14ac:dyDescent="0.2">
      <c r="A63" s="5"/>
      <c r="B63" s="92"/>
      <c r="C63" s="140"/>
      <c r="D63" s="449"/>
      <c r="E63" s="450"/>
      <c r="F63" s="455"/>
      <c r="G63" s="456"/>
      <c r="H63" s="140"/>
      <c r="I63" s="141"/>
      <c r="N63" s="92"/>
      <c r="O63" s="140"/>
      <c r="P63" s="82"/>
      <c r="Q63" s="140"/>
      <c r="R63" s="82"/>
      <c r="S63" s="140"/>
      <c r="T63" s="82"/>
      <c r="U63" s="140"/>
      <c r="AB63" s="39"/>
      <c r="AC63" s="52"/>
      <c r="AD63" s="38"/>
      <c r="AE63" s="52"/>
      <c r="AF63" s="38"/>
      <c r="AG63" s="52"/>
      <c r="AH63" s="38"/>
      <c r="AI63" s="52"/>
    </row>
    <row r="64" spans="1:40" x14ac:dyDescent="0.2">
      <c r="A64" s="5"/>
      <c r="B64" s="80"/>
      <c r="C64" s="80"/>
      <c r="D64" s="461"/>
      <c r="E64" s="461"/>
      <c r="F64" s="463"/>
      <c r="G64" s="463"/>
      <c r="H64" s="80"/>
      <c r="I64" s="80"/>
    </row>
    <row r="65" spans="1:25" x14ac:dyDescent="0.2">
      <c r="A65" s="5"/>
      <c r="C65" s="27" t="s">
        <v>401</v>
      </c>
      <c r="D65" s="27"/>
      <c r="E65" s="27"/>
      <c r="F65" s="27"/>
      <c r="G65" s="27"/>
    </row>
    <row r="66" spans="1:25" x14ac:dyDescent="0.2">
      <c r="A66" s="5"/>
      <c r="B66" s="60" t="s">
        <v>391</v>
      </c>
      <c r="C66" s="18"/>
      <c r="D66" s="457"/>
      <c r="E66" s="457"/>
      <c r="F66" s="457"/>
      <c r="G66" s="458"/>
      <c r="H66" s="10"/>
      <c r="I66" s="11"/>
      <c r="N66" s="348" t="s">
        <v>292</v>
      </c>
      <c r="O66" s="132"/>
      <c r="P66" s="132"/>
      <c r="Q66" s="132"/>
      <c r="R66" s="132"/>
      <c r="S66" s="76"/>
      <c r="T66" s="76"/>
      <c r="U66" s="77"/>
    </row>
    <row r="67" spans="1:25" ht="25.5" x14ac:dyDescent="0.2">
      <c r="B67" s="12"/>
      <c r="C67" s="13"/>
      <c r="D67" s="659" t="s">
        <v>19</v>
      </c>
      <c r="E67" s="660"/>
      <c r="F67" s="659" t="s">
        <v>20</v>
      </c>
      <c r="G67" s="660"/>
      <c r="H67" s="645" t="s">
        <v>8</v>
      </c>
      <c r="I67" s="646"/>
      <c r="N67" s="128"/>
      <c r="O67" s="129"/>
      <c r="P67" s="128" t="s">
        <v>19</v>
      </c>
      <c r="Q67" s="129"/>
      <c r="R67" s="128" t="s">
        <v>20</v>
      </c>
      <c r="S67" s="129"/>
      <c r="T67" s="128" t="s">
        <v>8</v>
      </c>
      <c r="U67" s="129"/>
    </row>
    <row r="68" spans="1:25" ht="38.25" x14ac:dyDescent="0.2">
      <c r="B68" s="12" t="s">
        <v>351</v>
      </c>
      <c r="C68" s="54" t="s">
        <v>241</v>
      </c>
      <c r="D68" s="453" t="s">
        <v>387</v>
      </c>
      <c r="E68" s="454" t="s">
        <v>388</v>
      </c>
      <c r="F68" s="453" t="s">
        <v>387</v>
      </c>
      <c r="G68" s="454" t="s">
        <v>388</v>
      </c>
      <c r="H68" s="54" t="s">
        <v>158</v>
      </c>
      <c r="I68" s="13" t="s">
        <v>159</v>
      </c>
      <c r="N68" s="290" t="s">
        <v>9</v>
      </c>
      <c r="O68" s="349" t="s">
        <v>15</v>
      </c>
      <c r="P68" s="17" t="s">
        <v>102</v>
      </c>
      <c r="Q68" s="9" t="s">
        <v>103</v>
      </c>
      <c r="R68" s="17" t="s">
        <v>102</v>
      </c>
      <c r="S68" s="9" t="s">
        <v>103</v>
      </c>
      <c r="T68" s="350" t="s">
        <v>280</v>
      </c>
      <c r="U68" s="129" t="s">
        <v>281</v>
      </c>
      <c r="X68" t="s">
        <v>298</v>
      </c>
    </row>
    <row r="69" spans="1:25" x14ac:dyDescent="0.2">
      <c r="B69" s="53">
        <v>0.32</v>
      </c>
      <c r="C69" s="57">
        <v>5</v>
      </c>
      <c r="D69" s="65">
        <v>-56.490090004083861</v>
      </c>
      <c r="E69" s="56">
        <v>83.297220749870377</v>
      </c>
      <c r="F69" s="65">
        <v>48.500235021111145</v>
      </c>
      <c r="G69" s="56">
        <v>89.851271576385074</v>
      </c>
      <c r="H69" s="56">
        <v>2.3510560979104196</v>
      </c>
      <c r="I69" s="49">
        <v>2.1775383636707608</v>
      </c>
      <c r="K69" s="27">
        <f t="shared" ref="K69:L75" si="8">(D69-P6)/F69</f>
        <v>-4.6656654303769425E-2</v>
      </c>
      <c r="L69" s="27">
        <f t="shared" si="8"/>
        <v>-0.15249783991831647</v>
      </c>
      <c r="N69" s="351">
        <v>1.8399999999999996E-2</v>
      </c>
      <c r="O69" s="352">
        <v>5</v>
      </c>
      <c r="P69" s="353">
        <v>-3.8019092058892761</v>
      </c>
      <c r="Q69" s="352">
        <v>96.999345579183128</v>
      </c>
      <c r="R69" s="353">
        <v>72.35505885894041</v>
      </c>
      <c r="S69" s="352">
        <v>70.539488517862338</v>
      </c>
      <c r="T69" s="354">
        <v>2.8910338263065101</v>
      </c>
      <c r="U69" s="355">
        <v>2.4169945836498692</v>
      </c>
      <c r="X69" s="14">
        <f t="shared" ref="X69:Y75" si="9">P69-AD48</f>
        <v>0.20010048452048812</v>
      </c>
      <c r="Y69" s="14">
        <f t="shared" si="9"/>
        <v>9.8741848793180367</v>
      </c>
    </row>
    <row r="70" spans="1:25" x14ac:dyDescent="0.2">
      <c r="B70" s="53">
        <v>0.32</v>
      </c>
      <c r="C70" s="57">
        <v>10</v>
      </c>
      <c r="D70" s="65">
        <v>-57.72799474380404</v>
      </c>
      <c r="E70" s="56">
        <v>69.330282854476025</v>
      </c>
      <c r="F70" s="65">
        <v>47.964809179868247</v>
      </c>
      <c r="G70" s="56">
        <v>80.929432796338773</v>
      </c>
      <c r="H70" s="56">
        <v>2.4047408760751114</v>
      </c>
      <c r="I70" s="49">
        <v>2.1901263149382268</v>
      </c>
      <c r="K70" s="27">
        <f t="shared" si="8"/>
        <v>-6.4642443548219616E-2</v>
      </c>
      <c r="L70" s="27">
        <f t="shared" si="8"/>
        <v>-0.2055273151106283</v>
      </c>
      <c r="N70" s="356">
        <v>1.8399999999999996E-2</v>
      </c>
      <c r="O70" s="130">
        <v>10</v>
      </c>
      <c r="P70" s="89">
        <v>-6.6033159891761111</v>
      </c>
      <c r="Q70" s="130">
        <v>91.191001532525462</v>
      </c>
      <c r="R70" s="89">
        <v>59.927822133351988</v>
      </c>
      <c r="S70" s="130">
        <v>70.486550792743742</v>
      </c>
      <c r="T70" s="357">
        <v>2.8505248354299435</v>
      </c>
      <c r="U70" s="133">
        <v>2.4431158188395061</v>
      </c>
      <c r="X70" s="14">
        <f t="shared" si="9"/>
        <v>0.6003014535614648</v>
      </c>
      <c r="Y70" s="14">
        <f t="shared" si="9"/>
        <v>11.616688093315361</v>
      </c>
    </row>
    <row r="71" spans="1:25" ht="12.75" customHeight="1" x14ac:dyDescent="0.2">
      <c r="B71" s="53">
        <v>0.32</v>
      </c>
      <c r="C71" s="57">
        <v>20</v>
      </c>
      <c r="D71" s="65">
        <v>-58.497386964272557</v>
      </c>
      <c r="E71" s="56">
        <v>50.423922089214273</v>
      </c>
      <c r="F71" s="65">
        <v>41.32573949913747</v>
      </c>
      <c r="G71" s="56">
        <v>58.423499442873315</v>
      </c>
      <c r="H71" s="56">
        <v>2.3102283097804395</v>
      </c>
      <c r="I71" s="49">
        <v>2.1583133453069467</v>
      </c>
      <c r="K71" s="27">
        <f t="shared" si="8"/>
        <v>-9.3645140706073729E-2</v>
      </c>
      <c r="L71" s="27">
        <f t="shared" si="8"/>
        <v>-0.37964823582152379</v>
      </c>
      <c r="N71" s="356">
        <v>1.8399999999999996E-2</v>
      </c>
      <c r="O71" s="130">
        <v>20</v>
      </c>
      <c r="P71" s="89">
        <v>-11.405727617667829</v>
      </c>
      <c r="Q71" s="130">
        <v>82.478485462538956</v>
      </c>
      <c r="R71" s="89">
        <v>44.77814024129249</v>
      </c>
      <c r="S71" s="130">
        <v>70.486951455480153</v>
      </c>
      <c r="T71" s="357">
        <v>2.8184810067730939</v>
      </c>
      <c r="U71" s="133">
        <v>2.4433046048543154</v>
      </c>
      <c r="X71" s="14">
        <f t="shared" si="9"/>
        <v>0.60030145356146392</v>
      </c>
      <c r="Y71" s="14">
        <f t="shared" si="9"/>
        <v>13.940025711978407</v>
      </c>
    </row>
    <row r="72" spans="1:25" x14ac:dyDescent="0.2">
      <c r="B72" s="53">
        <v>0.32</v>
      </c>
      <c r="C72" s="57">
        <v>40</v>
      </c>
      <c r="D72" s="65">
        <v>-57.540190110536471</v>
      </c>
      <c r="E72" s="56">
        <v>30.04286485788819</v>
      </c>
      <c r="F72" s="65">
        <v>32.980080509297984</v>
      </c>
      <c r="G72" s="56">
        <v>57.097966591274933</v>
      </c>
      <c r="H72" s="56">
        <v>2.2843097794267924</v>
      </c>
      <c r="I72" s="49">
        <v>2.1198760137068766</v>
      </c>
      <c r="K72" s="27">
        <f t="shared" si="8"/>
        <v>-5.7982132981804657E-2</v>
      </c>
      <c r="L72" s="27">
        <f t="shared" si="8"/>
        <v>-0.46057808998595418</v>
      </c>
      <c r="N72" s="356">
        <v>1.8399999999999996E-2</v>
      </c>
      <c r="O72" s="130">
        <v>40</v>
      </c>
      <c r="P72" s="89">
        <v>-17.208641668761985</v>
      </c>
      <c r="Q72" s="130">
        <v>70.280962964557844</v>
      </c>
      <c r="R72" s="89">
        <v>44.80008461176913</v>
      </c>
      <c r="S72" s="130">
        <v>70.492538318963113</v>
      </c>
      <c r="T72" s="357">
        <v>2.8217636379403168</v>
      </c>
      <c r="U72" s="133">
        <v>2.4389503783931761</v>
      </c>
      <c r="X72" s="14">
        <f t="shared" si="9"/>
        <v>-0.20010048452048323</v>
      </c>
      <c r="Y72" s="14">
        <f t="shared" si="9"/>
        <v>15.682528925975717</v>
      </c>
    </row>
    <row r="73" spans="1:25" x14ac:dyDescent="0.2">
      <c r="B73" s="53">
        <v>0.32</v>
      </c>
      <c r="C73" s="51">
        <v>60</v>
      </c>
      <c r="D73" s="65">
        <v>-55.780082536561352</v>
      </c>
      <c r="E73" s="56">
        <v>15.269090374655168</v>
      </c>
      <c r="F73" s="65">
        <v>31.305951984030628</v>
      </c>
      <c r="G73" s="56">
        <v>53.941404702403915</v>
      </c>
      <c r="H73" s="56">
        <v>2.3166966164314102</v>
      </c>
      <c r="I73" s="49">
        <v>2.1865603386613444</v>
      </c>
      <c r="K73" s="27">
        <f t="shared" si="8"/>
        <v>-0.12630368333062963</v>
      </c>
      <c r="L73" s="27">
        <f t="shared" si="8"/>
        <v>-0.66450507608554998</v>
      </c>
      <c r="N73" s="356">
        <v>1.8399999999999996E-2</v>
      </c>
      <c r="O73" s="130">
        <v>60</v>
      </c>
      <c r="P73" s="89">
        <v>-22.21115378177419</v>
      </c>
      <c r="Q73" s="130">
        <v>55.179268443247885</v>
      </c>
      <c r="R73" s="89">
        <v>44.863054364026524</v>
      </c>
      <c r="S73" s="130">
        <v>70.48170690399435</v>
      </c>
      <c r="T73" s="357">
        <v>2.8310796204711264</v>
      </c>
      <c r="U73" s="133">
        <v>2.4503475061279416</v>
      </c>
      <c r="X73" s="14">
        <f t="shared" si="9"/>
        <v>-2.4012058142458557</v>
      </c>
      <c r="Y73" s="14">
        <f t="shared" si="9"/>
        <v>9.8741848793180438</v>
      </c>
    </row>
    <row r="74" spans="1:25" x14ac:dyDescent="0.2">
      <c r="B74" s="53">
        <v>0.32</v>
      </c>
      <c r="C74" s="51">
        <v>100</v>
      </c>
      <c r="D74" s="65">
        <v>-53.014446136885319</v>
      </c>
      <c r="E74" s="56">
        <v>-0.55262227361213956</v>
      </c>
      <c r="F74" s="65">
        <v>28.039772888580309</v>
      </c>
      <c r="G74" s="56">
        <v>57.263687713355907</v>
      </c>
      <c r="H74" s="56">
        <v>2.2862210940426961</v>
      </c>
      <c r="I74" s="49">
        <v>2.1521979772755144</v>
      </c>
      <c r="K74" s="27">
        <f t="shared" si="8"/>
        <v>-0.17797326218717513</v>
      </c>
      <c r="L74" s="27">
        <f t="shared" si="8"/>
        <v>-0.71967126543622828</v>
      </c>
      <c r="N74" s="356">
        <v>1.8399999999999996E-2</v>
      </c>
      <c r="O74" s="130">
        <v>100</v>
      </c>
      <c r="P74" s="89">
        <v>-23.411756688897121</v>
      </c>
      <c r="Q74" s="130">
        <v>49.951758801255977</v>
      </c>
      <c r="R74" s="89">
        <v>44.861237438844107</v>
      </c>
      <c r="S74" s="130">
        <v>70.482222187679909</v>
      </c>
      <c r="T74" s="357">
        <v>2.8308129157978286</v>
      </c>
      <c r="U74" s="133">
        <v>2.4492923451926298</v>
      </c>
      <c r="X74" s="14">
        <f t="shared" si="9"/>
        <v>-1.4007033916434182</v>
      </c>
      <c r="Y74" s="14">
        <f t="shared" si="9"/>
        <v>17.42503213997302</v>
      </c>
    </row>
    <row r="75" spans="1:25" x14ac:dyDescent="0.2">
      <c r="B75" s="53">
        <v>0.32</v>
      </c>
      <c r="C75" s="51">
        <v>120</v>
      </c>
      <c r="D75" s="65">
        <v>-51.656720456706033</v>
      </c>
      <c r="E75" s="56">
        <v>-1.9151251186743985</v>
      </c>
      <c r="F75" s="65">
        <v>27.350677370931578</v>
      </c>
      <c r="G75" s="56">
        <v>56.071169740045192</v>
      </c>
      <c r="H75" s="56">
        <v>2.225710250379104</v>
      </c>
      <c r="I75" s="49">
        <v>2.1418733648156416</v>
      </c>
      <c r="K75" s="27">
        <f t="shared" si="8"/>
        <v>-0.1986608396853824</v>
      </c>
      <c r="L75" s="27">
        <f t="shared" si="8"/>
        <v>-0.61425242133587055</v>
      </c>
      <c r="N75" s="356">
        <v>1.8399999999999996E-2</v>
      </c>
      <c r="O75" s="130">
        <v>120</v>
      </c>
      <c r="P75" s="89">
        <v>-24.612359596020053</v>
      </c>
      <c r="Q75" s="130">
        <v>42.98174594526678</v>
      </c>
      <c r="R75" s="89">
        <v>44.863923819792682</v>
      </c>
      <c r="S75" s="130">
        <v>70.481076798675105</v>
      </c>
      <c r="T75" s="357">
        <v>2.8312072150662684</v>
      </c>
      <c r="U75" s="133">
        <v>2.4521508109490866</v>
      </c>
      <c r="X75" s="14">
        <f t="shared" si="9"/>
        <v>-2.4012058142458628</v>
      </c>
      <c r="Y75" s="14">
        <f t="shared" si="9"/>
        <v>15.101694521309952</v>
      </c>
    </row>
    <row r="76" spans="1:25" x14ac:dyDescent="0.2">
      <c r="B76" s="119"/>
      <c r="C76" s="113"/>
      <c r="D76" s="448"/>
      <c r="E76" s="116"/>
      <c r="F76" s="448"/>
      <c r="G76" s="116"/>
      <c r="H76" s="116"/>
      <c r="I76" s="117"/>
      <c r="K76" s="27"/>
      <c r="L76" s="27"/>
      <c r="N76" s="356"/>
      <c r="O76" s="135"/>
      <c r="P76" s="156"/>
      <c r="Q76" s="131"/>
      <c r="R76" s="358"/>
      <c r="S76" s="131"/>
      <c r="T76" s="357"/>
      <c r="U76" s="133"/>
      <c r="X76" s="14"/>
      <c r="Y76" s="14"/>
    </row>
    <row r="77" spans="1:25" x14ac:dyDescent="0.2">
      <c r="B77" s="53">
        <v>0</v>
      </c>
      <c r="C77" s="51">
        <v>5</v>
      </c>
      <c r="D77" s="65">
        <v>-49.951173890944041</v>
      </c>
      <c r="E77" s="56">
        <v>70.915422094883738</v>
      </c>
      <c r="F77" s="65">
        <v>48.500354255690667</v>
      </c>
      <c r="G77" s="56">
        <v>84.805261868091407</v>
      </c>
      <c r="H77" s="56">
        <v>2.3510351969848053</v>
      </c>
      <c r="I77" s="49">
        <v>2.1841244224205205</v>
      </c>
      <c r="K77" s="27">
        <f t="shared" ref="K77:L83" si="10">(D77-P14)/F77</f>
        <v>0.2160638328330117</v>
      </c>
      <c r="L77" s="27">
        <f t="shared" si="10"/>
        <v>-0.47195124824367918</v>
      </c>
      <c r="N77" s="356">
        <v>0.22180000000000002</v>
      </c>
      <c r="O77" s="130">
        <v>5</v>
      </c>
      <c r="P77" s="89">
        <v>-6.4032155046556234</v>
      </c>
      <c r="Q77" s="130">
        <v>104.55019283983812</v>
      </c>
      <c r="R77" s="89">
        <v>72.350216755207114</v>
      </c>
      <c r="S77" s="130">
        <v>70.541660940245052</v>
      </c>
      <c r="T77" s="357">
        <v>2.8906178690520909</v>
      </c>
      <c r="U77" s="133">
        <v>2.4161875720654469</v>
      </c>
      <c r="X77" s="14">
        <f t="shared" ref="X77:Y83" si="11">P77-AD56</f>
        <v>1.600803876163905</v>
      </c>
      <c r="Y77" s="14">
        <f t="shared" si="11"/>
        <v>5.8083440466576803</v>
      </c>
    </row>
    <row r="78" spans="1:25" x14ac:dyDescent="0.2">
      <c r="B78" s="53">
        <v>0</v>
      </c>
      <c r="C78" s="51">
        <v>10</v>
      </c>
      <c r="D78" s="65">
        <v>-51.362200055278002</v>
      </c>
      <c r="E78" s="56">
        <v>57.553396389434567</v>
      </c>
      <c r="F78" s="65">
        <v>47.964665698508895</v>
      </c>
      <c r="G78" s="56">
        <v>76.809646721776261</v>
      </c>
      <c r="H78" s="56">
        <v>2.4048011292386784</v>
      </c>
      <c r="I78" s="49">
        <v>2.2118015847927439</v>
      </c>
      <c r="K78" s="27">
        <f t="shared" si="10"/>
        <v>0.21408987277381564</v>
      </c>
      <c r="L78" s="27">
        <f t="shared" si="10"/>
        <v>-0.5438026158317123</v>
      </c>
      <c r="N78" s="356">
        <v>0.22180000000000002</v>
      </c>
      <c r="O78" s="130">
        <v>10</v>
      </c>
      <c r="P78" s="89">
        <v>-9.6048232569834333</v>
      </c>
      <c r="Q78" s="130">
        <v>97.580179983848893</v>
      </c>
      <c r="R78" s="89">
        <v>59.931808876157945</v>
      </c>
      <c r="S78" s="130">
        <v>70.487162932498805</v>
      </c>
      <c r="T78" s="357">
        <v>2.8509545013762354</v>
      </c>
      <c r="U78" s="133">
        <v>2.4424912778145456</v>
      </c>
      <c r="X78" s="14">
        <f t="shared" si="11"/>
        <v>2.4012058142458592</v>
      </c>
      <c r="Y78" s="14">
        <f t="shared" si="11"/>
        <v>7.5508472606549759</v>
      </c>
    </row>
    <row r="79" spans="1:25" x14ac:dyDescent="0.2">
      <c r="A79" s="5"/>
      <c r="B79" s="53">
        <v>0</v>
      </c>
      <c r="C79" s="51">
        <v>20</v>
      </c>
      <c r="D79" s="65">
        <v>-50.679194215928426</v>
      </c>
      <c r="E79" s="56">
        <v>43.886116547829353</v>
      </c>
      <c r="F79" s="65">
        <v>41.326683227827715</v>
      </c>
      <c r="G79" s="56">
        <v>56.066479859107687</v>
      </c>
      <c r="H79" s="56">
        <v>2.3101051471634144</v>
      </c>
      <c r="I79" s="49">
        <v>2.1650999316126165</v>
      </c>
      <c r="K79" s="27">
        <f t="shared" si="10"/>
        <v>0.27953021069362571</v>
      </c>
      <c r="L79" s="27">
        <f t="shared" si="10"/>
        <v>-0.68833229786657435</v>
      </c>
      <c r="N79" s="356">
        <v>0.22180000000000002</v>
      </c>
      <c r="O79" s="130">
        <v>20</v>
      </c>
      <c r="P79" s="89">
        <v>-14.20713440095466</v>
      </c>
      <c r="Q79" s="130">
        <v>88.286829509196622</v>
      </c>
      <c r="R79" s="89">
        <v>44.772024162767089</v>
      </c>
      <c r="S79" s="130">
        <v>70.49003392514615</v>
      </c>
      <c r="T79" s="357">
        <v>2.8175628014155643</v>
      </c>
      <c r="U79" s="133">
        <v>2.4407082576543062</v>
      </c>
      <c r="X79" s="14">
        <f t="shared" si="11"/>
        <v>2.8014067832868417</v>
      </c>
      <c r="Y79" s="14">
        <f t="shared" si="11"/>
        <v>9.8741848793180225</v>
      </c>
    </row>
    <row r="80" spans="1:25" x14ac:dyDescent="0.2">
      <c r="A80" s="5"/>
      <c r="B80" s="53">
        <v>0</v>
      </c>
      <c r="C80" s="51">
        <v>40</v>
      </c>
      <c r="D80" s="65">
        <v>-49.044470180379726</v>
      </c>
      <c r="E80" s="56">
        <v>23.49986899176211</v>
      </c>
      <c r="F80" s="65">
        <v>32.980525077556507</v>
      </c>
      <c r="G80" s="56">
        <v>55.946928873281699</v>
      </c>
      <c r="H80" s="56">
        <v>2.284253421747338</v>
      </c>
      <c r="I80" s="49">
        <v>2.1327794874738895</v>
      </c>
      <c r="K80" s="27">
        <f t="shared" si="10"/>
        <v>0.38163367691486022</v>
      </c>
      <c r="L80" s="27">
        <f t="shared" si="10"/>
        <v>-0.78425970527974731</v>
      </c>
      <c r="N80" s="356">
        <v>0.22180000000000002</v>
      </c>
      <c r="O80" s="130">
        <v>40</v>
      </c>
      <c r="P80" s="89">
        <v>-20.210148936569311</v>
      </c>
      <c r="Q80" s="130">
        <v>74.346803797218215</v>
      </c>
      <c r="R80" s="89">
        <v>44.823515563500088</v>
      </c>
      <c r="S80" s="130">
        <v>70.486875632076817</v>
      </c>
      <c r="T80" s="357">
        <v>2.8252475909610584</v>
      </c>
      <c r="U80" s="133">
        <v>2.4433971486090682</v>
      </c>
      <c r="X80" s="14">
        <f t="shared" si="11"/>
        <v>2.0010048452048785</v>
      </c>
      <c r="Y80" s="14">
        <f t="shared" si="11"/>
        <v>11.616688093315346</v>
      </c>
    </row>
    <row r="81" spans="1:25" x14ac:dyDescent="0.2">
      <c r="A81" s="5"/>
      <c r="B81" s="53">
        <v>0</v>
      </c>
      <c r="C81" s="51">
        <v>60</v>
      </c>
      <c r="D81" s="65">
        <v>-47.033823756633488</v>
      </c>
      <c r="E81" s="56">
        <v>10.189820176262621</v>
      </c>
      <c r="F81" s="65">
        <v>31.309285830460063</v>
      </c>
      <c r="G81" s="56">
        <v>53.518847903670689</v>
      </c>
      <c r="H81" s="56">
        <v>2.316091110877474</v>
      </c>
      <c r="I81" s="49">
        <v>2.2000055401907668</v>
      </c>
      <c r="K81" s="27">
        <f t="shared" si="10"/>
        <v>0.40870370484603485</v>
      </c>
      <c r="L81" s="27">
        <f t="shared" si="10"/>
        <v>-0.86233390448510461</v>
      </c>
      <c r="N81" s="356">
        <v>0.22180000000000002</v>
      </c>
      <c r="O81" s="130">
        <v>60</v>
      </c>
      <c r="P81" s="89">
        <v>-24.212158626979072</v>
      </c>
      <c r="Q81" s="130">
        <v>62.149281299237103</v>
      </c>
      <c r="R81" s="89">
        <v>44.842700748846383</v>
      </c>
      <c r="S81" s="130">
        <v>70.485405335955477</v>
      </c>
      <c r="T81" s="357">
        <v>2.8280845275975324</v>
      </c>
      <c r="U81" s="133">
        <v>2.4448611028615761</v>
      </c>
      <c r="X81" s="14">
        <f t="shared" si="11"/>
        <v>1.000502422602441</v>
      </c>
      <c r="Y81" s="14">
        <f t="shared" si="11"/>
        <v>10.455019283983809</v>
      </c>
    </row>
    <row r="82" spans="1:25" x14ac:dyDescent="0.2">
      <c r="A82" s="5"/>
      <c r="B82" s="53">
        <v>0</v>
      </c>
      <c r="C82" s="51">
        <v>100</v>
      </c>
      <c r="D82" s="65">
        <v>-43.600238942847994</v>
      </c>
      <c r="E82" s="56">
        <v>-2.4338106434498914</v>
      </c>
      <c r="F82" s="65">
        <v>28.038053388564425</v>
      </c>
      <c r="G82" s="56">
        <v>57.296988397939877</v>
      </c>
      <c r="H82" s="56">
        <v>2.2864834278679709</v>
      </c>
      <c r="I82" s="49">
        <v>2.1514260811415387</v>
      </c>
      <c r="K82" s="27">
        <f t="shared" si="10"/>
        <v>0.47179804095693484</v>
      </c>
      <c r="L82" s="27">
        <f t="shared" si="10"/>
        <v>-0.71153619921944056</v>
      </c>
      <c r="N82" s="356">
        <v>0.22180000000000002</v>
      </c>
      <c r="O82" s="130">
        <v>100</v>
      </c>
      <c r="P82" s="89">
        <v>-27.213665894786395</v>
      </c>
      <c r="Q82" s="130">
        <v>51.113427610587522</v>
      </c>
      <c r="R82" s="89">
        <v>44.854151814302192</v>
      </c>
      <c r="S82" s="130">
        <v>70.484079912803608</v>
      </c>
      <c r="T82" s="357">
        <v>2.8297716138551956</v>
      </c>
      <c r="U82" s="133">
        <v>2.4464558629443389</v>
      </c>
      <c r="X82" s="14">
        <f t="shared" si="11"/>
        <v>0</v>
      </c>
      <c r="Y82" s="14">
        <f t="shared" si="11"/>
        <v>14.520860116644187</v>
      </c>
    </row>
    <row r="83" spans="1:25" x14ac:dyDescent="0.2">
      <c r="A83" s="5"/>
      <c r="B83" s="53">
        <v>0</v>
      </c>
      <c r="C83" s="51">
        <v>120</v>
      </c>
      <c r="D83" s="65">
        <v>-42.624696295238195</v>
      </c>
      <c r="E83" s="56">
        <v>-7.3014319303496729</v>
      </c>
      <c r="F83" s="65">
        <v>27.350096639846285</v>
      </c>
      <c r="G83" s="56">
        <v>56.19417969965059</v>
      </c>
      <c r="H83" s="56">
        <v>2.2257634466649479</v>
      </c>
      <c r="I83" s="49">
        <v>2.1392805113341766</v>
      </c>
      <c r="K83" s="27">
        <f t="shared" si="10"/>
        <v>0.47543665284579478</v>
      </c>
      <c r="L83" s="27">
        <f t="shared" si="10"/>
        <v>-0.70875949794993232</v>
      </c>
      <c r="N83" s="356">
        <v>0.22180000000000002</v>
      </c>
      <c r="O83" s="130">
        <v>120</v>
      </c>
      <c r="P83" s="89">
        <v>-29.214670739991277</v>
      </c>
      <c r="Q83" s="130">
        <v>41.239242731269478</v>
      </c>
      <c r="R83" s="89">
        <v>44.863656635164169</v>
      </c>
      <c r="S83" s="130">
        <v>70.481075786359867</v>
      </c>
      <c r="T83" s="357">
        <v>2.8311680090315265</v>
      </c>
      <c r="U83" s="133">
        <v>2.4521544783588194</v>
      </c>
      <c r="X83" s="14">
        <f t="shared" si="11"/>
        <v>-1.4007033916434111</v>
      </c>
      <c r="Y83" s="14">
        <f t="shared" si="11"/>
        <v>9.293350474652275</v>
      </c>
    </row>
    <row r="84" spans="1:25" x14ac:dyDescent="0.2">
      <c r="A84" s="5"/>
      <c r="B84" s="39"/>
      <c r="C84" s="52"/>
      <c r="D84" s="449"/>
      <c r="E84" s="450"/>
      <c r="F84" s="449"/>
      <c r="G84" s="450"/>
      <c r="H84" s="52"/>
      <c r="I84" s="40"/>
      <c r="K84" s="27"/>
      <c r="L84" s="27"/>
      <c r="N84" s="92"/>
      <c r="O84" s="140"/>
      <c r="P84" s="82"/>
      <c r="Q84" s="140"/>
      <c r="R84" s="82"/>
      <c r="S84" s="140"/>
      <c r="T84" s="82"/>
      <c r="U84" s="140"/>
      <c r="X84" s="14"/>
      <c r="Y84" s="14"/>
    </row>
    <row r="85" spans="1:25" x14ac:dyDescent="0.2">
      <c r="A85" s="5"/>
      <c r="B85" s="38"/>
      <c r="C85" s="7"/>
      <c r="D85" s="461"/>
      <c r="E85" s="461"/>
      <c r="F85" s="461"/>
      <c r="G85" s="461"/>
      <c r="H85" s="7"/>
      <c r="I85" s="7"/>
      <c r="K85" s="27"/>
      <c r="L85" s="27"/>
      <c r="N85" s="68"/>
      <c r="O85" s="68"/>
      <c r="P85" s="68"/>
      <c r="Q85" s="68"/>
      <c r="R85" s="68"/>
      <c r="S85" s="68"/>
      <c r="T85" s="68"/>
      <c r="U85" s="68"/>
      <c r="X85" s="14"/>
      <c r="Y85" s="14"/>
    </row>
    <row r="86" spans="1:25" x14ac:dyDescent="0.2">
      <c r="A86" s="5"/>
      <c r="B86" s="460">
        <v>6000</v>
      </c>
      <c r="C86" s="27" t="s">
        <v>402</v>
      </c>
      <c r="D86" s="27"/>
      <c r="E86" s="27"/>
      <c r="F86" s="27"/>
      <c r="G86" s="27"/>
      <c r="N86" s="89">
        <v>4000</v>
      </c>
      <c r="O86" s="68"/>
      <c r="P86" s="68"/>
      <c r="Q86" s="68"/>
      <c r="R86" s="68"/>
      <c r="S86" s="68"/>
      <c r="T86" s="68"/>
      <c r="U86" s="68"/>
    </row>
    <row r="87" spans="1:25" x14ac:dyDescent="0.2">
      <c r="A87" s="5"/>
      <c r="B87" s="60" t="s">
        <v>392</v>
      </c>
      <c r="C87" s="132"/>
      <c r="D87" s="451"/>
      <c r="E87" s="451"/>
      <c r="F87" s="451"/>
      <c r="G87" s="452"/>
      <c r="H87" s="76"/>
      <c r="I87" s="77"/>
      <c r="N87" s="348" t="s">
        <v>368</v>
      </c>
      <c r="O87" s="132"/>
      <c r="P87" s="132"/>
      <c r="Q87" s="132"/>
      <c r="R87" s="132"/>
      <c r="S87" s="76"/>
      <c r="T87" s="76"/>
      <c r="U87" s="77"/>
    </row>
    <row r="88" spans="1:25" ht="25.5" x14ac:dyDescent="0.2">
      <c r="A88" s="5"/>
      <c r="B88" s="128"/>
      <c r="C88" s="129"/>
      <c r="D88" s="657" t="s">
        <v>19</v>
      </c>
      <c r="E88" s="658"/>
      <c r="F88" s="657" t="s">
        <v>20</v>
      </c>
      <c r="G88" s="658"/>
      <c r="H88" s="649" t="s">
        <v>8</v>
      </c>
      <c r="I88" s="650"/>
      <c r="N88" s="128"/>
      <c r="O88" s="129"/>
      <c r="P88" s="128" t="s">
        <v>19</v>
      </c>
      <c r="Q88" s="129"/>
      <c r="R88" s="128" t="s">
        <v>20</v>
      </c>
      <c r="S88" s="129"/>
      <c r="T88" s="128" t="s">
        <v>8</v>
      </c>
      <c r="U88" s="129"/>
    </row>
    <row r="89" spans="1:25" ht="38.25" x14ac:dyDescent="0.2">
      <c r="B89" s="12" t="s">
        <v>351</v>
      </c>
      <c r="C89" s="54" t="s">
        <v>241</v>
      </c>
      <c r="D89" s="453" t="s">
        <v>387</v>
      </c>
      <c r="E89" s="454" t="s">
        <v>388</v>
      </c>
      <c r="F89" s="453" t="s">
        <v>387</v>
      </c>
      <c r="G89" s="454" t="s">
        <v>388</v>
      </c>
      <c r="H89" s="54" t="s">
        <v>158</v>
      </c>
      <c r="I89" s="13" t="s">
        <v>159</v>
      </c>
      <c r="N89" s="290" t="s">
        <v>9</v>
      </c>
      <c r="O89" s="349" t="s">
        <v>15</v>
      </c>
      <c r="P89" s="17" t="s">
        <v>102</v>
      </c>
      <c r="Q89" s="9" t="s">
        <v>103</v>
      </c>
      <c r="R89" s="17" t="s">
        <v>102</v>
      </c>
      <c r="S89" s="9" t="s">
        <v>103</v>
      </c>
      <c r="T89" s="350" t="s">
        <v>280</v>
      </c>
      <c r="U89" s="129" t="s">
        <v>281</v>
      </c>
      <c r="X89" t="s">
        <v>298</v>
      </c>
    </row>
    <row r="90" spans="1:25" x14ac:dyDescent="0.2">
      <c r="B90" s="131">
        <v>0.2</v>
      </c>
      <c r="C90" s="130">
        <v>5</v>
      </c>
      <c r="D90" s="65">
        <v>-5.727352280059848</v>
      </c>
      <c r="E90" s="56">
        <v>79.386437959894707</v>
      </c>
      <c r="F90" s="65">
        <v>19.879993625365472</v>
      </c>
      <c r="G90" s="56">
        <v>70.051692851990168</v>
      </c>
      <c r="H90" s="133">
        <v>2.0730629172001445</v>
      </c>
      <c r="I90" s="134">
        <v>2.2072470747109239</v>
      </c>
      <c r="K90" s="27">
        <f t="shared" ref="K90:L96" si="12">(D90-P69)/F90</f>
        <v>-9.6853304405180599E-2</v>
      </c>
      <c r="L90" s="27">
        <f t="shared" si="12"/>
        <v>-0.25142729464799851</v>
      </c>
      <c r="N90" s="351">
        <v>1.8399999999999996E-2</v>
      </c>
      <c r="O90" s="352">
        <v>5</v>
      </c>
      <c r="P90" s="353">
        <v>-48.22421676943766</v>
      </c>
      <c r="Q90" s="352">
        <v>107.45436486316694</v>
      </c>
      <c r="R90" s="353">
        <v>72.355370654500561</v>
      </c>
      <c r="S90" s="352">
        <v>70.567569178371286</v>
      </c>
      <c r="T90" s="354">
        <v>2.891060643725833</v>
      </c>
      <c r="U90" s="355">
        <v>2.4079082481146226</v>
      </c>
      <c r="X90" s="14">
        <f t="shared" ref="X90:Y96" si="13">P90-AD6</f>
        <v>11.405727617667829</v>
      </c>
      <c r="Y90" s="14">
        <f t="shared" si="13"/>
        <v>20.329204163301853</v>
      </c>
    </row>
    <row r="91" spans="1:25" x14ac:dyDescent="0.2">
      <c r="B91" s="131">
        <v>0.2</v>
      </c>
      <c r="C91" s="130">
        <v>10</v>
      </c>
      <c r="D91" s="65">
        <v>-9.5713262107755099</v>
      </c>
      <c r="E91" s="56">
        <v>72.057376657943038</v>
      </c>
      <c r="F91" s="65">
        <v>17.806623026237808</v>
      </c>
      <c r="G91" s="56">
        <v>65.388244921788413</v>
      </c>
      <c r="H91" s="133">
        <v>2.1109804011119628</v>
      </c>
      <c r="I91" s="134">
        <v>2.1967521971106492</v>
      </c>
      <c r="K91" s="27">
        <f t="shared" si="12"/>
        <v>-0.1666801289175425</v>
      </c>
      <c r="L91" s="27">
        <f t="shared" si="12"/>
        <v>-0.29261566658454219</v>
      </c>
      <c r="N91" s="356">
        <v>1.8399999999999996E-2</v>
      </c>
      <c r="O91" s="130">
        <v>10</v>
      </c>
      <c r="P91" s="89">
        <v>-47.824015800396687</v>
      </c>
      <c r="Q91" s="130">
        <v>94.095173555854302</v>
      </c>
      <c r="R91" s="89">
        <v>59.960365364918886</v>
      </c>
      <c r="S91" s="130">
        <v>70.510624052402846</v>
      </c>
      <c r="T91" s="357">
        <v>2.8540238882243241</v>
      </c>
      <c r="U91" s="133">
        <v>2.4283378670335187</v>
      </c>
      <c r="X91" s="14">
        <f t="shared" si="13"/>
        <v>6.6033159891761031</v>
      </c>
      <c r="Y91" s="14">
        <f t="shared" si="13"/>
        <v>24.975879400627989</v>
      </c>
    </row>
    <row r="92" spans="1:25" ht="12.75" customHeight="1" x14ac:dyDescent="0.2">
      <c r="B92" s="131">
        <v>0.2</v>
      </c>
      <c r="C92" s="130">
        <v>20</v>
      </c>
      <c r="D92" s="65">
        <v>-14.797930532137753</v>
      </c>
      <c r="E92" s="56">
        <v>60.939910260773203</v>
      </c>
      <c r="F92" s="65">
        <v>18.332581350438403</v>
      </c>
      <c r="G92" s="56">
        <v>58.878461444199004</v>
      </c>
      <c r="H92" s="133">
        <v>2.0702689443083981</v>
      </c>
      <c r="I92" s="134">
        <v>2.1655438840620134</v>
      </c>
      <c r="K92" s="27">
        <f t="shared" si="12"/>
        <v>-0.18503683958226669</v>
      </c>
      <c r="L92" s="27">
        <f t="shared" si="12"/>
        <v>-0.36581416486533952</v>
      </c>
      <c r="N92" s="356">
        <v>1.8399999999999996E-2</v>
      </c>
      <c r="O92" s="130">
        <v>20</v>
      </c>
      <c r="P92" s="89">
        <v>-48.02411628491717</v>
      </c>
      <c r="Q92" s="130">
        <v>76.08930701121551</v>
      </c>
      <c r="R92" s="89">
        <v>44.80341503458979</v>
      </c>
      <c r="S92" s="130">
        <v>70.511150852956163</v>
      </c>
      <c r="T92" s="357">
        <v>2.8222686578167608</v>
      </c>
      <c r="U92" s="133">
        <v>2.4291728451979204</v>
      </c>
      <c r="X92" s="14">
        <f t="shared" si="13"/>
        <v>4.0020096904097642</v>
      </c>
      <c r="Y92" s="14">
        <f t="shared" si="13"/>
        <v>27.299217019291063</v>
      </c>
    </row>
    <row r="93" spans="1:25" x14ac:dyDescent="0.2">
      <c r="B93" s="131">
        <v>0.2</v>
      </c>
      <c r="C93" s="130">
        <v>40</v>
      </c>
      <c r="D93" s="65">
        <v>-21.5366528501342</v>
      </c>
      <c r="E93" s="56">
        <v>46.659838986555918</v>
      </c>
      <c r="F93" s="65">
        <v>16.018105511008375</v>
      </c>
      <c r="G93" s="56">
        <v>57.023801504063883</v>
      </c>
      <c r="H93" s="133">
        <v>2.0957211000949192</v>
      </c>
      <c r="I93" s="134">
        <v>2.0880981376618353</v>
      </c>
      <c r="K93" s="27">
        <f t="shared" si="12"/>
        <v>-0.27019494773572367</v>
      </c>
      <c r="L93" s="27">
        <f t="shared" si="12"/>
        <v>-0.41423271256860228</v>
      </c>
      <c r="N93" s="356">
        <v>1.8399999999999996E-2</v>
      </c>
      <c r="O93" s="130">
        <v>40</v>
      </c>
      <c r="P93" s="89">
        <v>-51.826025490806451</v>
      </c>
      <c r="Q93" s="130">
        <v>56.340937252579423</v>
      </c>
      <c r="R93" s="89">
        <v>44.829218391823176</v>
      </c>
      <c r="S93" s="130">
        <v>70.500096818051261</v>
      </c>
      <c r="T93" s="357">
        <v>2.8260947019752085</v>
      </c>
      <c r="U93" s="133">
        <v>2.4344088077527268</v>
      </c>
      <c r="X93" s="14">
        <f t="shared" si="13"/>
        <v>0.60030145356145681</v>
      </c>
      <c r="Y93" s="14">
        <f t="shared" si="13"/>
        <v>26.718382614625295</v>
      </c>
    </row>
    <row r="94" spans="1:25" x14ac:dyDescent="0.2">
      <c r="B94" s="131">
        <v>0.2</v>
      </c>
      <c r="C94" s="130">
        <v>60</v>
      </c>
      <c r="D94" s="65">
        <v>-24.384919198110826</v>
      </c>
      <c r="E94" s="56">
        <v>37.947504376361557</v>
      </c>
      <c r="F94" s="65">
        <v>15.047298098770725</v>
      </c>
      <c r="G94" s="56">
        <v>52.288527503692094</v>
      </c>
      <c r="H94" s="133">
        <v>2.1366194816172848</v>
      </c>
      <c r="I94" s="134">
        <v>2.1058872835326294</v>
      </c>
      <c r="K94" s="27">
        <f t="shared" si="12"/>
        <v>-0.14446217533991831</v>
      </c>
      <c r="L94" s="27">
        <f t="shared" si="12"/>
        <v>-0.32955152668373749</v>
      </c>
      <c r="N94" s="356">
        <v>1.8399999999999996E-2</v>
      </c>
      <c r="O94" s="130">
        <v>60</v>
      </c>
      <c r="P94" s="89">
        <v>-53.626929851490843</v>
      </c>
      <c r="Q94" s="130">
        <v>38.91590511260641</v>
      </c>
      <c r="R94" s="89">
        <v>44.829663279046585</v>
      </c>
      <c r="S94" s="130">
        <v>70.508655727942411</v>
      </c>
      <c r="T94" s="357">
        <v>2.8261590351009325</v>
      </c>
      <c r="U94" s="133">
        <v>2.4303892596640768</v>
      </c>
      <c r="X94" s="14">
        <f t="shared" si="13"/>
        <v>-0.40020096904097358</v>
      </c>
      <c r="Y94" s="14">
        <f t="shared" si="13"/>
        <v>22.652541781964931</v>
      </c>
    </row>
    <row r="95" spans="1:25" x14ac:dyDescent="0.2">
      <c r="B95" s="131">
        <v>0.2</v>
      </c>
      <c r="C95" s="135">
        <v>100</v>
      </c>
      <c r="D95" s="65">
        <v>-26.773847512714145</v>
      </c>
      <c r="E95" s="56">
        <v>27.644456756035805</v>
      </c>
      <c r="F95" s="65">
        <v>14.440279523876484</v>
      </c>
      <c r="G95" s="56">
        <v>54.708030752262772</v>
      </c>
      <c r="H95" s="133">
        <v>2.1500359947921117</v>
      </c>
      <c r="I95" s="134">
        <v>2.0944981341838877</v>
      </c>
      <c r="K95" s="27">
        <f t="shared" si="12"/>
        <v>-0.23282726752331404</v>
      </c>
      <c r="L95" s="27">
        <f t="shared" si="12"/>
        <v>-0.40775187369173443</v>
      </c>
      <c r="N95" s="356">
        <v>1.8399999999999996E-2</v>
      </c>
      <c r="O95" s="130">
        <v>100</v>
      </c>
      <c r="P95" s="89">
        <v>-54.42733178957279</v>
      </c>
      <c r="Q95" s="130">
        <v>19.457952556303205</v>
      </c>
      <c r="R95" s="89">
        <v>44.811217127348051</v>
      </c>
      <c r="S95" s="130">
        <v>70.482573308641861</v>
      </c>
      <c r="T95" s="357">
        <v>2.8234273932926861</v>
      </c>
      <c r="U95" s="133">
        <v>2.4486344277066308</v>
      </c>
      <c r="X95" s="14">
        <f t="shared" si="13"/>
        <v>-2.4012058142458557</v>
      </c>
      <c r="Y95" s="14">
        <f t="shared" si="13"/>
        <v>19.457952556303205</v>
      </c>
    </row>
    <row r="96" spans="1:25" x14ac:dyDescent="0.2">
      <c r="B96" s="131">
        <v>0.2</v>
      </c>
      <c r="C96" s="135">
        <v>120</v>
      </c>
      <c r="D96" s="65">
        <v>-26.611791818444043</v>
      </c>
      <c r="E96" s="56">
        <v>27.006114423866094</v>
      </c>
      <c r="F96" s="65">
        <v>15.959463079262267</v>
      </c>
      <c r="G96" s="56">
        <v>54.341626214675877</v>
      </c>
      <c r="H96" s="133">
        <v>2.0983904837131475</v>
      </c>
      <c r="I96" s="134">
        <v>2.091722103550953</v>
      </c>
      <c r="K96" s="27">
        <f t="shared" si="12"/>
        <v>-0.12528192286255882</v>
      </c>
      <c r="L96" s="27">
        <f t="shared" si="12"/>
        <v>-0.29398515712962225</v>
      </c>
      <c r="N96" s="356">
        <v>1.8399999999999996E-2</v>
      </c>
      <c r="O96" s="130">
        <v>120</v>
      </c>
      <c r="P96" s="89">
        <v>-52.026125975326934</v>
      </c>
      <c r="Q96" s="130">
        <v>11.907105295648227</v>
      </c>
      <c r="R96" s="89">
        <v>44.821512241498674</v>
      </c>
      <c r="S96" s="130">
        <v>70.481107945489683</v>
      </c>
      <c r="T96" s="357">
        <v>2.8249508904656793</v>
      </c>
      <c r="U96" s="133">
        <v>2.4520401588658558</v>
      </c>
      <c r="X96" s="14">
        <f t="shared" si="13"/>
        <v>-0.80040193808194715</v>
      </c>
      <c r="Y96" s="14">
        <f t="shared" si="13"/>
        <v>18.877118151637433</v>
      </c>
    </row>
    <row r="97" spans="1:25" x14ac:dyDescent="0.2">
      <c r="B97" s="142"/>
      <c r="C97" s="137"/>
      <c r="D97" s="448"/>
      <c r="E97" s="116"/>
      <c r="F97" s="448"/>
      <c r="G97" s="116"/>
      <c r="H97" s="138"/>
      <c r="I97" s="139"/>
      <c r="K97" s="27"/>
      <c r="L97" s="27"/>
      <c r="N97" s="356"/>
      <c r="O97" s="135"/>
      <c r="P97" s="156"/>
      <c r="Q97" s="131"/>
      <c r="R97" s="358"/>
      <c r="S97" s="131"/>
      <c r="T97" s="357"/>
      <c r="U97" s="133"/>
    </row>
    <row r="98" spans="1:25" x14ac:dyDescent="0.2">
      <c r="A98" s="5" t="str">
        <f>B86&amp;C98</f>
        <v>60005</v>
      </c>
      <c r="B98" s="131">
        <v>0</v>
      </c>
      <c r="C98" s="135">
        <v>5</v>
      </c>
      <c r="D98" s="65">
        <v>-4.2072152356899686</v>
      </c>
      <c r="E98" s="56">
        <v>67.625402281811262</v>
      </c>
      <c r="F98" s="65">
        <v>19.885236666291721</v>
      </c>
      <c r="G98" s="56">
        <v>62.531563008030368</v>
      </c>
      <c r="H98" s="133">
        <v>2.0729092201299086</v>
      </c>
      <c r="I98" s="134">
        <v>2.1705855413826902</v>
      </c>
      <c r="K98" s="27">
        <f t="shared" ref="K98:L104" si="14">(D98-P77)/F98</f>
        <v>0.1104337004290316</v>
      </c>
      <c r="L98" s="27">
        <f t="shared" si="14"/>
        <v>-0.59049844241515181</v>
      </c>
      <c r="N98" s="356">
        <v>0.33879999999999999</v>
      </c>
      <c r="O98" s="130">
        <v>5</v>
      </c>
      <c r="P98" s="89">
        <v>-58.829542449023535</v>
      </c>
      <c r="Q98" s="130">
        <v>131.26857545446339</v>
      </c>
      <c r="R98" s="89">
        <v>72.354779079574556</v>
      </c>
      <c r="S98" s="130">
        <v>70.601520470829684</v>
      </c>
      <c r="T98" s="357">
        <v>2.891009854721545</v>
      </c>
      <c r="U98" s="133">
        <v>2.3995887662559605</v>
      </c>
      <c r="X98" s="14">
        <f t="shared" ref="X98:Y104" si="15">P98-AD14</f>
        <v>9.0045218034219801</v>
      </c>
      <c r="Y98" s="14">
        <f t="shared" si="15"/>
        <v>20.329204163301824</v>
      </c>
    </row>
    <row r="99" spans="1:25" x14ac:dyDescent="0.2">
      <c r="A99" s="5" t="str">
        <f>B86&amp;C99</f>
        <v>600010</v>
      </c>
      <c r="B99" s="131">
        <v>0</v>
      </c>
      <c r="C99" s="135">
        <v>10</v>
      </c>
      <c r="D99" s="65">
        <v>-8.2236836317717614</v>
      </c>
      <c r="E99" s="56">
        <v>60.025733095448736</v>
      </c>
      <c r="F99" s="65">
        <v>17.799307123339936</v>
      </c>
      <c r="G99" s="56">
        <v>58.144974161957542</v>
      </c>
      <c r="H99" s="133">
        <v>2.1113298032794527</v>
      </c>
      <c r="I99" s="134">
        <v>2.1664632814605427</v>
      </c>
      <c r="K99" s="27">
        <f t="shared" si="14"/>
        <v>7.7595134217365483E-2</v>
      </c>
      <c r="L99" s="27">
        <f t="shared" si="14"/>
        <v>-0.64587606116731011</v>
      </c>
      <c r="N99" s="356">
        <v>0.33879999999999999</v>
      </c>
      <c r="O99" s="130">
        <v>10</v>
      </c>
      <c r="P99" s="89">
        <v>-58.829542449023535</v>
      </c>
      <c r="Q99" s="130">
        <v>112.68187450515885</v>
      </c>
      <c r="R99" s="89">
        <v>59.95630948250583</v>
      </c>
      <c r="S99" s="130">
        <v>70.519716868561531</v>
      </c>
      <c r="T99" s="357">
        <v>2.8535891113552805</v>
      </c>
      <c r="U99" s="133">
        <v>2.4247639267035548</v>
      </c>
      <c r="X99" s="14">
        <f t="shared" si="15"/>
        <v>5.0025121130122088</v>
      </c>
      <c r="Y99" s="14">
        <f t="shared" si="15"/>
        <v>22.071707377299163</v>
      </c>
    </row>
    <row r="100" spans="1:25" x14ac:dyDescent="0.2">
      <c r="A100" s="5" t="str">
        <f>B86&amp;C100</f>
        <v>600020</v>
      </c>
      <c r="B100" s="131">
        <v>0</v>
      </c>
      <c r="C100" s="135">
        <v>20</v>
      </c>
      <c r="D100" s="65">
        <v>-13.201519126873999</v>
      </c>
      <c r="E100" s="56">
        <v>51.218612787776344</v>
      </c>
      <c r="F100" s="65">
        <v>18.268738287534369</v>
      </c>
      <c r="G100" s="56">
        <v>53.736125686435109</v>
      </c>
      <c r="H100" s="133">
        <v>2.0721153826186325</v>
      </c>
      <c r="I100" s="134">
        <v>2.1505396812012285</v>
      </c>
      <c r="K100" s="27">
        <f t="shared" si="14"/>
        <v>5.5045688336716733E-2</v>
      </c>
      <c r="L100" s="27">
        <f t="shared" si="14"/>
        <v>-0.68981930215295739</v>
      </c>
      <c r="N100" s="356">
        <v>0.33879999999999999</v>
      </c>
      <c r="O100" s="130">
        <v>20</v>
      </c>
      <c r="P100" s="89">
        <v>-60.030145356146463</v>
      </c>
      <c r="Q100" s="130">
        <v>92.933504746522758</v>
      </c>
      <c r="R100" s="89">
        <v>44.784613717906019</v>
      </c>
      <c r="S100" s="130">
        <v>70.548770726691686</v>
      </c>
      <c r="T100" s="357">
        <v>2.8194650463317683</v>
      </c>
      <c r="U100" s="133">
        <v>2.4169800563151034</v>
      </c>
      <c r="X100" s="14">
        <f t="shared" si="15"/>
        <v>2.0010048452048821</v>
      </c>
      <c r="Y100" s="14">
        <f t="shared" si="15"/>
        <v>25.556713805293754</v>
      </c>
    </row>
    <row r="101" spans="1:25" x14ac:dyDescent="0.2">
      <c r="A101" s="5" t="str">
        <f>B86&amp;C101</f>
        <v>600040</v>
      </c>
      <c r="B101" s="131">
        <v>0</v>
      </c>
      <c r="C101" s="135">
        <v>40</v>
      </c>
      <c r="D101" s="65">
        <v>-18.465101461584414</v>
      </c>
      <c r="E101" s="56">
        <v>39.845672268256074</v>
      </c>
      <c r="F101" s="65">
        <v>16.017908904298647</v>
      </c>
      <c r="G101" s="56">
        <v>54.638982393702257</v>
      </c>
      <c r="H101" s="133">
        <v>2.095730655286232</v>
      </c>
      <c r="I101" s="134">
        <v>2.0867582663925215</v>
      </c>
      <c r="K101" s="27">
        <f t="shared" si="14"/>
        <v>0.10894352598775159</v>
      </c>
      <c r="L101" s="27">
        <f t="shared" si="14"/>
        <v>-0.63143803228917339</v>
      </c>
      <c r="N101" s="356">
        <v>0.33879999999999999</v>
      </c>
      <c r="O101" s="130">
        <v>40</v>
      </c>
      <c r="P101" s="89">
        <v>-64.632456500117684</v>
      </c>
      <c r="Q101" s="130">
        <v>67.957625345894769</v>
      </c>
      <c r="R101" s="89">
        <v>44.809191530407411</v>
      </c>
      <c r="S101" s="130">
        <v>70.500144234564885</v>
      </c>
      <c r="T101" s="357">
        <v>2.8231280700844272</v>
      </c>
      <c r="U101" s="133">
        <v>2.434374819715182</v>
      </c>
      <c r="X101" s="14">
        <f t="shared" si="15"/>
        <v>-0.60030145356145681</v>
      </c>
      <c r="Y101" s="14">
        <f t="shared" si="15"/>
        <v>24.975879400627989</v>
      </c>
    </row>
    <row r="102" spans="1:25" x14ac:dyDescent="0.2">
      <c r="A102" s="5" t="str">
        <f>B86&amp;C102</f>
        <v>600060</v>
      </c>
      <c r="B102" s="131">
        <v>0</v>
      </c>
      <c r="C102" s="135">
        <v>60</v>
      </c>
      <c r="D102" s="65">
        <v>-21.263329338841668</v>
      </c>
      <c r="E102" s="56">
        <v>31.427575517708604</v>
      </c>
      <c r="F102" s="65">
        <v>15.034434167775309</v>
      </c>
      <c r="G102" s="56">
        <v>50.418924236391561</v>
      </c>
      <c r="H102" s="133">
        <v>2.1376022017546643</v>
      </c>
      <c r="I102" s="134">
        <v>2.1136067048678924</v>
      </c>
      <c r="K102" s="27">
        <f t="shared" si="14"/>
        <v>0.19613836179201885</v>
      </c>
      <c r="L102" s="27">
        <f t="shared" si="14"/>
        <v>-0.60932886305721834</v>
      </c>
      <c r="N102" s="356">
        <v>0.33879999999999999</v>
      </c>
      <c r="O102" s="130">
        <v>60</v>
      </c>
      <c r="P102" s="89">
        <v>-67.834064252445515</v>
      </c>
      <c r="Q102" s="130">
        <v>50.532593205921742</v>
      </c>
      <c r="R102" s="89">
        <v>44.820953270329262</v>
      </c>
      <c r="S102" s="130">
        <v>70.532251753989541</v>
      </c>
      <c r="T102" s="357">
        <v>2.8248712470517727</v>
      </c>
      <c r="U102" s="133">
        <v>2.4218890727436682</v>
      </c>
      <c r="X102" s="14">
        <f t="shared" si="15"/>
        <v>-2.2011053297253937</v>
      </c>
      <c r="Y102" s="14">
        <f t="shared" si="15"/>
        <v>23.814210591296451</v>
      </c>
    </row>
    <row r="103" spans="1:25" x14ac:dyDescent="0.2">
      <c r="A103" s="5" t="str">
        <f>B86&amp;C103</f>
        <v>6000100</v>
      </c>
      <c r="B103" s="131">
        <v>0</v>
      </c>
      <c r="C103" s="135">
        <v>100</v>
      </c>
      <c r="D103" s="65">
        <v>-22.786316697274383</v>
      </c>
      <c r="E103" s="56">
        <v>22.856418558333527</v>
      </c>
      <c r="F103" s="65">
        <v>14.439805664968846</v>
      </c>
      <c r="G103" s="56">
        <v>53.88660468988062</v>
      </c>
      <c r="H103" s="133">
        <v>2.1500789644635274</v>
      </c>
      <c r="I103" s="134">
        <v>2.1013080998813387</v>
      </c>
      <c r="K103" s="27">
        <f t="shared" si="14"/>
        <v>0.30660725637415037</v>
      </c>
      <c r="L103" s="27">
        <f t="shared" si="14"/>
        <v>-0.52437909597151489</v>
      </c>
      <c r="N103" s="356">
        <v>0.33879999999999999</v>
      </c>
      <c r="O103" s="130">
        <v>100</v>
      </c>
      <c r="P103" s="89">
        <v>-69.634968613129885</v>
      </c>
      <c r="Q103" s="130">
        <v>27.299217019291063</v>
      </c>
      <c r="R103" s="89">
        <v>44.819234628751012</v>
      </c>
      <c r="S103" s="130">
        <v>70.483269618530485</v>
      </c>
      <c r="T103" s="357">
        <v>2.8246156070215465</v>
      </c>
      <c r="U103" s="133">
        <v>2.4475298669605303</v>
      </c>
      <c r="X103" s="14">
        <f t="shared" si="15"/>
        <v>-4.602311143971221</v>
      </c>
      <c r="Y103" s="14">
        <f t="shared" si="15"/>
        <v>20.910038567967625</v>
      </c>
    </row>
    <row r="104" spans="1:25" x14ac:dyDescent="0.2">
      <c r="A104" s="5" t="str">
        <f>B86&amp;C104</f>
        <v>6000120</v>
      </c>
      <c r="B104" s="131">
        <v>0</v>
      </c>
      <c r="C104" s="135">
        <v>120</v>
      </c>
      <c r="D104" s="65">
        <v>-22.805316697274385</v>
      </c>
      <c r="E104" s="56">
        <v>21.636221366911766</v>
      </c>
      <c r="F104" s="65">
        <v>15.959162384355766</v>
      </c>
      <c r="G104" s="56">
        <v>53.444193447770047</v>
      </c>
      <c r="H104" s="133">
        <v>2.0984055618008282</v>
      </c>
      <c r="I104" s="134">
        <v>2.0992342258230297</v>
      </c>
      <c r="K104" s="27">
        <f t="shared" si="14"/>
        <v>0.40160967652035218</v>
      </c>
      <c r="L104" s="27">
        <f t="shared" si="14"/>
        <v>-0.36679422215465479</v>
      </c>
      <c r="N104" s="356">
        <v>0.33879999999999999</v>
      </c>
      <c r="O104" s="130">
        <v>120</v>
      </c>
      <c r="P104" s="89">
        <v>-68.234265221486496</v>
      </c>
      <c r="Q104" s="130">
        <v>18.586700949304554</v>
      </c>
      <c r="R104" s="89">
        <v>44.819452757950287</v>
      </c>
      <c r="S104" s="130">
        <v>70.481109380524614</v>
      </c>
      <c r="T104" s="357">
        <v>2.824646125495232</v>
      </c>
      <c r="U104" s="133">
        <v>2.4520350705237384</v>
      </c>
      <c r="X104" s="14">
        <f t="shared" si="15"/>
        <v>-4.2021101749302687</v>
      </c>
      <c r="Y104" s="14">
        <f t="shared" si="15"/>
        <v>20.329204163301856</v>
      </c>
    </row>
    <row r="105" spans="1:25" x14ac:dyDescent="0.2">
      <c r="A105" s="5"/>
      <c r="B105" s="92"/>
      <c r="C105" s="140"/>
      <c r="D105" s="449"/>
      <c r="E105" s="450"/>
      <c r="F105" s="455"/>
      <c r="G105" s="456"/>
      <c r="H105" s="140"/>
      <c r="I105" s="141"/>
      <c r="K105" s="27"/>
      <c r="L105" s="27"/>
      <c r="N105" s="92"/>
      <c r="O105" s="140"/>
      <c r="P105" s="82"/>
      <c r="Q105" s="140"/>
      <c r="R105" s="82"/>
      <c r="S105" s="140"/>
      <c r="T105" s="82"/>
      <c r="U105" s="140"/>
    </row>
    <row r="106" spans="1:25" x14ac:dyDescent="0.2">
      <c r="A106" s="5"/>
      <c r="B106" s="80"/>
      <c r="C106" s="80"/>
      <c r="D106" s="461"/>
      <c r="E106" s="461"/>
      <c r="F106" s="463"/>
      <c r="G106" s="463"/>
      <c r="H106" s="80"/>
      <c r="I106" s="80"/>
      <c r="N106" s="68"/>
      <c r="O106" s="68"/>
      <c r="P106" s="68"/>
      <c r="Q106" s="68"/>
      <c r="R106" s="68"/>
      <c r="S106" s="68"/>
      <c r="T106" s="68"/>
      <c r="U106" s="68"/>
    </row>
    <row r="107" spans="1:25" x14ac:dyDescent="0.2">
      <c r="A107" s="5"/>
      <c r="C107" s="27" t="s">
        <v>403</v>
      </c>
      <c r="D107" s="27"/>
      <c r="E107" s="27"/>
      <c r="F107" s="27"/>
      <c r="G107" s="27"/>
      <c r="N107" s="68"/>
      <c r="O107" s="68"/>
      <c r="P107" s="68"/>
      <c r="Q107" s="68"/>
      <c r="R107" s="68"/>
      <c r="S107" s="68"/>
      <c r="T107" s="68"/>
      <c r="U107" s="68"/>
    </row>
    <row r="108" spans="1:25" x14ac:dyDescent="0.2">
      <c r="A108" s="5"/>
      <c r="B108" s="60" t="s">
        <v>393</v>
      </c>
      <c r="C108" s="18"/>
      <c r="D108" s="457"/>
      <c r="E108" s="457"/>
      <c r="F108" s="457"/>
      <c r="G108" s="458"/>
      <c r="H108" s="10"/>
      <c r="I108" s="11"/>
      <c r="N108" s="348" t="s">
        <v>369</v>
      </c>
      <c r="O108" s="132"/>
      <c r="P108" s="132"/>
      <c r="Q108" s="132"/>
      <c r="R108" s="132"/>
      <c r="S108" s="76"/>
      <c r="T108" s="76"/>
      <c r="U108" s="77"/>
    </row>
    <row r="109" spans="1:25" x14ac:dyDescent="0.2">
      <c r="A109" s="5"/>
      <c r="B109" s="12"/>
      <c r="C109" s="13"/>
      <c r="D109" s="659" t="s">
        <v>19</v>
      </c>
      <c r="E109" s="660"/>
      <c r="F109" s="659" t="s">
        <v>20</v>
      </c>
      <c r="G109" s="660"/>
      <c r="H109" s="645" t="s">
        <v>8</v>
      </c>
      <c r="I109" s="646"/>
      <c r="N109" s="128"/>
      <c r="O109" s="129"/>
      <c r="P109" s="649" t="s">
        <v>19</v>
      </c>
      <c r="Q109" s="650"/>
      <c r="R109" s="649" t="s">
        <v>20</v>
      </c>
      <c r="S109" s="650"/>
      <c r="T109" s="649" t="s">
        <v>8</v>
      </c>
      <c r="U109" s="650"/>
    </row>
    <row r="110" spans="1:25" ht="38.25" x14ac:dyDescent="0.2">
      <c r="B110" s="12" t="s">
        <v>351</v>
      </c>
      <c r="C110" s="54" t="s">
        <v>241</v>
      </c>
      <c r="D110" s="453" t="s">
        <v>387</v>
      </c>
      <c r="E110" s="454" t="s">
        <v>388</v>
      </c>
      <c r="F110" s="453" t="s">
        <v>387</v>
      </c>
      <c r="G110" s="454" t="s">
        <v>388</v>
      </c>
      <c r="H110" s="54" t="s">
        <v>158</v>
      </c>
      <c r="I110" s="13" t="s">
        <v>159</v>
      </c>
      <c r="N110" s="290" t="s">
        <v>9</v>
      </c>
      <c r="O110" s="349" t="s">
        <v>15</v>
      </c>
      <c r="P110" s="17" t="s">
        <v>102</v>
      </c>
      <c r="Q110" s="9" t="s">
        <v>103</v>
      </c>
      <c r="R110" s="17" t="s">
        <v>102</v>
      </c>
      <c r="S110" s="9" t="s">
        <v>103</v>
      </c>
      <c r="T110" s="350" t="s">
        <v>280</v>
      </c>
      <c r="U110" s="129" t="s">
        <v>281</v>
      </c>
    </row>
    <row r="111" spans="1:25" x14ac:dyDescent="0.2">
      <c r="B111" s="53">
        <v>0.32</v>
      </c>
      <c r="C111" s="57">
        <v>5</v>
      </c>
      <c r="D111" s="65">
        <v>-8.067557455639955</v>
      </c>
      <c r="E111" s="56">
        <v>85.056811675220942</v>
      </c>
      <c r="F111" s="65">
        <v>19.878260935702631</v>
      </c>
      <c r="G111" s="56">
        <v>73.844281695913594</v>
      </c>
      <c r="H111" s="56">
        <v>2.073110871222021</v>
      </c>
      <c r="I111" s="49">
        <v>2.2240705347449903</v>
      </c>
      <c r="K111" s="27">
        <f t="shared" ref="K111:L117" si="16">(D111-P48)/F111</f>
        <v>-0.21458860327611967</v>
      </c>
      <c r="L111" s="27">
        <f t="shared" si="16"/>
        <v>-0.16172591336375697</v>
      </c>
      <c r="N111" s="351">
        <v>1.8399999999999996E-2</v>
      </c>
      <c r="O111" s="352">
        <v>5</v>
      </c>
      <c r="P111" s="353">
        <v>-48.22421676943766</v>
      </c>
      <c r="Q111" s="352">
        <v>107.45436486316694</v>
      </c>
      <c r="R111" s="353">
        <v>72.362982968063463</v>
      </c>
      <c r="S111" s="352">
        <v>70.563719682162386</v>
      </c>
      <c r="T111" s="354">
        <v>2.8917140761012181</v>
      </c>
      <c r="U111" s="355">
        <v>2.4090885670156057</v>
      </c>
    </row>
    <row r="112" spans="1:25" x14ac:dyDescent="0.2">
      <c r="B112" s="53">
        <v>0.32</v>
      </c>
      <c r="C112" s="57">
        <v>10</v>
      </c>
      <c r="D112" s="65">
        <v>-11.715228499466891</v>
      </c>
      <c r="E112" s="56">
        <v>76.639697585480079</v>
      </c>
      <c r="F112" s="65">
        <v>17.817060315865934</v>
      </c>
      <c r="G112" s="56">
        <v>68.23485550208035</v>
      </c>
      <c r="H112" s="56">
        <v>2.1104769095135887</v>
      </c>
      <c r="I112" s="49">
        <v>2.208787372765503</v>
      </c>
      <c r="K112" s="27">
        <f t="shared" si="16"/>
        <v>-0.28691110764993411</v>
      </c>
      <c r="L112" s="27">
        <f t="shared" si="16"/>
        <v>-0.2132532389784535</v>
      </c>
      <c r="N112" s="356">
        <v>1.8399999999999996E-2</v>
      </c>
      <c r="O112" s="130">
        <v>10</v>
      </c>
      <c r="P112" s="89">
        <v>-47.824015800396687</v>
      </c>
      <c r="Q112" s="130">
        <v>94.095173555854302</v>
      </c>
      <c r="R112" s="89">
        <v>59.969359533338185</v>
      </c>
      <c r="S112" s="130">
        <v>70.509256305718893</v>
      </c>
      <c r="T112" s="357">
        <v>2.8549876236154264</v>
      </c>
      <c r="U112" s="133">
        <v>2.4290990437493982</v>
      </c>
    </row>
    <row r="113" spans="2:21" ht="12.75" customHeight="1" x14ac:dyDescent="0.2">
      <c r="B113" s="53">
        <v>0.32</v>
      </c>
      <c r="C113" s="57">
        <v>20</v>
      </c>
      <c r="D113" s="65">
        <v>-17.138135707717861</v>
      </c>
      <c r="E113" s="56">
        <v>64.608011127823318</v>
      </c>
      <c r="F113" s="65">
        <v>18.316408683762752</v>
      </c>
      <c r="G113" s="56">
        <v>60.922762443294218</v>
      </c>
      <c r="H113" s="56">
        <v>2.0707096351178658</v>
      </c>
      <c r="I113" s="49">
        <v>2.1727993132745089</v>
      </c>
      <c r="K113" s="27">
        <f t="shared" si="16"/>
        <v>-0.31296572319505706</v>
      </c>
      <c r="L113" s="27">
        <f t="shared" si="16"/>
        <v>-0.29333000701255374</v>
      </c>
      <c r="N113" s="356">
        <v>1.8399999999999996E-2</v>
      </c>
      <c r="O113" s="130">
        <v>20</v>
      </c>
      <c r="P113" s="89">
        <v>-48.02411628491717</v>
      </c>
      <c r="Q113" s="130">
        <v>76.08930701121551</v>
      </c>
      <c r="R113" s="89">
        <v>44.817058668435365</v>
      </c>
      <c r="S113" s="130">
        <v>70.510114120430472</v>
      </c>
      <c r="T113" s="357">
        <v>2.8242932955408797</v>
      </c>
      <c r="U113" s="133">
        <v>2.4297679920356141</v>
      </c>
    </row>
    <row r="114" spans="2:21" x14ac:dyDescent="0.2">
      <c r="B114" s="53">
        <v>0.32</v>
      </c>
      <c r="C114" s="57">
        <v>40</v>
      </c>
      <c r="D114" s="65">
        <v>-23.553684853817721</v>
      </c>
      <c r="E114" s="56">
        <v>49.116460189691622</v>
      </c>
      <c r="F114" s="65">
        <v>16.037663366066237</v>
      </c>
      <c r="G114" s="56">
        <v>57.95739311989486</v>
      </c>
      <c r="H114" s="56">
        <v>2.0948000120186481</v>
      </c>
      <c r="I114" s="49">
        <v>2.0895785126100543</v>
      </c>
      <c r="K114" s="27">
        <f t="shared" si="16"/>
        <v>-0.39563389255825654</v>
      </c>
      <c r="L114" s="27">
        <f t="shared" si="16"/>
        <v>-0.3651734771970126</v>
      </c>
      <c r="N114" s="356">
        <v>1.8399999999999996E-2</v>
      </c>
      <c r="O114" s="130">
        <v>40</v>
      </c>
      <c r="P114" s="89">
        <v>-51.826025490806451</v>
      </c>
      <c r="Q114" s="130">
        <v>56.340937252579423</v>
      </c>
      <c r="R114" s="89">
        <v>44.845807838389767</v>
      </c>
      <c r="S114" s="130">
        <v>70.49967935445963</v>
      </c>
      <c r="T114" s="357">
        <v>2.8285437772748527</v>
      </c>
      <c r="U114" s="133">
        <v>2.4347088376277988</v>
      </c>
    </row>
    <row r="115" spans="2:21" x14ac:dyDescent="0.2">
      <c r="B115" s="53">
        <v>0.32</v>
      </c>
      <c r="C115" s="57">
        <v>60</v>
      </c>
      <c r="D115" s="65">
        <v>-26.96771566183358</v>
      </c>
      <c r="E115" s="56">
        <v>39.843268247949233</v>
      </c>
      <c r="F115" s="65">
        <v>15.0535259741317</v>
      </c>
      <c r="G115" s="56">
        <v>52.906197172296629</v>
      </c>
      <c r="H115" s="56">
        <v>2.1361427489424702</v>
      </c>
      <c r="I115" s="49">
        <v>2.1041622266259004</v>
      </c>
      <c r="K115" s="27">
        <f t="shared" si="16"/>
        <v>-0.31597659500061098</v>
      </c>
      <c r="L115" s="27">
        <f t="shared" si="16"/>
        <v>-0.28987152762756252</v>
      </c>
      <c r="N115" s="356">
        <v>1.8399999999999996E-2</v>
      </c>
      <c r="O115" s="130">
        <v>60</v>
      </c>
      <c r="P115" s="89">
        <v>-53.626929851490843</v>
      </c>
      <c r="Q115" s="130">
        <v>38.91590511260641</v>
      </c>
      <c r="R115" s="89">
        <v>44.849719692097622</v>
      </c>
      <c r="S115" s="130">
        <v>70.508121211879896</v>
      </c>
      <c r="T115" s="357">
        <v>2.8291195098962723</v>
      </c>
      <c r="U115" s="133">
        <v>2.4307117589087839</v>
      </c>
    </row>
    <row r="116" spans="2:21" x14ac:dyDescent="0.2">
      <c r="B116" s="53">
        <v>0.32</v>
      </c>
      <c r="C116" s="51">
        <v>100</v>
      </c>
      <c r="D116" s="65">
        <v>-29.38750291060618</v>
      </c>
      <c r="E116" s="56">
        <v>27.823986757672508</v>
      </c>
      <c r="F116" s="65">
        <v>14.447648563457161</v>
      </c>
      <c r="G116" s="56">
        <v>54.708035717239675</v>
      </c>
      <c r="H116" s="56">
        <v>2.1493744799981322</v>
      </c>
      <c r="I116" s="49">
        <v>2.0944980644079956</v>
      </c>
      <c r="K116" s="27">
        <f t="shared" si="16"/>
        <v>-0.41361375835398434</v>
      </c>
      <c r="L116" s="27">
        <f t="shared" si="16"/>
        <v>-0.40447023464617893</v>
      </c>
      <c r="N116" s="356">
        <v>1.8399999999999996E-2</v>
      </c>
      <c r="O116" s="130">
        <v>100</v>
      </c>
      <c r="P116" s="89">
        <v>-54.42733178957279</v>
      </c>
      <c r="Q116" s="130">
        <v>19.457952556303205</v>
      </c>
      <c r="R116" s="89">
        <v>44.83474430189144</v>
      </c>
      <c r="S116" s="130">
        <v>70.482517915185554</v>
      </c>
      <c r="T116" s="357">
        <v>2.8269120269079453</v>
      </c>
      <c r="U116" s="133">
        <v>2.448747543231987</v>
      </c>
    </row>
    <row r="117" spans="2:21" x14ac:dyDescent="0.2">
      <c r="B117" s="53">
        <v>0.32</v>
      </c>
      <c r="C117" s="51">
        <v>120</v>
      </c>
      <c r="D117" s="65">
        <v>-29.217732482793757</v>
      </c>
      <c r="E117" s="56">
        <v>28.307359088598854</v>
      </c>
      <c r="F117" s="65">
        <v>15.966587616747409</v>
      </c>
      <c r="G117" s="56">
        <v>54.570847643376943</v>
      </c>
      <c r="H117" s="56">
        <v>2.0980358956169036</v>
      </c>
      <c r="I117" s="49">
        <v>2.0902122953018729</v>
      </c>
      <c r="K117" s="27">
        <f t="shared" si="16"/>
        <v>-0.28843814328511325</v>
      </c>
      <c r="L117" s="27">
        <f t="shared" si="16"/>
        <v>-0.2689052395257947</v>
      </c>
      <c r="N117" s="356">
        <v>1.8399999999999996E-2</v>
      </c>
      <c r="O117" s="130">
        <v>120</v>
      </c>
      <c r="P117" s="89">
        <v>-52.026125975326934</v>
      </c>
      <c r="Q117" s="130">
        <v>11.907105295648227</v>
      </c>
      <c r="R117" s="89">
        <v>44.847076681266323</v>
      </c>
      <c r="S117" s="130">
        <v>70.481074314344482</v>
      </c>
      <c r="T117" s="357">
        <v>2.8287299678585933</v>
      </c>
      <c r="U117" s="133">
        <v>2.4521598515031999</v>
      </c>
    </row>
    <row r="118" spans="2:21" x14ac:dyDescent="0.2">
      <c r="B118" s="115"/>
      <c r="C118" s="113"/>
      <c r="D118" s="448"/>
      <c r="E118" s="116"/>
      <c r="F118" s="448"/>
      <c r="G118" s="116"/>
      <c r="H118" s="116"/>
      <c r="I118" s="116"/>
      <c r="K118" s="27"/>
      <c r="L118" s="27"/>
      <c r="N118" s="356"/>
      <c r="O118" s="135"/>
      <c r="P118" s="156"/>
      <c r="Q118" s="131"/>
      <c r="R118" s="358"/>
      <c r="S118" s="131"/>
      <c r="T118" s="357"/>
      <c r="U118" s="133"/>
    </row>
    <row r="119" spans="2:21" x14ac:dyDescent="0.2">
      <c r="B119" s="53">
        <v>0</v>
      </c>
      <c r="C119" s="51">
        <v>5</v>
      </c>
      <c r="D119" s="65">
        <v>-4.1351462701727275</v>
      </c>
      <c r="E119" s="56">
        <v>67.708565305730744</v>
      </c>
      <c r="F119" s="65">
        <v>19.888449172433099</v>
      </c>
      <c r="G119" s="56">
        <v>62.540280576428941</v>
      </c>
      <c r="H119" s="56">
        <v>2.0728117827175137</v>
      </c>
      <c r="I119" s="49">
        <v>2.1703676734884945</v>
      </c>
      <c r="K119" s="27">
        <f t="shared" ref="K119:L125" si="17">(D119-P56)/F119</f>
        <v>0.12410066253051315</v>
      </c>
      <c r="L119" s="27">
        <f t="shared" si="17"/>
        <v>-0.68196002940286693</v>
      </c>
      <c r="N119" s="356">
        <v>0.22180000000000002</v>
      </c>
      <c r="O119" s="130">
        <v>5</v>
      </c>
      <c r="P119" s="89">
        <v>-55.427834212175249</v>
      </c>
      <c r="Q119" s="130">
        <v>121.39439057514535</v>
      </c>
      <c r="R119" s="89">
        <v>72.362622971957194</v>
      </c>
      <c r="S119" s="130">
        <v>70.580054040127166</v>
      </c>
      <c r="T119" s="357">
        <v>2.8916831894602328</v>
      </c>
      <c r="U119" s="133">
        <v>2.4047369407365533</v>
      </c>
    </row>
    <row r="120" spans="2:21" x14ac:dyDescent="0.2">
      <c r="B120" s="53">
        <v>0</v>
      </c>
      <c r="C120" s="51">
        <v>10</v>
      </c>
      <c r="D120" s="65">
        <v>-8.1564391176651778</v>
      </c>
      <c r="E120" s="56">
        <v>60.188507389141137</v>
      </c>
      <c r="F120" s="65">
        <v>17.802095888768996</v>
      </c>
      <c r="G120" s="56">
        <v>58.152305562882361</v>
      </c>
      <c r="H120" s="56">
        <v>2.1111871195553578</v>
      </c>
      <c r="I120" s="49">
        <v>2.1662731715089971</v>
      </c>
      <c r="K120" s="27">
        <f t="shared" si="17"/>
        <v>0.12632142257018883</v>
      </c>
      <c r="L120" s="27">
        <f t="shared" si="17"/>
        <v>-0.72290079344448688</v>
      </c>
      <c r="N120" s="356">
        <v>0.22180000000000002</v>
      </c>
      <c r="O120" s="130">
        <v>10</v>
      </c>
      <c r="P120" s="89">
        <v>-55.227733727654758</v>
      </c>
      <c r="Q120" s="130">
        <v>105.1310272445039</v>
      </c>
      <c r="R120" s="89">
        <v>59.967998676555979</v>
      </c>
      <c r="S120" s="130">
        <v>70.512051204924447</v>
      </c>
      <c r="T120" s="357">
        <v>2.8548419336221551</v>
      </c>
      <c r="U120" s="133">
        <v>2.4279129238396169</v>
      </c>
    </row>
    <row r="121" spans="2:21" x14ac:dyDescent="0.2">
      <c r="B121" s="53">
        <v>0</v>
      </c>
      <c r="C121" s="51">
        <v>20</v>
      </c>
      <c r="D121" s="65">
        <v>-13.129450161356758</v>
      </c>
      <c r="E121" s="56">
        <v>51.350893972698266</v>
      </c>
      <c r="F121" s="65">
        <v>18.272237820953475</v>
      </c>
      <c r="G121" s="56">
        <v>53.741422880296746</v>
      </c>
      <c r="H121" s="56">
        <v>2.0720009798894261</v>
      </c>
      <c r="I121" s="49">
        <v>2.1504103324420361</v>
      </c>
      <c r="K121" s="27">
        <f t="shared" si="17"/>
        <v>0.15753891934250722</v>
      </c>
      <c r="L121" s="27">
        <f t="shared" si="17"/>
        <v>-0.74132960060560293</v>
      </c>
      <c r="N121" s="356">
        <v>0.22180000000000002</v>
      </c>
      <c r="O121" s="130">
        <v>20</v>
      </c>
      <c r="P121" s="89">
        <v>-55.828035181216222</v>
      </c>
      <c r="Q121" s="130">
        <v>86.544326295199312</v>
      </c>
      <c r="R121" s="89">
        <v>44.812111207248016</v>
      </c>
      <c r="S121" s="130">
        <v>70.532309346844741</v>
      </c>
      <c r="T121" s="357">
        <v>2.8235589924694131</v>
      </c>
      <c r="U121" s="133">
        <v>2.4218630518655941</v>
      </c>
    </row>
    <row r="122" spans="2:21" x14ac:dyDescent="0.2">
      <c r="B122" s="53">
        <v>0</v>
      </c>
      <c r="C122" s="51">
        <v>40</v>
      </c>
      <c r="D122" s="65">
        <v>-18.466471367540528</v>
      </c>
      <c r="E122" s="56">
        <v>39.9441684747107</v>
      </c>
      <c r="F122" s="65">
        <v>16.022312153724346</v>
      </c>
      <c r="G122" s="56">
        <v>54.641706671525554</v>
      </c>
      <c r="H122" s="56">
        <v>2.095517721042218</v>
      </c>
      <c r="I122" s="49">
        <v>2.0867230373872609</v>
      </c>
      <c r="K122" s="27">
        <f t="shared" si="17"/>
        <v>0.23371673066319704</v>
      </c>
      <c r="L122" s="27">
        <f t="shared" si="17"/>
        <v>-0.69338320595037017</v>
      </c>
      <c r="N122" s="356">
        <v>0.22180000000000002</v>
      </c>
      <c r="O122" s="130">
        <v>40</v>
      </c>
      <c r="P122" s="89">
        <v>-59.830044871625979</v>
      </c>
      <c r="Q122" s="130">
        <v>63.310950108568633</v>
      </c>
      <c r="R122" s="89">
        <v>44.832610628646634</v>
      </c>
      <c r="S122" s="130">
        <v>70.501902753141664</v>
      </c>
      <c r="T122" s="357">
        <v>2.8265967117770323</v>
      </c>
      <c r="U122" s="133">
        <v>2.4335668612401662</v>
      </c>
    </row>
    <row r="123" spans="2:21" x14ac:dyDescent="0.2">
      <c r="B123" s="53">
        <v>0</v>
      </c>
      <c r="C123" s="51">
        <v>60</v>
      </c>
      <c r="D123" s="65">
        <v>-21.228962567681794</v>
      </c>
      <c r="E123" s="56">
        <v>31.550414234289669</v>
      </c>
      <c r="F123" s="65">
        <v>15.04044351726934</v>
      </c>
      <c r="G123" s="56">
        <v>50.420879139539302</v>
      </c>
      <c r="H123" s="56">
        <v>2.1371376791449364</v>
      </c>
      <c r="I123" s="49">
        <v>2.1135705565764646</v>
      </c>
      <c r="K123" s="27">
        <f t="shared" si="17"/>
        <v>0.30477824209092419</v>
      </c>
      <c r="L123" s="27">
        <f t="shared" si="17"/>
        <v>-0.7105464505644612</v>
      </c>
      <c r="N123" s="356">
        <v>0.22180000000000002</v>
      </c>
      <c r="O123" s="130">
        <v>60</v>
      </c>
      <c r="P123" s="89">
        <v>-62.631451654912809</v>
      </c>
      <c r="Q123" s="130">
        <v>45.305083563929841</v>
      </c>
      <c r="R123" s="89">
        <v>44.846458141387849</v>
      </c>
      <c r="S123" s="130">
        <v>70.512597143109332</v>
      </c>
      <c r="T123" s="357">
        <v>2.8286394365530469</v>
      </c>
      <c r="U123" s="133">
        <v>2.4288459362038073</v>
      </c>
    </row>
    <row r="124" spans="2:21" x14ac:dyDescent="0.2">
      <c r="B124" s="53">
        <v>0</v>
      </c>
      <c r="C124" s="51">
        <v>100</v>
      </c>
      <c r="D124" s="65">
        <v>-22.780301023293191</v>
      </c>
      <c r="E124" s="56">
        <v>23.021358555773826</v>
      </c>
      <c r="F124" s="65">
        <v>14.446939798585946</v>
      </c>
      <c r="G124" s="56">
        <v>53.886608474069781</v>
      </c>
      <c r="H124" s="56">
        <v>2.1494383354172313</v>
      </c>
      <c r="I124" s="49">
        <v>2.1013080419254533</v>
      </c>
      <c r="K124" s="27">
        <f t="shared" si="17"/>
        <v>0.4038272703058991</v>
      </c>
      <c r="L124" s="27">
        <f t="shared" si="17"/>
        <v>-0.63988527915482918</v>
      </c>
      <c r="N124" s="356">
        <v>0.22180000000000002</v>
      </c>
      <c r="O124" s="130">
        <v>100</v>
      </c>
      <c r="P124" s="89">
        <v>-63.832054562035744</v>
      </c>
      <c r="Q124" s="130">
        <v>24.975879400627989</v>
      </c>
      <c r="R124" s="89">
        <v>44.843678521739726</v>
      </c>
      <c r="S124" s="130">
        <v>70.483863947372356</v>
      </c>
      <c r="T124" s="357">
        <v>2.8282299270404958</v>
      </c>
      <c r="U124" s="133">
        <v>2.4467248716994456</v>
      </c>
    </row>
    <row r="125" spans="2:21" x14ac:dyDescent="0.2">
      <c r="B125" s="53">
        <v>0</v>
      </c>
      <c r="C125" s="51">
        <v>120</v>
      </c>
      <c r="D125" s="65">
        <v>-22.792213248998522</v>
      </c>
      <c r="E125" s="56">
        <v>21.752476344099204</v>
      </c>
      <c r="F125" s="65">
        <v>15.966053290352709</v>
      </c>
      <c r="G125" s="56">
        <v>53.445203811114737</v>
      </c>
      <c r="H125" s="56">
        <v>2.0980625777421742</v>
      </c>
      <c r="I125" s="49">
        <v>2.0992189636215928</v>
      </c>
      <c r="K125" s="27">
        <f t="shared" si="17"/>
        <v>0.47745427498490356</v>
      </c>
      <c r="L125" s="27">
        <f t="shared" si="17"/>
        <v>-0.49502625785959481</v>
      </c>
      <c r="N125" s="356">
        <v>0.22180000000000002</v>
      </c>
      <c r="O125" s="130">
        <v>120</v>
      </c>
      <c r="P125" s="89">
        <v>-62.431351170392318</v>
      </c>
      <c r="Q125" s="130">
        <v>15.392111723642831</v>
      </c>
      <c r="R125" s="89">
        <v>44.845802844014898</v>
      </c>
      <c r="S125" s="130">
        <v>70.481074967491395</v>
      </c>
      <c r="T125" s="357">
        <v>2.8285424057399755</v>
      </c>
      <c r="U125" s="133">
        <v>2.4521574738839713</v>
      </c>
    </row>
    <row r="126" spans="2:21" x14ac:dyDescent="0.2">
      <c r="B126" s="39"/>
      <c r="C126" s="52"/>
      <c r="D126" s="449"/>
      <c r="E126" s="450"/>
      <c r="F126" s="449"/>
      <c r="G126" s="450"/>
      <c r="H126" s="52"/>
      <c r="I126" s="40"/>
      <c r="K126" s="27"/>
      <c r="L126" s="27"/>
      <c r="N126" s="92"/>
      <c r="O126" s="140"/>
      <c r="P126" s="82"/>
      <c r="Q126" s="140"/>
      <c r="R126" s="82"/>
      <c r="S126" s="140"/>
      <c r="T126" s="82"/>
      <c r="U126" s="140"/>
    </row>
    <row r="127" spans="2:21" x14ac:dyDescent="0.2">
      <c r="B127" s="7"/>
      <c r="C127" s="7"/>
      <c r="D127" s="461"/>
      <c r="E127" s="461"/>
      <c r="F127" s="461"/>
      <c r="G127" s="461"/>
      <c r="H127" s="7"/>
      <c r="I127" s="7"/>
      <c r="N127" s="68"/>
      <c r="O127" s="68"/>
      <c r="P127" s="68"/>
      <c r="Q127" s="68"/>
      <c r="R127" s="68"/>
      <c r="S127" s="68"/>
      <c r="T127" s="68"/>
      <c r="U127" s="68"/>
    </row>
    <row r="128" spans="2:21" x14ac:dyDescent="0.2">
      <c r="C128" s="27" t="s">
        <v>404</v>
      </c>
      <c r="D128" s="27"/>
      <c r="E128" s="27"/>
      <c r="F128" s="27"/>
      <c r="G128" s="27"/>
      <c r="N128" s="98" t="s">
        <v>370</v>
      </c>
      <c r="O128" s="68"/>
      <c r="P128" s="68"/>
      <c r="Q128" s="68"/>
      <c r="R128" s="68"/>
      <c r="S128" s="68"/>
      <c r="T128" s="68"/>
      <c r="U128" s="68"/>
    </row>
    <row r="129" spans="2:21" x14ac:dyDescent="0.2">
      <c r="B129" s="60" t="s">
        <v>394</v>
      </c>
      <c r="C129" s="18"/>
      <c r="D129" s="457"/>
      <c r="E129" s="457"/>
      <c r="F129" s="457"/>
      <c r="G129" s="458"/>
      <c r="H129" s="10"/>
      <c r="I129" s="11"/>
      <c r="N129" s="348" t="s">
        <v>371</v>
      </c>
      <c r="O129" s="132"/>
      <c r="P129" s="132"/>
      <c r="Q129" s="132"/>
      <c r="R129" s="132"/>
      <c r="S129" s="76"/>
      <c r="T129" s="76"/>
      <c r="U129" s="77"/>
    </row>
    <row r="130" spans="2:21" x14ac:dyDescent="0.2">
      <c r="B130" s="12"/>
      <c r="C130" s="13"/>
      <c r="D130" s="659" t="s">
        <v>19</v>
      </c>
      <c r="E130" s="660"/>
      <c r="F130" s="659" t="s">
        <v>20</v>
      </c>
      <c r="G130" s="660"/>
      <c r="H130" s="645" t="s">
        <v>8</v>
      </c>
      <c r="I130" s="646"/>
      <c r="N130" s="128"/>
      <c r="O130" s="129"/>
      <c r="P130" s="649" t="s">
        <v>19</v>
      </c>
      <c r="Q130" s="650"/>
      <c r="R130" s="649" t="s">
        <v>20</v>
      </c>
      <c r="S130" s="650"/>
      <c r="T130" s="649" t="s">
        <v>8</v>
      </c>
      <c r="U130" s="650"/>
    </row>
    <row r="131" spans="2:21" ht="38.25" x14ac:dyDescent="0.2">
      <c r="B131" s="12" t="s">
        <v>351</v>
      </c>
      <c r="C131" s="54" t="s">
        <v>241</v>
      </c>
      <c r="D131" s="453" t="s">
        <v>387</v>
      </c>
      <c r="E131" s="454" t="s">
        <v>388</v>
      </c>
      <c r="F131" s="453" t="s">
        <v>387</v>
      </c>
      <c r="G131" s="454" t="s">
        <v>388</v>
      </c>
      <c r="H131" s="54" t="s">
        <v>158</v>
      </c>
      <c r="I131" s="13" t="s">
        <v>159</v>
      </c>
      <c r="N131" s="290" t="s">
        <v>9</v>
      </c>
      <c r="O131" s="349" t="s">
        <v>15</v>
      </c>
      <c r="P131" s="17" t="s">
        <v>102</v>
      </c>
      <c r="Q131" s="9" t="s">
        <v>103</v>
      </c>
      <c r="R131" s="17" t="s">
        <v>102</v>
      </c>
      <c r="S131" s="9" t="s">
        <v>103</v>
      </c>
      <c r="T131" s="350" t="s">
        <v>280</v>
      </c>
      <c r="U131" s="129" t="s">
        <v>281</v>
      </c>
    </row>
    <row r="132" spans="2:21" ht="28.5" customHeight="1" x14ac:dyDescent="0.2">
      <c r="B132" s="53">
        <v>0.32</v>
      </c>
      <c r="C132" s="57">
        <v>5</v>
      </c>
      <c r="D132" s="65">
        <v>-12.509545459011964</v>
      </c>
      <c r="E132" s="56">
        <v>51.247731331472643</v>
      </c>
      <c r="F132" s="65">
        <v>22.055243841355377</v>
      </c>
      <c r="G132" s="56">
        <v>152.51042315842062</v>
      </c>
      <c r="H132" s="56">
        <v>2.0914843298697186</v>
      </c>
      <c r="I132" s="49">
        <v>2.4101204316573526</v>
      </c>
      <c r="N132" s="351">
        <v>1.8399999999999996E-2</v>
      </c>
      <c r="O132" s="352">
        <v>5</v>
      </c>
      <c r="P132" s="353">
        <v>-4.2021101749302527</v>
      </c>
      <c r="Q132" s="352">
        <v>85.963491890533561</v>
      </c>
      <c r="R132" s="353">
        <v>72.343621336855719</v>
      </c>
      <c r="S132" s="352">
        <v>70.542917721787475</v>
      </c>
      <c r="T132" s="354">
        <v>2.8900509948740827</v>
      </c>
      <c r="U132" s="355">
        <v>2.415732031820554</v>
      </c>
    </row>
    <row r="133" spans="2:21" x14ac:dyDescent="0.2">
      <c r="B133" s="53">
        <v>0.32</v>
      </c>
      <c r="C133" s="57">
        <v>10</v>
      </c>
      <c r="D133" s="65">
        <v>-17.120742920450443</v>
      </c>
      <c r="E133" s="56">
        <v>42.585782690702075</v>
      </c>
      <c r="F133" s="65">
        <v>16.963954105556187</v>
      </c>
      <c r="G133" s="56">
        <v>127.08330368421829</v>
      </c>
      <c r="H133" s="56">
        <v>2.103065463961066</v>
      </c>
      <c r="I133" s="49">
        <v>2.4111021725076687</v>
      </c>
      <c r="N133" s="356">
        <v>1.8399999999999996E-2</v>
      </c>
      <c r="O133" s="130">
        <v>10</v>
      </c>
      <c r="P133" s="89">
        <v>-7.8039188962990398</v>
      </c>
      <c r="Q133" s="130">
        <v>78.412644629878599</v>
      </c>
      <c r="R133" s="89">
        <v>59.903341502007777</v>
      </c>
      <c r="S133" s="130">
        <v>70.486089395283884</v>
      </c>
      <c r="T133" s="357">
        <v>2.8478808028691107</v>
      </c>
      <c r="U133" s="133">
        <v>2.4436010844072666</v>
      </c>
    </row>
    <row r="134" spans="2:21" ht="12.75" customHeight="1" x14ac:dyDescent="0.2">
      <c r="B134" s="53">
        <v>0.32</v>
      </c>
      <c r="C134" s="57">
        <v>20</v>
      </c>
      <c r="D134" s="65">
        <v>-22.712622242763604</v>
      </c>
      <c r="E134" s="56">
        <v>31.023043280674912</v>
      </c>
      <c r="F134" s="65">
        <v>22.306307281374224</v>
      </c>
      <c r="G134" s="56">
        <v>101.6794305636748</v>
      </c>
      <c r="H134" s="56">
        <v>2.0985902701002166</v>
      </c>
      <c r="I134" s="49">
        <v>2.4022597904084133</v>
      </c>
      <c r="N134" s="356">
        <v>1.8399999999999996E-2</v>
      </c>
      <c r="O134" s="130">
        <v>20</v>
      </c>
      <c r="P134" s="89">
        <v>-13.606832947393197</v>
      </c>
      <c r="Q134" s="130">
        <v>70.280962964557844</v>
      </c>
      <c r="R134" s="89">
        <v>44.760499298216416</v>
      </c>
      <c r="S134" s="130">
        <v>70.481146762839629</v>
      </c>
      <c r="T134" s="357">
        <v>2.8158333126134485</v>
      </c>
      <c r="U134" s="133">
        <v>2.451904484219813</v>
      </c>
    </row>
    <row r="135" spans="2:21" x14ac:dyDescent="0.2">
      <c r="B135" s="53">
        <v>0.32</v>
      </c>
      <c r="C135" s="57">
        <v>40</v>
      </c>
      <c r="D135" s="65">
        <v>-28.756745513681029</v>
      </c>
      <c r="E135" s="56">
        <v>14.852977711872306</v>
      </c>
      <c r="F135" s="65">
        <v>16.870020761386758</v>
      </c>
      <c r="G135" s="56">
        <v>56.527610587299989</v>
      </c>
      <c r="H135" s="56">
        <v>2.0907517655626302</v>
      </c>
      <c r="I135" s="49">
        <v>2.1609444247139828</v>
      </c>
      <c r="N135" s="356">
        <v>1.8399999999999996E-2</v>
      </c>
      <c r="O135" s="130">
        <v>40</v>
      </c>
      <c r="P135" s="89">
        <v>-19.809947967528334</v>
      </c>
      <c r="Q135" s="130">
        <v>69.119294155226314</v>
      </c>
      <c r="R135" s="89">
        <v>44.838954826671646</v>
      </c>
      <c r="S135" s="130">
        <v>70.519726757855537</v>
      </c>
      <c r="T135" s="357">
        <v>2.8275328478062818</v>
      </c>
      <c r="U135" s="133">
        <v>2.4260940984456654</v>
      </c>
    </row>
    <row r="136" spans="2:21" x14ac:dyDescent="0.2">
      <c r="B136" s="53">
        <v>0.32</v>
      </c>
      <c r="C136" s="51">
        <v>60</v>
      </c>
      <c r="D136" s="65">
        <v>-32.003232290299756</v>
      </c>
      <c r="E136" s="56">
        <v>4.0578974284277818</v>
      </c>
      <c r="F136" s="65">
        <v>21.392573058630106</v>
      </c>
      <c r="G136" s="56">
        <v>36.134855291239781</v>
      </c>
      <c r="H136" s="56">
        <v>2.1967387260746349</v>
      </c>
      <c r="I136" s="49">
        <v>2.0924025113048277</v>
      </c>
      <c r="N136" s="356">
        <v>1.8399999999999996E-2</v>
      </c>
      <c r="O136" s="130">
        <v>60</v>
      </c>
      <c r="P136" s="89">
        <v>-22.61135475081517</v>
      </c>
      <c r="Q136" s="130">
        <v>47.628421182592909</v>
      </c>
      <c r="R136" s="89">
        <v>44.847646798916394</v>
      </c>
      <c r="S136" s="130">
        <v>70.486772236517453</v>
      </c>
      <c r="T136" s="357">
        <v>2.8288144745760317</v>
      </c>
      <c r="U136" s="133">
        <v>2.4435245953035314</v>
      </c>
    </row>
    <row r="137" spans="2:21" x14ac:dyDescent="0.2">
      <c r="B137" s="53">
        <v>0.32</v>
      </c>
      <c r="C137" s="51">
        <v>100</v>
      </c>
      <c r="D137" s="65">
        <v>-35.617250500832903</v>
      </c>
      <c r="E137" s="56">
        <v>-11.633888725677602</v>
      </c>
      <c r="F137" s="65">
        <v>18.263363205664589</v>
      </c>
      <c r="G137" s="56">
        <v>39.246348640380404</v>
      </c>
      <c r="H137" s="56">
        <v>2.1573182651877008</v>
      </c>
      <c r="I137" s="49">
        <v>2.1417106624305173</v>
      </c>
      <c r="N137" s="356">
        <v>1.8399999999999996E-2</v>
      </c>
      <c r="O137" s="130">
        <v>100</v>
      </c>
      <c r="P137" s="89">
        <v>-24.612359596020053</v>
      </c>
      <c r="Q137" s="130">
        <v>35.430898684611797</v>
      </c>
      <c r="R137" s="89">
        <v>44.853899981217026</v>
      </c>
      <c r="S137" s="130">
        <v>70.481622890805255</v>
      </c>
      <c r="T137" s="357">
        <v>2.8297346482983667</v>
      </c>
      <c r="U137" s="133">
        <v>2.4505688415464824</v>
      </c>
    </row>
    <row r="138" spans="2:21" x14ac:dyDescent="0.2">
      <c r="B138" s="53">
        <v>0.32</v>
      </c>
      <c r="C138" s="51">
        <v>120</v>
      </c>
      <c r="D138" s="65">
        <v>-37.602147734127243</v>
      </c>
      <c r="E138" s="56">
        <v>-19.688411997445527</v>
      </c>
      <c r="F138" s="65">
        <v>18.653916626938944</v>
      </c>
      <c r="G138" s="56">
        <v>45.02564902016627</v>
      </c>
      <c r="H138" s="56">
        <v>2.1076446462969423</v>
      </c>
      <c r="I138" s="49">
        <v>2.0822712867895885</v>
      </c>
      <c r="N138" s="356">
        <v>1.8399999999999996E-2</v>
      </c>
      <c r="O138" s="130">
        <v>120</v>
      </c>
      <c r="P138" s="89">
        <v>-25.81296250314298</v>
      </c>
      <c r="Q138" s="130">
        <v>30.2033890426199</v>
      </c>
      <c r="R138" s="89">
        <v>44.859638092703001</v>
      </c>
      <c r="S138" s="130">
        <v>70.481068664618121</v>
      </c>
      <c r="T138" s="357">
        <v>2.8305779249025975</v>
      </c>
      <c r="U138" s="133">
        <v>2.4521804021051588</v>
      </c>
    </row>
    <row r="139" spans="2:21" x14ac:dyDescent="0.2">
      <c r="B139" s="119"/>
      <c r="C139" s="113"/>
      <c r="D139" s="448"/>
      <c r="E139" s="116"/>
      <c r="F139" s="448"/>
      <c r="G139" s="116"/>
      <c r="H139" s="116"/>
      <c r="I139" s="117"/>
      <c r="N139" s="356"/>
      <c r="O139" s="135"/>
      <c r="P139" s="156"/>
      <c r="Q139" s="131"/>
      <c r="R139" s="358"/>
      <c r="S139" s="131"/>
      <c r="T139" s="357"/>
      <c r="U139" s="133"/>
    </row>
    <row r="140" spans="2:21" x14ac:dyDescent="0.2">
      <c r="B140" s="53">
        <v>0</v>
      </c>
      <c r="C140" s="51">
        <v>5</v>
      </c>
      <c r="D140" s="65">
        <v>-9.5912897334097913</v>
      </c>
      <c r="E140" s="56">
        <v>37.645659269355605</v>
      </c>
      <c r="F140" s="65">
        <v>22.049852039586412</v>
      </c>
      <c r="G140" s="56">
        <v>152.21765120094926</v>
      </c>
      <c r="H140" s="56">
        <v>2.0916599923484744</v>
      </c>
      <c r="I140" s="49">
        <v>2.4438399951937106</v>
      </c>
      <c r="N140" s="356">
        <v>0.33879999999999999</v>
      </c>
      <c r="O140" s="130">
        <v>5</v>
      </c>
      <c r="P140" s="89">
        <v>-8.2041198653400151</v>
      </c>
      <c r="Q140" s="130">
        <v>95.256842365185818</v>
      </c>
      <c r="R140" s="89">
        <v>72.330781912160234</v>
      </c>
      <c r="S140" s="130">
        <v>70.544346324630268</v>
      </c>
      <c r="T140" s="357">
        <v>2.8889461561704231</v>
      </c>
      <c r="U140" s="133">
        <v>2.4152228017627579</v>
      </c>
    </row>
    <row r="141" spans="2:21" x14ac:dyDescent="0.2">
      <c r="B141" s="53">
        <v>0</v>
      </c>
      <c r="C141" s="51">
        <v>10</v>
      </c>
      <c r="D141" s="65">
        <v>-13.976592743394429</v>
      </c>
      <c r="E141" s="56">
        <v>30.76004245860333</v>
      </c>
      <c r="F141" s="65">
        <v>16.924972954075969</v>
      </c>
      <c r="G141" s="56">
        <v>126.83923907690618</v>
      </c>
      <c r="H141" s="56">
        <v>2.1048680738810206</v>
      </c>
      <c r="I141" s="49">
        <v>2.4463208879513991</v>
      </c>
      <c r="N141" s="356">
        <v>0.33879999999999999</v>
      </c>
      <c r="O141" s="130">
        <v>10</v>
      </c>
      <c r="P141" s="89">
        <v>-12.606330524790756</v>
      </c>
      <c r="Q141" s="130">
        <v>87.125160699865091</v>
      </c>
      <c r="R141" s="89">
        <v>59.858866906016388</v>
      </c>
      <c r="S141" s="130">
        <v>70.49038434953124</v>
      </c>
      <c r="T141" s="357">
        <v>2.8430484356435697</v>
      </c>
      <c r="U141" s="133">
        <v>2.4396683643637669</v>
      </c>
    </row>
    <row r="142" spans="2:21" x14ac:dyDescent="0.2">
      <c r="B142" s="53">
        <v>0</v>
      </c>
      <c r="C142" s="51">
        <v>20</v>
      </c>
      <c r="D142" s="65">
        <v>-18.514120270361843</v>
      </c>
      <c r="E142" s="56">
        <v>20.344989092558791</v>
      </c>
      <c r="F142" s="65">
        <v>22.292641786828142</v>
      </c>
      <c r="G142" s="56">
        <v>101.47496035831499</v>
      </c>
      <c r="H142" s="56">
        <v>2.0990552178526043</v>
      </c>
      <c r="I142" s="49">
        <v>2.438067596591881</v>
      </c>
      <c r="N142" s="356">
        <v>0.33879999999999999</v>
      </c>
      <c r="O142" s="130">
        <v>20</v>
      </c>
      <c r="P142" s="89">
        <v>-20.010048452048821</v>
      </c>
      <c r="Q142" s="130">
        <v>75.508472606549731</v>
      </c>
      <c r="R142" s="89">
        <v>44.747330328507282</v>
      </c>
      <c r="S142" s="130">
        <v>70.492600273309563</v>
      </c>
      <c r="T142" s="357">
        <v>2.8138456161321823</v>
      </c>
      <c r="U142" s="133">
        <v>2.4388940838080408</v>
      </c>
    </row>
    <row r="143" spans="2:21" x14ac:dyDescent="0.2">
      <c r="B143" s="53">
        <v>0</v>
      </c>
      <c r="C143" s="51">
        <v>40</v>
      </c>
      <c r="D143" s="65">
        <v>-24.086751573465691</v>
      </c>
      <c r="E143" s="56">
        <v>6.5044529511213334</v>
      </c>
      <c r="F143" s="65">
        <v>16.869642537437176</v>
      </c>
      <c r="G143" s="56">
        <v>56.063458298408847</v>
      </c>
      <c r="H143" s="56">
        <v>2.0907683177453378</v>
      </c>
      <c r="I143" s="49">
        <v>2.1723795698188471</v>
      </c>
      <c r="N143" s="356">
        <v>0.33879999999999999</v>
      </c>
      <c r="O143" s="130">
        <v>40</v>
      </c>
      <c r="P143" s="89">
        <v>-26.613364441224935</v>
      </c>
      <c r="Q143" s="130">
        <v>60.4067780852398</v>
      </c>
      <c r="R143" s="89">
        <v>44.82875305400222</v>
      </c>
      <c r="S143" s="130">
        <v>70.485473414242009</v>
      </c>
      <c r="T143" s="357">
        <v>2.8260251738424156</v>
      </c>
      <c r="U143" s="133">
        <v>2.4447680065868642</v>
      </c>
    </row>
    <row r="144" spans="2:21" x14ac:dyDescent="0.2">
      <c r="B144" s="53">
        <v>0</v>
      </c>
      <c r="C144" s="51">
        <v>60</v>
      </c>
      <c r="D144" s="65">
        <v>-27.284726290331125</v>
      </c>
      <c r="E144" s="56">
        <v>-4.5796927807269681</v>
      </c>
      <c r="F144" s="65">
        <v>21.377434339274686</v>
      </c>
      <c r="G144" s="56">
        <v>35.85427686757162</v>
      </c>
      <c r="H144" s="56">
        <v>2.1981121246383495</v>
      </c>
      <c r="I144" s="49">
        <v>2.0977308205653218</v>
      </c>
      <c r="N144" s="356">
        <v>0.33879999999999999</v>
      </c>
      <c r="O144" s="130">
        <v>60</v>
      </c>
      <c r="P144" s="89">
        <v>-30.015072678073231</v>
      </c>
      <c r="Q144" s="130">
        <v>49.370924396590219</v>
      </c>
      <c r="R144" s="89">
        <v>44.844985860271024</v>
      </c>
      <c r="S144" s="130">
        <v>70.491044759879884</v>
      </c>
      <c r="T144" s="357">
        <v>2.8284225123944902</v>
      </c>
      <c r="U144" s="133">
        <v>2.4400188895100925</v>
      </c>
    </row>
    <row r="145" spans="2:21" x14ac:dyDescent="0.2">
      <c r="B145" s="53">
        <v>0</v>
      </c>
      <c r="C145" s="51">
        <v>100</v>
      </c>
      <c r="D145" s="65">
        <v>-29.823519619257645</v>
      </c>
      <c r="E145" s="56">
        <v>-14.734861697023138</v>
      </c>
      <c r="F145" s="65">
        <v>18.256569173436098</v>
      </c>
      <c r="G145" s="56">
        <v>39.523360262280654</v>
      </c>
      <c r="H145" s="56">
        <v>2.1578359169349439</v>
      </c>
      <c r="I145" s="49">
        <v>2.1353646220604321</v>
      </c>
      <c r="N145" s="356">
        <v>0.33879999999999999</v>
      </c>
      <c r="O145" s="130">
        <v>100</v>
      </c>
      <c r="P145" s="89">
        <v>-32.216178007798604</v>
      </c>
      <c r="Q145" s="130">
        <v>34.850064279946039</v>
      </c>
      <c r="R145" s="89">
        <v>44.856873195651737</v>
      </c>
      <c r="S145" s="130">
        <v>70.481784455100623</v>
      </c>
      <c r="T145" s="357">
        <v>2.8301716590516159</v>
      </c>
      <c r="U145" s="133">
        <v>2.4501945570148806</v>
      </c>
    </row>
    <row r="146" spans="2:21" x14ac:dyDescent="0.2">
      <c r="B146" s="53">
        <v>0</v>
      </c>
      <c r="C146" s="51">
        <v>120</v>
      </c>
      <c r="D146" s="65">
        <v>-31.186896880770284</v>
      </c>
      <c r="E146" s="56">
        <v>-21.038014291887784</v>
      </c>
      <c r="F146" s="65">
        <v>18.653323106026509</v>
      </c>
      <c r="G146" s="56">
        <v>45.222727159799454</v>
      </c>
      <c r="H146" s="56">
        <v>2.1076726183530647</v>
      </c>
      <c r="I146" s="49">
        <v>2.0806153784939054</v>
      </c>
      <c r="N146" s="356">
        <v>0.33879999999999999</v>
      </c>
      <c r="O146" s="130">
        <v>120</v>
      </c>
      <c r="P146" s="89">
        <v>-32.616378976839577</v>
      </c>
      <c r="Q146" s="130">
        <v>29.041720233288363</v>
      </c>
      <c r="R146" s="89">
        <v>44.859210223596648</v>
      </c>
      <c r="S146" s="130">
        <v>70.481068193720446</v>
      </c>
      <c r="T146" s="357">
        <v>2.8305150885142485</v>
      </c>
      <c r="U146" s="133">
        <v>2.4521821221885634</v>
      </c>
    </row>
    <row r="147" spans="2:21" x14ac:dyDescent="0.2">
      <c r="B147" s="120"/>
      <c r="C147" s="52"/>
      <c r="D147" s="449"/>
      <c r="E147" s="450"/>
      <c r="F147" s="449"/>
      <c r="G147" s="450"/>
      <c r="H147" s="52"/>
      <c r="I147" s="40"/>
      <c r="N147" s="92"/>
      <c r="O147" s="140"/>
      <c r="P147" s="82"/>
      <c r="Q147" s="140"/>
      <c r="R147" s="82"/>
      <c r="S147" s="140"/>
      <c r="T147" s="82"/>
      <c r="U147" s="140"/>
    </row>
    <row r="148" spans="2:21" x14ac:dyDescent="0.2">
      <c r="B148" s="16"/>
      <c r="C148" s="7"/>
      <c r="D148" s="461"/>
      <c r="E148" s="461"/>
      <c r="F148" s="461"/>
      <c r="G148" s="461"/>
      <c r="H148" s="7"/>
      <c r="I148" s="7"/>
      <c r="N148" s="68"/>
      <c r="O148" s="68"/>
      <c r="P148" s="68"/>
      <c r="Q148" s="68"/>
      <c r="R148" s="68"/>
      <c r="S148" s="68"/>
      <c r="T148" s="68"/>
      <c r="U148" s="68"/>
    </row>
    <row r="149" spans="2:21" x14ac:dyDescent="0.2">
      <c r="C149" s="27" t="s">
        <v>405</v>
      </c>
      <c r="D149" s="27"/>
      <c r="E149" s="27"/>
      <c r="F149" s="27"/>
      <c r="G149" s="27"/>
      <c r="N149" s="68"/>
      <c r="O149" s="68"/>
      <c r="P149" s="68"/>
      <c r="Q149" s="68"/>
      <c r="R149" s="68"/>
      <c r="S149" s="68"/>
      <c r="T149" s="68"/>
      <c r="U149" s="68"/>
    </row>
    <row r="150" spans="2:21" x14ac:dyDescent="0.2">
      <c r="B150" s="60" t="s">
        <v>395</v>
      </c>
      <c r="C150" s="18"/>
      <c r="D150" s="457"/>
      <c r="E150" s="457"/>
      <c r="F150" s="457"/>
      <c r="G150" s="458"/>
      <c r="H150" s="10"/>
      <c r="I150" s="11"/>
      <c r="N150" s="348" t="s">
        <v>372</v>
      </c>
      <c r="O150" s="132"/>
      <c r="P150" s="132"/>
      <c r="Q150" s="132"/>
      <c r="R150" s="132"/>
      <c r="S150" s="76"/>
      <c r="T150" s="76"/>
      <c r="U150" s="77"/>
    </row>
    <row r="151" spans="2:21" x14ac:dyDescent="0.2">
      <c r="B151" s="12"/>
      <c r="C151" s="13"/>
      <c r="D151" s="659" t="s">
        <v>19</v>
      </c>
      <c r="E151" s="660"/>
      <c r="F151" s="659" t="s">
        <v>20</v>
      </c>
      <c r="G151" s="660"/>
      <c r="H151" s="645" t="s">
        <v>8</v>
      </c>
      <c r="I151" s="646"/>
      <c r="N151" s="128"/>
      <c r="O151" s="129"/>
      <c r="P151" s="649" t="s">
        <v>19</v>
      </c>
      <c r="Q151" s="650"/>
      <c r="R151" s="649" t="s">
        <v>20</v>
      </c>
      <c r="S151" s="650"/>
      <c r="T151" s="649" t="s">
        <v>8</v>
      </c>
      <c r="U151" s="650"/>
    </row>
    <row r="152" spans="2:21" ht="38.25" x14ac:dyDescent="0.2">
      <c r="B152" s="12" t="s">
        <v>351</v>
      </c>
      <c r="C152" s="54" t="s">
        <v>241</v>
      </c>
      <c r="D152" s="453" t="s">
        <v>387</v>
      </c>
      <c r="E152" s="454" t="s">
        <v>388</v>
      </c>
      <c r="F152" s="453" t="s">
        <v>387</v>
      </c>
      <c r="G152" s="454" t="s">
        <v>388</v>
      </c>
      <c r="H152" s="54" t="s">
        <v>158</v>
      </c>
      <c r="I152" s="13" t="s">
        <v>159</v>
      </c>
      <c r="N152" s="290" t="s">
        <v>9</v>
      </c>
      <c r="O152" s="349" t="s">
        <v>15</v>
      </c>
      <c r="P152" s="17" t="s">
        <v>102</v>
      </c>
      <c r="Q152" s="9" t="s">
        <v>103</v>
      </c>
      <c r="R152" s="17" t="s">
        <v>102</v>
      </c>
      <c r="S152" s="9" t="s">
        <v>103</v>
      </c>
      <c r="T152" s="350" t="s">
        <v>280</v>
      </c>
      <c r="U152" s="129" t="s">
        <v>281</v>
      </c>
    </row>
    <row r="153" spans="2:21" ht="31.5" customHeight="1" x14ac:dyDescent="0.2">
      <c r="B153" s="53">
        <v>0.32</v>
      </c>
      <c r="C153" s="57">
        <v>5</v>
      </c>
      <c r="D153" s="65">
        <v>-54.921328770441363</v>
      </c>
      <c r="E153" s="56">
        <v>26.694182689932809</v>
      </c>
      <c r="F153" s="65">
        <v>17.799412142139474</v>
      </c>
      <c r="G153" s="56">
        <v>101.73554376278884</v>
      </c>
      <c r="H153" s="56">
        <v>2.0818172311617134</v>
      </c>
      <c r="I153" s="49">
        <v>2.3911631565749443</v>
      </c>
      <c r="N153" s="351">
        <v>1.8399999999999996E-2</v>
      </c>
      <c r="O153" s="352">
        <v>5</v>
      </c>
      <c r="P153" s="353">
        <v>-4.2021101749302527</v>
      </c>
      <c r="Q153" s="352">
        <v>85.963491890533561</v>
      </c>
      <c r="R153" s="353">
        <v>72.345126119874465</v>
      </c>
      <c r="S153" s="352">
        <v>70.542458310845134</v>
      </c>
      <c r="T153" s="354">
        <v>2.8901802975422615</v>
      </c>
      <c r="U153" s="355">
        <v>2.4159032960280995</v>
      </c>
    </row>
    <row r="154" spans="2:21" x14ac:dyDescent="0.2">
      <c r="B154" s="53">
        <v>0.32</v>
      </c>
      <c r="C154" s="57">
        <v>10</v>
      </c>
      <c r="D154" s="65">
        <v>-53.125291531691289</v>
      </c>
      <c r="E154" s="56">
        <v>10.460199242622966</v>
      </c>
      <c r="F154" s="65">
        <v>14.604415303046997</v>
      </c>
      <c r="G154" s="56">
        <v>76.240609527331017</v>
      </c>
      <c r="H154" s="56">
        <v>2.1321925085282238</v>
      </c>
      <c r="I154" s="49">
        <v>2.4010523624940805</v>
      </c>
      <c r="N154" s="356">
        <v>1.8399999999999996E-2</v>
      </c>
      <c r="O154" s="130">
        <v>10</v>
      </c>
      <c r="P154" s="89">
        <v>-7.8039188962990398</v>
      </c>
      <c r="Q154" s="130">
        <v>78.412644629878599</v>
      </c>
      <c r="R154" s="89">
        <v>59.904871020158531</v>
      </c>
      <c r="S154" s="130">
        <v>70.485950026447526</v>
      </c>
      <c r="T154" s="357">
        <v>2.8480458916111036</v>
      </c>
      <c r="U154" s="133">
        <v>2.4437751961832923</v>
      </c>
    </row>
    <row r="155" spans="2:21" ht="12.75" customHeight="1" x14ac:dyDescent="0.2">
      <c r="B155" s="53">
        <v>0.32</v>
      </c>
      <c r="C155" s="57">
        <v>20</v>
      </c>
      <c r="D155" s="65">
        <v>-52.532380106535356</v>
      </c>
      <c r="E155" s="56">
        <v>-8.5432649361758521</v>
      </c>
      <c r="F155" s="65">
        <v>17.268931851944252</v>
      </c>
      <c r="G155" s="56">
        <v>30.396209563515637</v>
      </c>
      <c r="H155" s="56">
        <v>2.0878466797881967</v>
      </c>
      <c r="I155" s="49">
        <v>2.1090783925884939</v>
      </c>
      <c r="N155" s="356">
        <v>1.8399999999999996E-2</v>
      </c>
      <c r="O155" s="130">
        <v>20</v>
      </c>
      <c r="P155" s="89">
        <v>-13.606832947393197</v>
      </c>
      <c r="Q155" s="130">
        <v>70.280962964557844</v>
      </c>
      <c r="R155" s="89">
        <v>44.763965997376793</v>
      </c>
      <c r="S155" s="130">
        <v>70.481135193044281</v>
      </c>
      <c r="T155" s="357">
        <v>2.8163523513375508</v>
      </c>
      <c r="U155" s="133">
        <v>2.4519442559567244</v>
      </c>
    </row>
    <row r="156" spans="2:21" x14ac:dyDescent="0.2">
      <c r="B156" s="53">
        <v>0.32</v>
      </c>
      <c r="C156" s="57">
        <v>40</v>
      </c>
      <c r="D156" s="65">
        <v>-52.934906557107546</v>
      </c>
      <c r="E156" s="56">
        <v>-31.120436879742449</v>
      </c>
      <c r="F156" s="65">
        <v>15.559490239565244</v>
      </c>
      <c r="G156" s="56">
        <v>44.422870309820368</v>
      </c>
      <c r="H156" s="56">
        <v>2.1036125319391914</v>
      </c>
      <c r="I156" s="49">
        <v>2.0660872128158858</v>
      </c>
      <c r="N156" s="356">
        <v>1.8399999999999996E-2</v>
      </c>
      <c r="O156" s="130">
        <v>40</v>
      </c>
      <c r="P156" s="89">
        <v>-19.809947967528334</v>
      </c>
      <c r="Q156" s="130">
        <v>69.119294155226314</v>
      </c>
      <c r="R156" s="89">
        <v>44.84372230977462</v>
      </c>
      <c r="S156" s="130">
        <v>70.519726757855537</v>
      </c>
      <c r="T156" s="357">
        <v>2.8282355773711383</v>
      </c>
      <c r="U156" s="133">
        <v>2.4260940984456654</v>
      </c>
    </row>
    <row r="157" spans="2:21" x14ac:dyDescent="0.2">
      <c r="B157" s="53">
        <v>0.32</v>
      </c>
      <c r="C157" s="51">
        <v>60</v>
      </c>
      <c r="D157" s="65">
        <v>-54.593691241751252</v>
      </c>
      <c r="E157" s="56">
        <v>-42.15750800696793</v>
      </c>
      <c r="F157" s="65">
        <v>17.376998970619393</v>
      </c>
      <c r="G157" s="56">
        <v>59.539673584822538</v>
      </c>
      <c r="H157" s="56">
        <v>2.1413851625410816</v>
      </c>
      <c r="I157" s="49">
        <v>2.1297238370151454</v>
      </c>
      <c r="N157" s="356">
        <v>1.8399999999999996E-2</v>
      </c>
      <c r="O157" s="130">
        <v>60</v>
      </c>
      <c r="P157" s="89">
        <v>-22.61135475081517</v>
      </c>
      <c r="Q157" s="130">
        <v>47.628421182592909</v>
      </c>
      <c r="R157" s="89">
        <v>44.853271044721822</v>
      </c>
      <c r="S157" s="130">
        <v>70.486772236517453</v>
      </c>
      <c r="T157" s="357">
        <v>2.8296421054213527</v>
      </c>
      <c r="U157" s="133">
        <v>2.4435245953035314</v>
      </c>
    </row>
    <row r="158" spans="2:21" x14ac:dyDescent="0.2">
      <c r="B158" s="53">
        <v>0.32</v>
      </c>
      <c r="C158" s="51">
        <v>100</v>
      </c>
      <c r="D158" s="65">
        <v>-57.419501039525706</v>
      </c>
      <c r="E158" s="56">
        <v>-58.370318835110432</v>
      </c>
      <c r="F158" s="65">
        <v>15.349229308500561</v>
      </c>
      <c r="G158" s="56">
        <v>106.48132448472586</v>
      </c>
      <c r="H158" s="56">
        <v>2.1348443808958146</v>
      </c>
      <c r="I158" s="49">
        <v>2.232044900100727</v>
      </c>
      <c r="N158" s="356">
        <v>1.8399999999999996E-2</v>
      </c>
      <c r="O158" s="130">
        <v>100</v>
      </c>
      <c r="P158" s="89">
        <v>-24.612359596020053</v>
      </c>
      <c r="Q158" s="130">
        <v>35.430898684611797</v>
      </c>
      <c r="R158" s="89">
        <v>44.859728623162482</v>
      </c>
      <c r="S158" s="130">
        <v>70.481622890805255</v>
      </c>
      <c r="T158" s="357">
        <v>2.8305913494681136</v>
      </c>
      <c r="U158" s="133">
        <v>2.4505688415464824</v>
      </c>
    </row>
    <row r="159" spans="2:21" x14ac:dyDescent="0.2">
      <c r="B159" s="53">
        <v>0.32</v>
      </c>
      <c r="C159" s="51">
        <v>120</v>
      </c>
      <c r="D159" s="65">
        <v>-58.695186725265131</v>
      </c>
      <c r="E159" s="56">
        <v>-66.375600842715514</v>
      </c>
      <c r="F159" s="65">
        <v>15.858486857208151</v>
      </c>
      <c r="G159" s="56">
        <v>130.50465600754058</v>
      </c>
      <c r="H159" s="56">
        <v>2.0983214821027945</v>
      </c>
      <c r="I159" s="49">
        <v>2.2765158343537326</v>
      </c>
      <c r="N159" s="356">
        <v>1.8399999999999996E-2</v>
      </c>
      <c r="O159" s="130">
        <v>120</v>
      </c>
      <c r="P159" s="89">
        <v>-25.81296250314298</v>
      </c>
      <c r="Q159" s="130">
        <v>30.2033890426199</v>
      </c>
      <c r="R159" s="89">
        <v>44.864451665727159</v>
      </c>
      <c r="S159" s="130">
        <v>70.481067305144521</v>
      </c>
      <c r="T159" s="357">
        <v>2.8312846767698563</v>
      </c>
      <c r="U159" s="133">
        <v>2.4521853781841529</v>
      </c>
    </row>
    <row r="160" spans="2:21" x14ac:dyDescent="0.2">
      <c r="B160" s="119"/>
      <c r="C160" s="113"/>
      <c r="D160" s="448"/>
      <c r="E160" s="116"/>
      <c r="F160" s="448"/>
      <c r="G160" s="116"/>
      <c r="H160" s="116"/>
      <c r="I160" s="117"/>
      <c r="N160" s="356"/>
      <c r="O160" s="135"/>
      <c r="P160" s="156"/>
      <c r="Q160" s="131"/>
      <c r="R160" s="358"/>
      <c r="S160" s="131"/>
      <c r="T160" s="357"/>
      <c r="U160" s="133"/>
    </row>
    <row r="161" spans="2:21" x14ac:dyDescent="0.2">
      <c r="B161" s="53">
        <v>0</v>
      </c>
      <c r="C161" s="51">
        <v>5</v>
      </c>
      <c r="D161" s="65">
        <v>-45.587060915183557</v>
      </c>
      <c r="E161" s="56">
        <v>21.85643012399855</v>
      </c>
      <c r="F161" s="65">
        <v>17.803939763053798</v>
      </c>
      <c r="G161" s="56">
        <v>101.62316198019657</v>
      </c>
      <c r="H161" s="56">
        <v>2.0816494754376746</v>
      </c>
      <c r="I161" s="49">
        <v>2.4056605137674234</v>
      </c>
      <c r="N161" s="356">
        <v>0.22180000000000002</v>
      </c>
      <c r="O161" s="130">
        <v>5</v>
      </c>
      <c r="P161" s="89">
        <v>-6.2031150201351348</v>
      </c>
      <c r="Q161" s="130">
        <v>91.771835937191227</v>
      </c>
      <c r="R161" s="89">
        <v>72.321060256175954</v>
      </c>
      <c r="S161" s="130">
        <v>70.543842492015045</v>
      </c>
      <c r="T161" s="357">
        <v>2.888108369949296</v>
      </c>
      <c r="U161" s="133">
        <v>2.4154081112581185</v>
      </c>
    </row>
    <row r="162" spans="2:21" x14ac:dyDescent="0.2">
      <c r="B162" s="53">
        <v>0</v>
      </c>
      <c r="C162" s="51">
        <v>10</v>
      </c>
      <c r="D162" s="65">
        <v>-43.364628845927911</v>
      </c>
      <c r="E162" s="56">
        <v>7.3987785067070151</v>
      </c>
      <c r="F162" s="65">
        <v>14.609425909185859</v>
      </c>
      <c r="G162" s="56">
        <v>76.196027285605012</v>
      </c>
      <c r="H162" s="56">
        <v>2.1318127703343634</v>
      </c>
      <c r="I162" s="49">
        <v>2.4119359200299346</v>
      </c>
      <c r="N162" s="356">
        <v>0.22180000000000002</v>
      </c>
      <c r="O162" s="130">
        <v>10</v>
      </c>
      <c r="P162" s="89">
        <v>-11.20562713314734</v>
      </c>
      <c r="Q162" s="130">
        <v>83.6401542718705</v>
      </c>
      <c r="R162" s="89">
        <v>59.878223368898638</v>
      </c>
      <c r="S162" s="130">
        <v>70.487067669944679</v>
      </c>
      <c r="T162" s="357">
        <v>2.8451555221919889</v>
      </c>
      <c r="U162" s="133">
        <v>2.4426005914274707</v>
      </c>
    </row>
    <row r="163" spans="2:21" x14ac:dyDescent="0.2">
      <c r="B163" s="53">
        <v>0</v>
      </c>
      <c r="C163" s="51">
        <v>20</v>
      </c>
      <c r="D163" s="65">
        <v>-41.917866004477965</v>
      </c>
      <c r="E163" s="56">
        <v>-8.1198477624604468</v>
      </c>
      <c r="F163" s="65">
        <v>17.269227646186106</v>
      </c>
      <c r="G163" s="56">
        <v>30.109635408042458</v>
      </c>
      <c r="H163" s="56">
        <v>2.087834336187782</v>
      </c>
      <c r="I163" s="49">
        <v>2.1148690817212104</v>
      </c>
      <c r="N163" s="356">
        <v>0.22180000000000002</v>
      </c>
      <c r="O163" s="130">
        <v>20</v>
      </c>
      <c r="P163" s="89">
        <v>-18.009043606843939</v>
      </c>
      <c r="Q163" s="130">
        <v>74.346803797218215</v>
      </c>
      <c r="R163" s="89">
        <v>44.770040312820825</v>
      </c>
      <c r="S163" s="130">
        <v>70.489920263309415</v>
      </c>
      <c r="T163" s="357">
        <v>2.8172663615728952</v>
      </c>
      <c r="U163" s="133">
        <v>2.440823855594954</v>
      </c>
    </row>
    <row r="164" spans="2:21" x14ac:dyDescent="0.2">
      <c r="B164" s="53">
        <v>0</v>
      </c>
      <c r="C164" s="51">
        <v>40</v>
      </c>
      <c r="D164" s="65">
        <v>-41.046898971029627</v>
      </c>
      <c r="E164" s="56">
        <v>-28.367490278661901</v>
      </c>
      <c r="F164" s="65">
        <v>15.560441864642376</v>
      </c>
      <c r="G164" s="56">
        <v>43.549448706076205</v>
      </c>
      <c r="H164" s="56">
        <v>2.1035620879000905</v>
      </c>
      <c r="I164" s="49">
        <v>2.066908317856027</v>
      </c>
      <c r="N164" s="356">
        <v>0.22180000000000002</v>
      </c>
      <c r="O164" s="130">
        <v>40</v>
      </c>
      <c r="P164" s="89">
        <v>-24.012058142458585</v>
      </c>
      <c r="Q164" s="130">
        <v>60.4067780852398</v>
      </c>
      <c r="R164" s="89">
        <v>44.837139942119165</v>
      </c>
      <c r="S164" s="130">
        <v>70.485473414242009</v>
      </c>
      <c r="T164" s="357">
        <v>2.8272641204643274</v>
      </c>
      <c r="U164" s="133">
        <v>2.4447680065868642</v>
      </c>
    </row>
    <row r="165" spans="2:21" x14ac:dyDescent="0.2">
      <c r="B165" s="53">
        <v>0</v>
      </c>
      <c r="C165" s="51">
        <v>60</v>
      </c>
      <c r="D165" s="65">
        <v>-42.857671974971765</v>
      </c>
      <c r="E165" s="56">
        <v>-38.817194904672881</v>
      </c>
      <c r="F165" s="65">
        <v>17.362450615410037</v>
      </c>
      <c r="G165" s="56">
        <v>58.509458325504298</v>
      </c>
      <c r="H165" s="56">
        <v>2.1423905939036123</v>
      </c>
      <c r="I165" s="49">
        <v>2.1355545017595463</v>
      </c>
      <c r="N165" s="356">
        <v>0.22180000000000002</v>
      </c>
      <c r="O165" s="130">
        <v>60</v>
      </c>
      <c r="P165" s="89">
        <v>-27.213665894786395</v>
      </c>
      <c r="Q165" s="130">
        <v>49.370924396590219</v>
      </c>
      <c r="R165" s="89">
        <v>44.850775002266438</v>
      </c>
      <c r="S165" s="130">
        <v>70.491044759879884</v>
      </c>
      <c r="T165" s="357">
        <v>2.8292748164398569</v>
      </c>
      <c r="U165" s="133">
        <v>2.4400188895100925</v>
      </c>
    </row>
    <row r="166" spans="2:21" x14ac:dyDescent="0.2">
      <c r="B166" s="53">
        <v>0</v>
      </c>
      <c r="C166" s="51">
        <v>100</v>
      </c>
      <c r="D166" s="65">
        <v>-44.808757270191357</v>
      </c>
      <c r="E166" s="56">
        <v>-53.583404259891473</v>
      </c>
      <c r="F166" s="65">
        <v>15.360440374980522</v>
      </c>
      <c r="G166" s="56">
        <v>105.66512289228557</v>
      </c>
      <c r="H166" s="56">
        <v>2.1340237643875701</v>
      </c>
      <c r="I166" s="49">
        <v>2.2439364501799033</v>
      </c>
      <c r="N166" s="356">
        <v>0.22180000000000002</v>
      </c>
      <c r="O166" s="130">
        <v>100</v>
      </c>
      <c r="P166" s="89">
        <v>-29.414771224511767</v>
      </c>
      <c r="Q166" s="130">
        <v>34.850064279946039</v>
      </c>
      <c r="R166" s="89">
        <v>44.862357013337864</v>
      </c>
      <c r="S166" s="130">
        <v>70.481487990726961</v>
      </c>
      <c r="T166" s="357">
        <v>2.8309772722356756</v>
      </c>
      <c r="U166" s="133">
        <v>2.4509061603266127</v>
      </c>
    </row>
    <row r="167" spans="2:21" x14ac:dyDescent="0.2">
      <c r="B167" s="53">
        <v>0</v>
      </c>
      <c r="C167" s="51">
        <v>120</v>
      </c>
      <c r="D167" s="65">
        <v>-47.066926016562974</v>
      </c>
      <c r="E167" s="56">
        <v>-58.960883640974984</v>
      </c>
      <c r="F167" s="65">
        <v>15.856506555397178</v>
      </c>
      <c r="G167" s="56">
        <v>129.55551181574657</v>
      </c>
      <c r="H167" s="56">
        <v>2.0984210862222077</v>
      </c>
      <c r="I167" s="49">
        <v>2.2943521896077446</v>
      </c>
      <c r="N167" s="356">
        <v>0.22180000000000002</v>
      </c>
      <c r="O167" s="130">
        <v>120</v>
      </c>
      <c r="P167" s="89">
        <v>-30.015072678073231</v>
      </c>
      <c r="Q167" s="130">
        <v>30.2033890426199</v>
      </c>
      <c r="R167" s="89">
        <v>44.864198584807184</v>
      </c>
      <c r="S167" s="130">
        <v>70.481067305144521</v>
      </c>
      <c r="T167" s="357">
        <v>2.8312475438665552</v>
      </c>
      <c r="U167" s="133">
        <v>2.4521853781841529</v>
      </c>
    </row>
    <row r="168" spans="2:21" x14ac:dyDescent="0.2">
      <c r="B168" s="39"/>
      <c r="C168" s="52"/>
      <c r="D168" s="449"/>
      <c r="E168" s="450"/>
      <c r="F168" s="449"/>
      <c r="G168" s="450"/>
      <c r="H168" s="52"/>
      <c r="I168" s="40"/>
      <c r="N168" s="92"/>
      <c r="O168" s="140"/>
      <c r="P168" s="82"/>
      <c r="Q168" s="140"/>
      <c r="R168" s="82"/>
      <c r="S168" s="140"/>
      <c r="T168" s="82"/>
      <c r="U168" s="140"/>
    </row>
    <row r="169" spans="2:21" x14ac:dyDescent="0.2">
      <c r="B169" s="7"/>
      <c r="C169" s="7"/>
      <c r="D169" s="461"/>
      <c r="E169" s="461"/>
      <c r="F169" s="461"/>
      <c r="G169" s="461"/>
      <c r="H169" s="7"/>
      <c r="I169" s="7"/>
    </row>
    <row r="170" spans="2:21" x14ac:dyDescent="0.2">
      <c r="C170" s="27" t="s">
        <v>406</v>
      </c>
      <c r="D170" s="27"/>
      <c r="E170" s="27"/>
      <c r="F170" s="27"/>
      <c r="G170" s="27"/>
    </row>
    <row r="171" spans="2:21" x14ac:dyDescent="0.2">
      <c r="B171" s="60" t="s">
        <v>396</v>
      </c>
      <c r="C171" s="18"/>
      <c r="D171" s="457"/>
      <c r="E171" s="457"/>
      <c r="F171" s="457"/>
      <c r="G171" s="458"/>
      <c r="H171" s="10"/>
      <c r="I171" s="11"/>
    </row>
    <row r="172" spans="2:21" x14ac:dyDescent="0.2">
      <c r="B172" s="12"/>
      <c r="C172" s="13"/>
      <c r="D172" s="659" t="s">
        <v>19</v>
      </c>
      <c r="E172" s="660"/>
      <c r="F172" s="659" t="s">
        <v>20</v>
      </c>
      <c r="G172" s="660"/>
      <c r="H172" s="645" t="s">
        <v>8</v>
      </c>
      <c r="I172" s="646"/>
    </row>
    <row r="173" spans="2:21" ht="38.25" x14ac:dyDescent="0.2">
      <c r="B173" s="12" t="s">
        <v>351</v>
      </c>
      <c r="C173" s="54" t="s">
        <v>241</v>
      </c>
      <c r="D173" s="453" t="s">
        <v>387</v>
      </c>
      <c r="E173" s="454" t="s">
        <v>388</v>
      </c>
      <c r="F173" s="453" t="s">
        <v>387</v>
      </c>
      <c r="G173" s="454" t="s">
        <v>388</v>
      </c>
      <c r="H173" s="54" t="s">
        <v>158</v>
      </c>
      <c r="I173" s="13" t="s">
        <v>159</v>
      </c>
    </row>
    <row r="174" spans="2:21" x14ac:dyDescent="0.2">
      <c r="B174" s="53">
        <v>0.32</v>
      </c>
      <c r="C174" s="57">
        <v>5</v>
      </c>
      <c r="D174" s="65">
        <v>-73.328992548898796</v>
      </c>
      <c r="E174" s="56">
        <v>28.638092240834947</v>
      </c>
      <c r="F174" s="65">
        <v>17.60807341014884</v>
      </c>
      <c r="G174" s="56">
        <v>101.86798350952411</v>
      </c>
      <c r="H174" s="56">
        <v>2.0849273582829904</v>
      </c>
      <c r="I174" s="49">
        <v>2.3773505092281422</v>
      </c>
    </row>
    <row r="175" spans="2:21" x14ac:dyDescent="0.2">
      <c r="B175" s="53">
        <v>0.32</v>
      </c>
      <c r="C175" s="57">
        <v>10</v>
      </c>
      <c r="D175" s="65">
        <v>-68.50099821371434</v>
      </c>
      <c r="E175" s="56">
        <v>7.2111721146992318</v>
      </c>
      <c r="F175" s="65">
        <v>14.222779147519544</v>
      </c>
      <c r="G175" s="56">
        <v>51.850984490664409</v>
      </c>
      <c r="H175" s="56">
        <v>2.1552604838079348</v>
      </c>
      <c r="I175" s="49">
        <v>2.2848158973299246</v>
      </c>
    </row>
    <row r="176" spans="2:21" x14ac:dyDescent="0.2">
      <c r="B176" s="53">
        <v>0.32</v>
      </c>
      <c r="C176" s="57">
        <v>20</v>
      </c>
      <c r="D176" s="65">
        <v>-64.498953385431221</v>
      </c>
      <c r="E176" s="56">
        <v>-17.55127920409214</v>
      </c>
      <c r="F176" s="65">
        <v>17.881256249807972</v>
      </c>
      <c r="G176" s="56">
        <v>24.259867166682074</v>
      </c>
      <c r="H176" s="56">
        <v>2.0765103300135226</v>
      </c>
      <c r="I176" s="49">
        <v>2.0677962804527179</v>
      </c>
    </row>
    <row r="177" spans="2:9" x14ac:dyDescent="0.2">
      <c r="B177" s="53">
        <v>0.32</v>
      </c>
      <c r="C177" s="57">
        <v>40</v>
      </c>
      <c r="D177" s="65">
        <v>-64.324430109506508</v>
      </c>
      <c r="E177" s="56">
        <v>-44.041563111662683</v>
      </c>
      <c r="F177" s="65">
        <v>16.1749329230543</v>
      </c>
      <c r="G177" s="56">
        <v>81.202181473720529</v>
      </c>
      <c r="H177" s="56">
        <v>2.0919711610640963</v>
      </c>
      <c r="I177" s="49">
        <v>2.2013703882906532</v>
      </c>
    </row>
    <row r="178" spans="2:9" x14ac:dyDescent="0.2">
      <c r="B178" s="53">
        <v>0.32</v>
      </c>
      <c r="C178" s="51">
        <v>60</v>
      </c>
      <c r="D178" s="65">
        <v>-66.748852673993511</v>
      </c>
      <c r="E178" s="56">
        <v>-59.09022873121782</v>
      </c>
      <c r="F178" s="65">
        <v>13.937482673135417</v>
      </c>
      <c r="G178" s="56">
        <v>105.11755983712195</v>
      </c>
      <c r="H178" s="56">
        <v>2.1604806548197932</v>
      </c>
      <c r="I178" s="49">
        <v>2.2635852856692824</v>
      </c>
    </row>
    <row r="179" spans="2:9" x14ac:dyDescent="0.2">
      <c r="B179" s="53">
        <v>0.32</v>
      </c>
      <c r="C179" s="51">
        <v>100</v>
      </c>
      <c r="D179" s="65">
        <v>-72.040855108163129</v>
      </c>
      <c r="E179" s="56">
        <v>-79.363875315852852</v>
      </c>
      <c r="F179" s="65">
        <v>16.80319541355891</v>
      </c>
      <c r="G179" s="56">
        <v>155.49718813568853</v>
      </c>
      <c r="H179" s="56">
        <v>2.1361717420928299</v>
      </c>
      <c r="I179" s="49">
        <v>2.3017568929291934</v>
      </c>
    </row>
    <row r="180" spans="2:9" x14ac:dyDescent="0.2">
      <c r="B180" s="53">
        <v>0.32</v>
      </c>
      <c r="C180" s="51">
        <v>120</v>
      </c>
      <c r="D180" s="65">
        <v>-74.825246020673816</v>
      </c>
      <c r="E180" s="56">
        <v>-88.0665178223922</v>
      </c>
      <c r="F180" s="65">
        <v>16.138494656835455</v>
      </c>
      <c r="G180" s="56">
        <v>180.35399831039592</v>
      </c>
      <c r="H180" s="56">
        <v>2.0939633744289106</v>
      </c>
      <c r="I180" s="49">
        <v>2.3248367203297957</v>
      </c>
    </row>
    <row r="181" spans="2:9" x14ac:dyDescent="0.2">
      <c r="B181" s="119"/>
      <c r="C181" s="113"/>
      <c r="D181" s="459"/>
      <c r="E181" s="116"/>
      <c r="F181" s="448"/>
      <c r="G181" s="116"/>
      <c r="H181" s="116"/>
      <c r="I181" s="117"/>
    </row>
    <row r="182" spans="2:9" x14ac:dyDescent="0.2">
      <c r="B182" s="53">
        <v>0</v>
      </c>
      <c r="C182" s="51">
        <v>5</v>
      </c>
      <c r="D182" s="65">
        <v>-60.786718628813176</v>
      </c>
      <c r="E182" s="56">
        <v>6.5638446657412208</v>
      </c>
      <c r="F182" s="65">
        <v>17.645664423618211</v>
      </c>
      <c r="G182" s="56">
        <v>101.51549061774554</v>
      </c>
      <c r="H182" s="56">
        <v>2.0835866752502459</v>
      </c>
      <c r="I182" s="49">
        <v>2.4282549319604505</v>
      </c>
    </row>
    <row r="183" spans="2:9" x14ac:dyDescent="0.2">
      <c r="B183" s="53">
        <v>0</v>
      </c>
      <c r="C183" s="51">
        <v>10</v>
      </c>
      <c r="D183" s="65">
        <v>-54.930828325967944</v>
      </c>
      <c r="E183" s="56">
        <v>-12.21031168075791</v>
      </c>
      <c r="F183" s="65">
        <v>14.25719445831486</v>
      </c>
      <c r="G183" s="56">
        <v>51.790667753899903</v>
      </c>
      <c r="H183" s="56">
        <v>2.1522578046014669</v>
      </c>
      <c r="I183" s="49">
        <v>2.2882258696322393</v>
      </c>
    </row>
    <row r="184" spans="2:9" x14ac:dyDescent="0.2">
      <c r="B184" s="53">
        <v>0</v>
      </c>
      <c r="C184" s="51">
        <v>20</v>
      </c>
      <c r="D184" s="65">
        <v>-49.874431702339059</v>
      </c>
      <c r="E184" s="56">
        <v>-32.319349157093562</v>
      </c>
      <c r="F184" s="65">
        <v>17.882330529529085</v>
      </c>
      <c r="G184" s="56">
        <v>30.001061956460742</v>
      </c>
      <c r="H184" s="56">
        <v>2.0764723050612015</v>
      </c>
      <c r="I184" s="49">
        <v>2.1229077893623112</v>
      </c>
    </row>
    <row r="185" spans="2:9" x14ac:dyDescent="0.2">
      <c r="B185" s="53">
        <v>0</v>
      </c>
      <c r="C185" s="51">
        <v>40</v>
      </c>
      <c r="D185" s="65">
        <v>-48.827415700497291</v>
      </c>
      <c r="E185" s="56">
        <v>-53.55866380523802</v>
      </c>
      <c r="F185" s="65">
        <v>16.16508946001936</v>
      </c>
      <c r="G185" s="56">
        <v>83.089904057198112</v>
      </c>
      <c r="H185" s="56">
        <v>2.0924219921735809</v>
      </c>
      <c r="I185" s="49">
        <v>2.1814929592697374</v>
      </c>
    </row>
    <row r="186" spans="2:9" x14ac:dyDescent="0.2">
      <c r="B186" s="53">
        <v>0</v>
      </c>
      <c r="C186" s="51">
        <v>60</v>
      </c>
      <c r="D186" s="65">
        <v>-50.802325447127529</v>
      </c>
      <c r="E186" s="56">
        <v>-66.851386990754307</v>
      </c>
      <c r="F186" s="65">
        <v>13.952664980104506</v>
      </c>
      <c r="G186" s="56">
        <v>106.49293969376946</v>
      </c>
      <c r="H186" s="56">
        <v>2.1591330653131897</v>
      </c>
      <c r="I186" s="49">
        <v>2.2447176792278554</v>
      </c>
    </row>
    <row r="187" spans="2:9" x14ac:dyDescent="0.2">
      <c r="B187" s="53">
        <v>0</v>
      </c>
      <c r="C187" s="51">
        <v>100</v>
      </c>
      <c r="D187" s="65">
        <v>-56.422605653052685</v>
      </c>
      <c r="E187" s="56">
        <v>-85.386288119259277</v>
      </c>
      <c r="F187" s="65">
        <v>16.789728478295082</v>
      </c>
      <c r="G187" s="56">
        <v>156.30065500240499</v>
      </c>
      <c r="H187" s="56">
        <v>2.1370882807458167</v>
      </c>
      <c r="I187" s="49">
        <v>2.2893591025155642</v>
      </c>
    </row>
    <row r="188" spans="2:9" x14ac:dyDescent="0.2">
      <c r="B188" s="53">
        <v>0</v>
      </c>
      <c r="C188" s="51">
        <v>120</v>
      </c>
      <c r="D188" s="65">
        <v>-58.585476593781685</v>
      </c>
      <c r="E188" s="56">
        <v>-93.506135881719729</v>
      </c>
      <c r="F188" s="65">
        <v>16.135038210960687</v>
      </c>
      <c r="G188" s="56">
        <v>180.97300475403276</v>
      </c>
      <c r="H188" s="56">
        <v>2.0941262878089275</v>
      </c>
      <c r="I188" s="49">
        <v>2.314235304755333</v>
      </c>
    </row>
    <row r="189" spans="2:9" x14ac:dyDescent="0.2">
      <c r="B189" s="39"/>
      <c r="C189" s="52"/>
      <c r="D189" s="449"/>
      <c r="E189" s="450"/>
      <c r="F189" s="449"/>
      <c r="G189" s="450"/>
      <c r="H189" s="52"/>
      <c r="I189" s="40"/>
    </row>
    <row r="234" spans="14:21" x14ac:dyDescent="0.2">
      <c r="N234" s="68"/>
      <c r="O234" s="68"/>
      <c r="P234" s="68"/>
      <c r="Q234" s="68"/>
      <c r="R234" s="68"/>
      <c r="S234" s="68"/>
      <c r="T234" s="68"/>
      <c r="U234" s="68"/>
    </row>
  </sheetData>
  <sheetProtection sheet="1" objects="1" scenarios="1"/>
  <mergeCells count="45">
    <mergeCell ref="F109:G109"/>
    <mergeCell ref="H109:I109"/>
    <mergeCell ref="D67:E67"/>
    <mergeCell ref="F67:G67"/>
    <mergeCell ref="F25:G25"/>
    <mergeCell ref="H25:I25"/>
    <mergeCell ref="H67:I67"/>
    <mergeCell ref="D88:E88"/>
    <mergeCell ref="F88:G88"/>
    <mergeCell ref="H88:I88"/>
    <mergeCell ref="D109:E109"/>
    <mergeCell ref="D46:E46"/>
    <mergeCell ref="D172:E172"/>
    <mergeCell ref="F172:G172"/>
    <mergeCell ref="H172:I172"/>
    <mergeCell ref="D130:E130"/>
    <mergeCell ref="F130:G130"/>
    <mergeCell ref="H130:I130"/>
    <mergeCell ref="D151:E151"/>
    <mergeCell ref="F151:G151"/>
    <mergeCell ref="H151:I151"/>
    <mergeCell ref="P151:Q151"/>
    <mergeCell ref="R151:S151"/>
    <mergeCell ref="T151:U151"/>
    <mergeCell ref="P109:Q109"/>
    <mergeCell ref="R109:S109"/>
    <mergeCell ref="T109:U109"/>
    <mergeCell ref="P130:Q130"/>
    <mergeCell ref="R130:S130"/>
    <mergeCell ref="T130:U130"/>
    <mergeCell ref="AF46:AG46"/>
    <mergeCell ref="AH46:AI46"/>
    <mergeCell ref="F46:G46"/>
    <mergeCell ref="H46:I46"/>
    <mergeCell ref="AD4:AE4"/>
    <mergeCell ref="AF4:AG4"/>
    <mergeCell ref="AH4:AI4"/>
    <mergeCell ref="AD25:AE25"/>
    <mergeCell ref="AF25:AG25"/>
    <mergeCell ref="AH25:AI25"/>
    <mergeCell ref="D4:E4"/>
    <mergeCell ref="F4:G4"/>
    <mergeCell ref="H4:I4"/>
    <mergeCell ref="D25:E25"/>
    <mergeCell ref="AD46:AE46"/>
  </mergeCells>
  <phoneticPr fontId="0" type="noConversion"/>
  <pageMargins left="0.75" right="0.75" top="1" bottom="1" header="0.5" footer="0.5"/>
  <pageSetup paperSize="8" scale="4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M144"/>
  <sheetViews>
    <sheetView topLeftCell="A37" workbookViewId="0">
      <selection activeCell="K40" sqref="K40"/>
    </sheetView>
  </sheetViews>
  <sheetFormatPr defaultRowHeight="12.75" x14ac:dyDescent="0.2"/>
  <cols>
    <col min="2" max="3" width="11.140625" customWidth="1"/>
    <col min="4" max="4" width="11.28515625" customWidth="1"/>
    <col min="5" max="5" width="15.5703125" customWidth="1"/>
    <col min="6" max="6" width="13.5703125" customWidth="1"/>
    <col min="7" max="7" width="13.85546875" customWidth="1"/>
    <col min="8" max="8" width="11.7109375" customWidth="1"/>
    <col min="9" max="9" width="12.42578125" bestFit="1" customWidth="1"/>
    <col min="10" max="10" width="10.5703125" bestFit="1" customWidth="1"/>
    <col min="11" max="11" width="9.5703125" bestFit="1" customWidth="1"/>
    <col min="13" max="13" width="10.42578125" customWidth="1"/>
    <col min="14" max="14" width="10.85546875" customWidth="1"/>
    <col min="15" max="15" width="16.42578125" customWidth="1"/>
    <col min="16" max="16" width="15.5703125" customWidth="1"/>
    <col min="17" max="17" width="12.7109375" customWidth="1"/>
    <col min="18" max="18" width="12.5703125" customWidth="1"/>
  </cols>
  <sheetData>
    <row r="2" spans="2:39" ht="13.5" thickBot="1" x14ac:dyDescent="0.25">
      <c r="B2" s="409"/>
      <c r="C2" s="447" t="s">
        <v>279</v>
      </c>
      <c r="D2" s="410" t="s">
        <v>530</v>
      </c>
      <c r="E2" s="409"/>
      <c r="F2" s="409"/>
      <c r="G2" s="409"/>
      <c r="H2" s="409"/>
      <c r="I2" s="409"/>
      <c r="L2" s="409"/>
      <c r="M2" s="250"/>
      <c r="N2" s="343" t="s">
        <v>279</v>
      </c>
      <c r="O2" s="342" t="s">
        <v>278</v>
      </c>
      <c r="P2" s="250"/>
      <c r="Q2" s="250"/>
      <c r="R2" s="250"/>
      <c r="S2" s="250"/>
      <c r="T2" s="250"/>
      <c r="U2" s="250"/>
      <c r="V2" s="250"/>
      <c r="W2" s="250"/>
    </row>
    <row r="3" spans="2:39" x14ac:dyDescent="0.2">
      <c r="B3" s="409"/>
      <c r="C3" s="409"/>
      <c r="D3" s="409"/>
      <c r="E3" s="409"/>
      <c r="F3" s="409"/>
      <c r="G3" s="409"/>
      <c r="H3" s="409"/>
      <c r="I3" s="409"/>
      <c r="L3" s="409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46" t="s">
        <v>183</v>
      </c>
      <c r="Y3" s="247"/>
      <c r="Z3" s="247"/>
      <c r="AA3" s="248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2"/>
    </row>
    <row r="4" spans="2:39" ht="15" customHeight="1" x14ac:dyDescent="0.2">
      <c r="B4" s="661" t="s">
        <v>513</v>
      </c>
      <c r="C4" s="662"/>
      <c r="D4" s="662"/>
      <c r="E4" s="662"/>
      <c r="F4" s="662"/>
      <c r="G4" s="662"/>
      <c r="H4" s="663"/>
      <c r="M4" s="291" t="s">
        <v>269</v>
      </c>
      <c r="N4" s="292"/>
      <c r="O4" s="292"/>
      <c r="P4" s="293"/>
      <c r="Q4" s="250"/>
      <c r="R4" s="250"/>
      <c r="S4" s="250"/>
      <c r="T4" s="250"/>
      <c r="U4" s="250"/>
      <c r="V4" s="250"/>
      <c r="W4" s="250"/>
      <c r="X4" s="231" t="s">
        <v>184</v>
      </c>
      <c r="Y4" s="188" t="s">
        <v>185</v>
      </c>
      <c r="Z4" s="188" t="s">
        <v>150</v>
      </c>
      <c r="AA4" s="189" t="s">
        <v>186</v>
      </c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7"/>
    </row>
    <row r="5" spans="2:39" ht="15.75" x14ac:dyDescent="0.25">
      <c r="B5" s="540" t="s">
        <v>184</v>
      </c>
      <c r="C5" s="664" t="s">
        <v>514</v>
      </c>
      <c r="D5" s="665"/>
      <c r="E5" s="666" t="s">
        <v>20</v>
      </c>
      <c r="F5" s="663"/>
      <c r="G5" s="667" t="s">
        <v>8</v>
      </c>
      <c r="H5" s="668"/>
      <c r="M5" s="294" t="s">
        <v>184</v>
      </c>
      <c r="N5" s="295" t="s">
        <v>185</v>
      </c>
      <c r="O5" s="295" t="s">
        <v>150</v>
      </c>
      <c r="P5" s="296" t="s">
        <v>186</v>
      </c>
      <c r="Q5" s="250"/>
      <c r="R5" s="250"/>
      <c r="S5" s="250"/>
      <c r="T5" s="250"/>
      <c r="U5" s="250"/>
      <c r="V5" s="250"/>
      <c r="W5" s="250"/>
      <c r="X5" s="232" t="s">
        <v>187</v>
      </c>
      <c r="Y5" s="191" t="s">
        <v>187</v>
      </c>
      <c r="Z5" s="191" t="s">
        <v>188</v>
      </c>
      <c r="AA5" s="192" t="s">
        <v>189</v>
      </c>
      <c r="AB5" s="184"/>
      <c r="AC5" s="184"/>
      <c r="AD5" s="185" t="s">
        <v>228</v>
      </c>
      <c r="AE5" s="186" t="s">
        <v>229</v>
      </c>
      <c r="AF5" s="184"/>
      <c r="AG5" s="184"/>
      <c r="AH5" s="184"/>
      <c r="AI5" s="184"/>
      <c r="AJ5" s="184"/>
      <c r="AK5" s="184"/>
      <c r="AL5" s="184"/>
      <c r="AM5" s="187"/>
    </row>
    <row r="6" spans="2:39" x14ac:dyDescent="0.2">
      <c r="B6" s="541" t="s">
        <v>187</v>
      </c>
      <c r="C6" s="540" t="s">
        <v>187</v>
      </c>
      <c r="D6" s="540" t="s">
        <v>209</v>
      </c>
      <c r="E6" s="540" t="s">
        <v>187</v>
      </c>
      <c r="F6" s="540" t="s">
        <v>209</v>
      </c>
      <c r="G6" s="542" t="s">
        <v>187</v>
      </c>
      <c r="H6" s="541" t="s">
        <v>209</v>
      </c>
      <c r="I6" s="6"/>
      <c r="J6" s="543"/>
      <c r="M6" s="297" t="s">
        <v>187</v>
      </c>
      <c r="N6" s="298" t="s">
        <v>187</v>
      </c>
      <c r="O6" s="298" t="s">
        <v>188</v>
      </c>
      <c r="P6" s="299" t="s">
        <v>189</v>
      </c>
      <c r="Q6" s="250"/>
      <c r="R6" s="250"/>
      <c r="S6" s="250"/>
      <c r="T6" s="250"/>
      <c r="U6" s="250"/>
      <c r="V6" s="250"/>
      <c r="W6" s="250"/>
      <c r="X6" s="233" t="s">
        <v>190</v>
      </c>
      <c r="Y6" s="193" t="s">
        <v>191</v>
      </c>
      <c r="Z6" s="193" t="s">
        <v>192</v>
      </c>
      <c r="AA6" s="194" t="s">
        <v>191</v>
      </c>
      <c r="AB6" s="184"/>
      <c r="AC6" s="184"/>
      <c r="AD6" s="184"/>
      <c r="AE6" s="184"/>
      <c r="AF6" s="184"/>
      <c r="AG6" s="184"/>
      <c r="AH6" s="184"/>
      <c r="AI6" s="184"/>
      <c r="AJ6" s="184"/>
      <c r="AK6" s="184"/>
      <c r="AL6" s="184"/>
      <c r="AM6" s="187"/>
    </row>
    <row r="7" spans="2:39" x14ac:dyDescent="0.2">
      <c r="B7" s="544" t="s">
        <v>516</v>
      </c>
      <c r="C7" s="545" t="s">
        <v>516</v>
      </c>
      <c r="D7" s="545" t="s">
        <v>192</v>
      </c>
      <c r="E7" s="545" t="s">
        <v>516</v>
      </c>
      <c r="F7" s="545" t="s">
        <v>192</v>
      </c>
      <c r="G7" s="46"/>
      <c r="H7" s="546"/>
      <c r="J7" s="46"/>
      <c r="M7" s="301" t="s">
        <v>190</v>
      </c>
      <c r="N7" s="302" t="s">
        <v>191</v>
      </c>
      <c r="O7" s="302" t="s">
        <v>192</v>
      </c>
      <c r="P7" s="303" t="s">
        <v>191</v>
      </c>
      <c r="Q7" s="342" t="s">
        <v>310</v>
      </c>
      <c r="R7" s="377"/>
      <c r="S7" s="250"/>
      <c r="T7" s="250"/>
      <c r="U7" s="250"/>
      <c r="V7" s="250"/>
      <c r="W7" s="250"/>
      <c r="X7" s="231">
        <v>0.01</v>
      </c>
      <c r="Y7" s="188">
        <v>9.9900000000000006E-3</v>
      </c>
      <c r="Z7" s="195">
        <v>0.31447373909807741</v>
      </c>
      <c r="AA7" s="196">
        <v>9.9900000000000006E-3</v>
      </c>
      <c r="AB7" s="184"/>
      <c r="AC7" s="184"/>
      <c r="AD7" s="184"/>
      <c r="AE7" s="184"/>
      <c r="AF7" s="184"/>
      <c r="AG7" s="184"/>
      <c r="AH7" s="184"/>
      <c r="AI7" s="184"/>
      <c r="AJ7" s="184"/>
      <c r="AK7" s="184"/>
      <c r="AL7" s="184"/>
      <c r="AM7" s="187"/>
    </row>
    <row r="8" spans="2:39" x14ac:dyDescent="0.2">
      <c r="B8" s="547">
        <v>0.01</v>
      </c>
      <c r="C8" s="548">
        <v>1.0000779078616276E-2</v>
      </c>
      <c r="D8" s="549">
        <v>0.18848048077692545</v>
      </c>
      <c r="E8" s="550">
        <v>1.29E-5</v>
      </c>
      <c r="F8" s="551">
        <v>3.7696880147707522E-2</v>
      </c>
      <c r="G8" s="552">
        <v>2.2328266402206891</v>
      </c>
      <c r="H8" s="553">
        <v>2.3854240977783054</v>
      </c>
      <c r="J8" s="4"/>
      <c r="M8" s="294">
        <v>0.01</v>
      </c>
      <c r="N8" s="295">
        <v>9.9881999999999992E-3</v>
      </c>
      <c r="O8" s="304">
        <v>9.4359123373274262E-2</v>
      </c>
      <c r="P8" s="305">
        <v>9.9900000000000006E-3</v>
      </c>
      <c r="Q8" s="321">
        <v>0.11813940449731941</v>
      </c>
      <c r="R8" s="378"/>
      <c r="S8" s="250"/>
      <c r="T8" s="250"/>
      <c r="U8" s="250"/>
      <c r="V8" s="250"/>
      <c r="W8" s="250"/>
      <c r="X8" s="232">
        <v>0.05</v>
      </c>
      <c r="Y8" s="191">
        <v>4.9959999999999997E-2</v>
      </c>
      <c r="Z8" s="197">
        <v>7.5458590558601921E-2</v>
      </c>
      <c r="AA8" s="198">
        <v>4.9970000000000001E-2</v>
      </c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7"/>
    </row>
    <row r="9" spans="2:39" x14ac:dyDescent="0.2">
      <c r="B9" s="554">
        <v>0.05</v>
      </c>
      <c r="C9" s="555">
        <v>4.9976393800647029E-2</v>
      </c>
      <c r="D9" s="556">
        <v>8.8006837582553815E-2</v>
      </c>
      <c r="E9" s="557">
        <v>2.9E-5</v>
      </c>
      <c r="F9" s="558">
        <v>7.5436160840423238E-3</v>
      </c>
      <c r="G9" s="559">
        <v>2.1122559604175866</v>
      </c>
      <c r="H9" s="553">
        <v>2.3831753531187427</v>
      </c>
      <c r="J9" s="4"/>
      <c r="M9" s="297">
        <v>0.05</v>
      </c>
      <c r="N9" s="298">
        <v>4.9962600000000003E-2</v>
      </c>
      <c r="O9" s="306">
        <v>7.8598608098602585E-2</v>
      </c>
      <c r="P9" s="307">
        <v>4.9970000000000001E-2</v>
      </c>
      <c r="Q9" s="321">
        <v>7.4855992282230055E-2</v>
      </c>
      <c r="R9" s="378"/>
      <c r="S9" s="250"/>
      <c r="T9" s="250"/>
      <c r="U9" s="250"/>
      <c r="V9" s="250"/>
      <c r="W9" s="250"/>
      <c r="X9" s="232">
        <v>0.1</v>
      </c>
      <c r="Y9" s="199">
        <v>9.9998000000000004E-2</v>
      </c>
      <c r="Z9" s="197">
        <v>0.1288078749546806</v>
      </c>
      <c r="AA9" s="200">
        <v>0.1</v>
      </c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7"/>
    </row>
    <row r="10" spans="2:39" x14ac:dyDescent="0.2">
      <c r="B10" s="554">
        <v>0.1</v>
      </c>
      <c r="C10" s="555">
        <v>0.1000119910293709</v>
      </c>
      <c r="D10" s="560">
        <v>8.167160840032657E-2</v>
      </c>
      <c r="E10" s="557">
        <v>5.5000000000000002E-5</v>
      </c>
      <c r="F10" s="561">
        <v>3.7697264201927605E-3</v>
      </c>
      <c r="G10" s="559">
        <v>2.1445652594650402</v>
      </c>
      <c r="H10" s="553">
        <v>2.3762737170180341</v>
      </c>
      <c r="J10" s="4"/>
      <c r="M10" s="297">
        <v>0.1</v>
      </c>
      <c r="N10" s="308">
        <v>9.9998100000000006E-2</v>
      </c>
      <c r="O10" s="306">
        <v>8.168296096959303E-2</v>
      </c>
      <c r="P10" s="309">
        <v>0.1</v>
      </c>
      <c r="Q10" s="321">
        <v>1.9000361006771271E-3</v>
      </c>
      <c r="R10" s="378"/>
      <c r="S10" s="250"/>
      <c r="T10" s="250"/>
      <c r="U10" s="250"/>
      <c r="V10" s="250"/>
      <c r="W10" s="250"/>
      <c r="X10" s="232">
        <v>0.5</v>
      </c>
      <c r="Y10" s="199">
        <v>0.50002999999999997</v>
      </c>
      <c r="Z10" s="197">
        <v>0.10052493341886826</v>
      </c>
      <c r="AA10" s="200">
        <v>0.50009999999999999</v>
      </c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7"/>
    </row>
    <row r="11" spans="2:39" x14ac:dyDescent="0.2">
      <c r="B11" s="554">
        <v>0.5</v>
      </c>
      <c r="C11" s="562">
        <v>0.50005875507736652</v>
      </c>
      <c r="D11" s="560">
        <v>0.11057079291121134</v>
      </c>
      <c r="E11" s="557">
        <v>2.7E-4</v>
      </c>
      <c r="F11" s="561">
        <v>8.1889521852167324E-4</v>
      </c>
      <c r="G11" s="559">
        <v>2.1605486943159598</v>
      </c>
      <c r="H11" s="553">
        <v>2.2315688977282355</v>
      </c>
      <c r="J11" s="4"/>
      <c r="M11" s="297">
        <v>0.5</v>
      </c>
      <c r="N11" s="308">
        <v>0.50002380000000002</v>
      </c>
      <c r="O11" s="306">
        <v>0.10995050923140336</v>
      </c>
      <c r="P11" s="309">
        <v>0.50009999999999999</v>
      </c>
      <c r="Q11" s="321">
        <v>-4.7597734347926135E-3</v>
      </c>
      <c r="R11" s="378"/>
      <c r="S11" s="250"/>
      <c r="T11" s="250"/>
      <c r="U11" s="250"/>
      <c r="V11" s="250"/>
      <c r="W11" s="250"/>
      <c r="X11" s="232">
        <v>1</v>
      </c>
      <c r="Y11" s="201">
        <v>0.99895999999999996</v>
      </c>
      <c r="Z11" s="197">
        <v>5.3462676294372631E-2</v>
      </c>
      <c r="AA11" s="202">
        <v>0.999</v>
      </c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7"/>
    </row>
    <row r="12" spans="2:39" x14ac:dyDescent="0.2">
      <c r="B12" s="554">
        <v>1</v>
      </c>
      <c r="C12" s="563">
        <v>0.99901284619098829</v>
      </c>
      <c r="D12" s="563">
        <v>7.0126941847481375E-2</v>
      </c>
      <c r="E12" s="557">
        <v>5.4000000000000001E-4</v>
      </c>
      <c r="F12" s="564">
        <v>4.7322649362944606E-4</v>
      </c>
      <c r="G12" s="559">
        <v>2.1611063166962969</v>
      </c>
      <c r="H12" s="553">
        <v>2.1076111026407007</v>
      </c>
      <c r="J12" s="4"/>
      <c r="M12" s="297">
        <v>1</v>
      </c>
      <c r="N12" s="310">
        <v>0.998942</v>
      </c>
      <c r="O12" s="306">
        <v>7.0760699525868706E-2</v>
      </c>
      <c r="P12" s="311">
        <v>0.999</v>
      </c>
      <c r="Q12" s="321">
        <v>0.10591205495413814</v>
      </c>
      <c r="R12" s="378"/>
      <c r="S12" s="250"/>
      <c r="T12" s="250"/>
      <c r="U12" s="250"/>
      <c r="V12" s="250"/>
      <c r="W12" s="250"/>
      <c r="X12" s="232">
        <v>5</v>
      </c>
      <c r="Y12" s="201">
        <v>4.9984000000000002</v>
      </c>
      <c r="Z12" s="203">
        <v>7.5422358840984138E-2</v>
      </c>
      <c r="AA12" s="201">
        <v>4.9989999999999997</v>
      </c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7"/>
    </row>
    <row r="13" spans="2:39" x14ac:dyDescent="0.2">
      <c r="B13" s="554">
        <v>5</v>
      </c>
      <c r="C13" s="560">
        <v>4.9985364320070156</v>
      </c>
      <c r="D13" s="560">
        <v>7.5420849941137375E-2</v>
      </c>
      <c r="E13" s="557">
        <v>2.7000000000000001E-3</v>
      </c>
      <c r="F13" s="561">
        <v>8.1807423512607954E-4</v>
      </c>
      <c r="G13" s="565">
        <v>2.1605481129214357</v>
      </c>
      <c r="H13" s="553">
        <v>2.2316469372767593</v>
      </c>
      <c r="J13" s="4"/>
      <c r="M13" s="297">
        <v>5</v>
      </c>
      <c r="N13" s="310">
        <v>4.9982759999999997</v>
      </c>
      <c r="O13" s="312">
        <v>7.3538624211629322E-2</v>
      </c>
      <c r="P13" s="310">
        <v>4.9989999999999997</v>
      </c>
      <c r="Q13" s="321">
        <v>3.4491892804644486E-2</v>
      </c>
      <c r="R13" s="378"/>
      <c r="S13" s="250"/>
      <c r="T13" s="250"/>
      <c r="U13" s="250"/>
      <c r="V13" s="250"/>
      <c r="W13" s="250"/>
      <c r="X13" s="233"/>
      <c r="Y13" s="204"/>
      <c r="Z13" s="205"/>
      <c r="AA13" s="206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7"/>
    </row>
    <row r="14" spans="2:39" x14ac:dyDescent="0.2">
      <c r="B14" s="544"/>
      <c r="C14" s="566"/>
      <c r="D14" s="567"/>
      <c r="E14" s="568"/>
      <c r="F14" s="569"/>
      <c r="G14" s="570"/>
      <c r="H14" s="568"/>
      <c r="J14" s="571"/>
      <c r="M14" s="301"/>
      <c r="N14" s="313"/>
      <c r="O14" s="314"/>
      <c r="P14" s="315"/>
      <c r="Q14" s="250" t="s">
        <v>311</v>
      </c>
      <c r="R14" s="250"/>
      <c r="S14" s="250"/>
      <c r="T14" s="250"/>
      <c r="U14" s="250"/>
      <c r="V14" s="250"/>
      <c r="W14" s="250"/>
      <c r="X14" s="183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7"/>
    </row>
    <row r="15" spans="2:39" ht="14.25" x14ac:dyDescent="0.2">
      <c r="B15" s="572"/>
      <c r="C15" s="572"/>
      <c r="D15" s="572"/>
      <c r="E15" s="572"/>
      <c r="F15" s="572"/>
      <c r="G15" s="572"/>
      <c r="H15" s="573"/>
      <c r="M15" s="250"/>
      <c r="N15" s="250"/>
      <c r="O15" s="250"/>
      <c r="P15" s="250"/>
      <c r="Q15" s="250" t="s">
        <v>307</v>
      </c>
      <c r="R15" s="250"/>
      <c r="S15" s="250"/>
      <c r="T15" s="250"/>
      <c r="U15" s="250"/>
      <c r="V15" s="250"/>
      <c r="W15" s="250"/>
      <c r="X15" s="183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7"/>
    </row>
    <row r="16" spans="2:39" ht="14.25" x14ac:dyDescent="0.2">
      <c r="B16" s="572"/>
      <c r="C16" s="572"/>
      <c r="D16" s="572"/>
      <c r="E16" s="572"/>
      <c r="F16" s="572"/>
      <c r="G16" s="572"/>
      <c r="H16" s="573"/>
      <c r="M16" s="250"/>
      <c r="N16" s="250"/>
      <c r="O16" s="250"/>
      <c r="P16" s="250"/>
      <c r="Q16" s="250"/>
      <c r="R16" s="250"/>
      <c r="S16" s="250"/>
      <c r="T16" s="250"/>
      <c r="U16" s="250"/>
      <c r="V16" s="250"/>
      <c r="W16" s="250"/>
      <c r="X16" s="234" t="s">
        <v>236</v>
      </c>
      <c r="Y16" s="216"/>
      <c r="Z16" s="226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7"/>
    </row>
    <row r="17" spans="2:39" ht="25.9" customHeight="1" x14ac:dyDescent="0.2">
      <c r="B17" s="669" t="s">
        <v>517</v>
      </c>
      <c r="C17" s="670"/>
      <c r="D17" s="670"/>
      <c r="E17" s="663"/>
      <c r="F17" s="572"/>
      <c r="G17" s="572"/>
      <c r="H17" s="573"/>
      <c r="J17" s="573"/>
      <c r="K17" s="573"/>
      <c r="M17" s="671" t="s">
        <v>270</v>
      </c>
      <c r="N17" s="672"/>
      <c r="O17" s="673"/>
      <c r="P17" s="250"/>
      <c r="Q17" s="250"/>
      <c r="R17" s="250"/>
      <c r="S17" s="250"/>
      <c r="T17" s="250"/>
      <c r="U17" s="250"/>
      <c r="V17" s="250"/>
      <c r="W17" s="250"/>
      <c r="X17" s="231" t="s">
        <v>193</v>
      </c>
      <c r="Y17" s="188" t="s">
        <v>194</v>
      </c>
      <c r="Z17" s="189" t="s">
        <v>195</v>
      </c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  <c r="AL17" s="184"/>
      <c r="AM17" s="187"/>
    </row>
    <row r="18" spans="2:39" ht="14.25" x14ac:dyDescent="0.2">
      <c r="B18" s="547" t="s">
        <v>193</v>
      </c>
      <c r="C18" s="540" t="s">
        <v>194</v>
      </c>
      <c r="D18" s="574" t="s">
        <v>518</v>
      </c>
      <c r="E18" s="540" t="s">
        <v>519</v>
      </c>
      <c r="F18" s="572"/>
      <c r="G18" s="572"/>
      <c r="H18" s="573"/>
      <c r="M18" s="294" t="s">
        <v>193</v>
      </c>
      <c r="N18" s="295" t="s">
        <v>194</v>
      </c>
      <c r="O18" s="296" t="s">
        <v>195</v>
      </c>
      <c r="P18" s="250"/>
      <c r="Q18" s="250"/>
      <c r="R18" s="250"/>
      <c r="S18" s="250"/>
      <c r="T18" s="250"/>
      <c r="U18" s="250"/>
      <c r="V18" s="250"/>
      <c r="W18" s="250"/>
      <c r="X18" s="232" t="s">
        <v>196</v>
      </c>
      <c r="Y18" s="191"/>
      <c r="Z18" s="192" t="s">
        <v>197</v>
      </c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  <c r="AL18" s="184"/>
      <c r="AM18" s="187"/>
    </row>
    <row r="19" spans="2:39" ht="14.25" x14ac:dyDescent="0.2">
      <c r="B19" s="554" t="s">
        <v>196</v>
      </c>
      <c r="C19" s="541"/>
      <c r="D19" s="542" t="s">
        <v>520</v>
      </c>
      <c r="E19" s="541" t="s">
        <v>521</v>
      </c>
      <c r="F19" s="572"/>
      <c r="G19" s="572"/>
      <c r="H19" s="573"/>
      <c r="I19" s="618" t="s">
        <v>532</v>
      </c>
      <c r="M19" s="297" t="s">
        <v>196</v>
      </c>
      <c r="N19" s="298"/>
      <c r="O19" s="299" t="s">
        <v>197</v>
      </c>
      <c r="P19" s="250" t="s">
        <v>304</v>
      </c>
      <c r="Q19" s="250"/>
      <c r="R19" s="250"/>
      <c r="S19" s="250"/>
      <c r="T19" s="250"/>
      <c r="U19" s="250"/>
      <c r="V19" s="250"/>
      <c r="W19" s="250"/>
      <c r="X19" s="233" t="s">
        <v>198</v>
      </c>
      <c r="Y19" s="193" t="s">
        <v>198</v>
      </c>
      <c r="Z19" s="194" t="s">
        <v>198</v>
      </c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  <c r="AL19" s="184"/>
      <c r="AM19" s="187"/>
    </row>
    <row r="20" spans="2:39" ht="14.25" x14ac:dyDescent="0.2">
      <c r="B20" s="544" t="s">
        <v>198</v>
      </c>
      <c r="C20" s="545" t="s">
        <v>198</v>
      </c>
      <c r="D20" s="575" t="s">
        <v>198</v>
      </c>
      <c r="E20" s="545"/>
      <c r="F20" s="572"/>
      <c r="G20" s="572"/>
      <c r="H20" s="573"/>
      <c r="I20" s="618"/>
      <c r="M20" s="301" t="s">
        <v>198</v>
      </c>
      <c r="N20" s="302" t="s">
        <v>198</v>
      </c>
      <c r="O20" s="303" t="s">
        <v>198</v>
      </c>
      <c r="P20" s="250" t="s">
        <v>305</v>
      </c>
      <c r="Q20" s="250"/>
      <c r="R20" s="250"/>
      <c r="S20" s="250"/>
      <c r="T20" s="250"/>
      <c r="U20" s="250"/>
      <c r="V20" s="250"/>
      <c r="W20" s="250"/>
      <c r="X20" s="232">
        <v>-0.5</v>
      </c>
      <c r="Y20" s="207">
        <v>1.5791999857484029E-4</v>
      </c>
      <c r="Z20" s="192">
        <v>1E-3</v>
      </c>
      <c r="AA20" s="184"/>
      <c r="AB20" s="184"/>
      <c r="AC20" s="184"/>
      <c r="AD20" s="184"/>
      <c r="AE20" s="184"/>
      <c r="AF20" s="184"/>
      <c r="AG20" s="184"/>
      <c r="AH20" s="184"/>
      <c r="AI20" s="184"/>
      <c r="AJ20" s="184"/>
      <c r="AK20" s="184"/>
      <c r="AL20" s="184"/>
      <c r="AM20" s="187"/>
    </row>
    <row r="21" spans="2:39" ht="14.25" x14ac:dyDescent="0.2">
      <c r="B21" s="554">
        <v>-0.5</v>
      </c>
      <c r="C21" s="576">
        <v>9.6184293484197214E-4</v>
      </c>
      <c r="D21" s="577">
        <v>2.6142423215889709E-3</v>
      </c>
      <c r="E21" s="578">
        <v>2.0928417393472389</v>
      </c>
      <c r="F21" s="579"/>
      <c r="G21" s="579"/>
      <c r="H21" s="573"/>
      <c r="I21" s="620">
        <f>C21/D21</f>
        <v>0.36792416942334227</v>
      </c>
      <c r="M21" s="297">
        <v>-0.5</v>
      </c>
      <c r="N21" s="316">
        <v>-4.5618339445668843E-4</v>
      </c>
      <c r="O21" s="299">
        <v>1E-3</v>
      </c>
      <c r="P21" s="379">
        <v>-0.45618339445668843</v>
      </c>
      <c r="Q21" s="251"/>
      <c r="R21" s="251"/>
      <c r="S21" s="250"/>
      <c r="T21" s="250"/>
      <c r="U21" s="250"/>
      <c r="V21" s="250"/>
      <c r="W21" s="250"/>
      <c r="X21" s="232">
        <v>-0.4</v>
      </c>
      <c r="Y21" s="201">
        <v>4.1276831536873893E-4</v>
      </c>
      <c r="Z21" s="192">
        <v>1E-3</v>
      </c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7"/>
    </row>
    <row r="22" spans="2:39" ht="14.25" x14ac:dyDescent="0.2">
      <c r="B22" s="554">
        <v>-0.4</v>
      </c>
      <c r="C22" s="580">
        <v>4.0910577883790378E-4</v>
      </c>
      <c r="D22" s="577">
        <v>2.4616718471637358E-3</v>
      </c>
      <c r="E22" s="565">
        <v>2.1112825380309976</v>
      </c>
      <c r="F22" s="579"/>
      <c r="G22" s="579"/>
      <c r="H22" s="573"/>
      <c r="I22" s="620">
        <f t="shared" ref="I22:I31" si="0">C22/D22</f>
        <v>0.16619021715232399</v>
      </c>
      <c r="M22" s="297">
        <v>-0.4</v>
      </c>
      <c r="N22" s="308">
        <v>-8.0280900396778598E-4</v>
      </c>
      <c r="O22" s="299">
        <v>1E-3</v>
      </c>
      <c r="P22" s="379">
        <v>-0.80280900396778598</v>
      </c>
      <c r="Q22" s="251"/>
      <c r="R22" s="251"/>
      <c r="S22" s="250"/>
      <c r="T22" s="250"/>
      <c r="U22" s="250"/>
      <c r="V22" s="250"/>
      <c r="W22" s="250"/>
      <c r="X22" s="232">
        <v>-0.3</v>
      </c>
      <c r="Y22" s="201">
        <v>6.856883989277418E-4</v>
      </c>
      <c r="Z22" s="192">
        <v>1E-3</v>
      </c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7"/>
    </row>
    <row r="23" spans="2:39" ht="14.25" x14ac:dyDescent="0.2">
      <c r="B23" s="554">
        <v>-0.3</v>
      </c>
      <c r="C23" s="580">
        <v>1.6750229248946313E-4</v>
      </c>
      <c r="D23" s="577">
        <v>2.3466384340403742E-3</v>
      </c>
      <c r="E23" s="565">
        <v>2.1400230023561972</v>
      </c>
      <c r="F23" s="579"/>
      <c r="G23" s="579"/>
      <c r="H23" s="573"/>
      <c r="I23" s="620">
        <f t="shared" si="0"/>
        <v>7.1379676587441945E-2</v>
      </c>
      <c r="M23" s="297">
        <v>-0.3</v>
      </c>
      <c r="N23" s="308">
        <v>-7.4670046128488821E-5</v>
      </c>
      <c r="O23" s="299">
        <v>1E-3</v>
      </c>
      <c r="P23" s="379">
        <v>-7.4670046128488821E-2</v>
      </c>
      <c r="Q23" s="251"/>
      <c r="R23" s="251"/>
      <c r="S23" s="250"/>
      <c r="T23" s="250"/>
      <c r="U23" s="250"/>
      <c r="V23" s="250"/>
      <c r="W23" s="250"/>
      <c r="X23" s="232">
        <v>-0.2</v>
      </c>
      <c r="Y23" s="201">
        <v>4.306014661389912E-4</v>
      </c>
      <c r="Z23" s="192">
        <v>1E-3</v>
      </c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7"/>
    </row>
    <row r="24" spans="2:39" ht="14.25" x14ac:dyDescent="0.2">
      <c r="B24" s="554">
        <v>-0.2</v>
      </c>
      <c r="C24" s="580">
        <v>2.1933123244818886E-4</v>
      </c>
      <c r="D24" s="577">
        <v>2.2704146981871133E-3</v>
      </c>
      <c r="E24" s="565">
        <v>2.1748331879927592</v>
      </c>
      <c r="F24" s="579"/>
      <c r="G24" s="579"/>
      <c r="H24" s="573"/>
      <c r="I24" s="620">
        <f t="shared" si="0"/>
        <v>9.6604040056347873E-2</v>
      </c>
      <c r="M24" s="297">
        <v>-0.2</v>
      </c>
      <c r="N24" s="308">
        <v>2.9975119688341323E-4</v>
      </c>
      <c r="O24" s="299">
        <v>1E-3</v>
      </c>
      <c r="P24" s="379">
        <v>0.29975119688341323</v>
      </c>
      <c r="Q24" s="251"/>
      <c r="R24" s="251"/>
      <c r="S24" s="250"/>
      <c r="T24" s="250"/>
      <c r="U24" s="250"/>
      <c r="V24" s="250"/>
      <c r="W24" s="250"/>
      <c r="X24" s="232">
        <v>-0.1</v>
      </c>
      <c r="Y24" s="201">
        <v>4.2758330007508505E-4</v>
      </c>
      <c r="Z24" s="192">
        <v>1E-3</v>
      </c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7"/>
    </row>
    <row r="25" spans="2:39" ht="14.25" x14ac:dyDescent="0.2">
      <c r="B25" s="554">
        <v>-0.1</v>
      </c>
      <c r="C25" s="580">
        <v>3.1425621711794749E-4</v>
      </c>
      <c r="D25" s="577">
        <v>2.2294698605128918E-3</v>
      </c>
      <c r="E25" s="565">
        <v>2.2049366913374593</v>
      </c>
      <c r="F25" s="579"/>
      <c r="G25" s="579"/>
      <c r="H25" s="573"/>
      <c r="I25" s="620">
        <f t="shared" si="0"/>
        <v>0.14095557992681387</v>
      </c>
      <c r="M25" s="297">
        <v>-0.1</v>
      </c>
      <c r="N25" s="308">
        <v>-2.4272589809548606E-4</v>
      </c>
      <c r="O25" s="299">
        <v>1E-3</v>
      </c>
      <c r="P25" s="379">
        <v>-0.24272589809548606</v>
      </c>
      <c r="Q25" s="251"/>
      <c r="R25" s="251"/>
      <c r="S25" s="250"/>
      <c r="T25" s="250"/>
      <c r="U25" s="250"/>
      <c r="V25" s="250"/>
      <c r="W25" s="250"/>
      <c r="X25" s="232">
        <v>0</v>
      </c>
      <c r="Y25" s="201">
        <v>5.5813441507171805E-4</v>
      </c>
      <c r="Z25" s="192">
        <v>1E-3</v>
      </c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7"/>
    </row>
    <row r="26" spans="2:39" ht="14.25" x14ac:dyDescent="0.2">
      <c r="B26" s="554">
        <v>0</v>
      </c>
      <c r="C26" s="580">
        <v>4.9776092647729297E-4</v>
      </c>
      <c r="D26" s="577">
        <v>2.2170447506787289E-3</v>
      </c>
      <c r="E26" s="565">
        <v>2.2170210659680794</v>
      </c>
      <c r="F26" s="579"/>
      <c r="G26" s="579"/>
      <c r="H26" s="573"/>
      <c r="I26" s="620">
        <f t="shared" si="0"/>
        <v>0.22451550710688534</v>
      </c>
      <c r="M26" s="297">
        <v>0</v>
      </c>
      <c r="N26" s="308">
        <v>-5.8707085579832367E-4</v>
      </c>
      <c r="O26" s="299">
        <v>1E-3</v>
      </c>
      <c r="P26" s="379">
        <v>-0.58707085579832363</v>
      </c>
      <c r="Q26" s="251"/>
      <c r="R26" s="251"/>
      <c r="S26" s="250"/>
      <c r="T26" s="250"/>
      <c r="U26" s="250"/>
      <c r="V26" s="250"/>
      <c r="W26" s="250"/>
      <c r="X26" s="232">
        <v>0.1</v>
      </c>
      <c r="Y26" s="201">
        <v>-3.5411208227767443E-4</v>
      </c>
      <c r="Z26" s="192">
        <v>1E-3</v>
      </c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7"/>
    </row>
    <row r="27" spans="2:39" ht="14.25" x14ac:dyDescent="0.2">
      <c r="B27" s="554">
        <v>0.1</v>
      </c>
      <c r="C27" s="580">
        <v>7.6357593600695495E-4</v>
      </c>
      <c r="D27" s="577">
        <v>2.229757833422608E-3</v>
      </c>
      <c r="E27" s="565">
        <v>2.204676984905737</v>
      </c>
      <c r="F27" s="579"/>
      <c r="G27" s="579"/>
      <c r="H27" s="573"/>
      <c r="I27" s="620">
        <f t="shared" si="0"/>
        <v>0.34244792172560279</v>
      </c>
      <c r="M27" s="297">
        <v>0.1</v>
      </c>
      <c r="N27" s="308">
        <v>-7.2784925513447174E-4</v>
      </c>
      <c r="O27" s="299">
        <v>1E-3</v>
      </c>
      <c r="P27" s="379">
        <v>-0.72784925513447174</v>
      </c>
      <c r="Q27" s="251"/>
      <c r="R27" s="251"/>
      <c r="S27" s="250"/>
      <c r="T27" s="250"/>
      <c r="U27" s="250"/>
      <c r="V27" s="250"/>
      <c r="W27" s="250"/>
      <c r="X27" s="232">
        <v>0.2</v>
      </c>
      <c r="Y27" s="201">
        <v>5.0265537749166755E-4</v>
      </c>
      <c r="Z27" s="192">
        <v>1E-3</v>
      </c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7"/>
    </row>
    <row r="28" spans="2:39" ht="14.25" x14ac:dyDescent="0.2">
      <c r="B28" s="554">
        <v>0.2</v>
      </c>
      <c r="C28" s="580">
        <v>5.7829258208855205E-4</v>
      </c>
      <c r="D28" s="577">
        <v>2.2708879380267093E-3</v>
      </c>
      <c r="E28" s="565">
        <v>2.1745467140116905</v>
      </c>
      <c r="F28" s="581" t="s">
        <v>522</v>
      </c>
      <c r="G28" s="582"/>
      <c r="H28" s="583"/>
      <c r="I28" s="620">
        <f t="shared" si="0"/>
        <v>0.25465483012387657</v>
      </c>
      <c r="M28" s="297">
        <v>0.2</v>
      </c>
      <c r="N28" s="308">
        <v>-3.0204808402548022E-4</v>
      </c>
      <c r="O28" s="299">
        <v>1E-3</v>
      </c>
      <c r="P28" s="379">
        <v>-0.30204808402548022</v>
      </c>
      <c r="Q28" s="251"/>
      <c r="R28" s="251"/>
      <c r="S28" s="250"/>
      <c r="T28" s="250"/>
      <c r="U28" s="250"/>
      <c r="V28" s="250"/>
      <c r="W28" s="250"/>
      <c r="X28" s="232">
        <v>0.3</v>
      </c>
      <c r="Y28" s="201">
        <v>3.0928787991946205E-4</v>
      </c>
      <c r="Z28" s="202">
        <v>0</v>
      </c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7"/>
    </row>
    <row r="29" spans="2:39" x14ac:dyDescent="0.2">
      <c r="B29" s="554">
        <v>0.3</v>
      </c>
      <c r="C29" s="580">
        <v>-3.1828234499542418E-5</v>
      </c>
      <c r="D29" s="577">
        <v>2.3467503549563415E-3</v>
      </c>
      <c r="E29" s="565">
        <v>2.1399872193859095</v>
      </c>
      <c r="F29" s="576" t="s">
        <v>209</v>
      </c>
      <c r="G29" s="576" t="s">
        <v>518</v>
      </c>
      <c r="H29" s="584" t="s">
        <v>519</v>
      </c>
      <c r="I29" s="620">
        <f t="shared" si="0"/>
        <v>-1.3562684429692797E-2</v>
      </c>
      <c r="M29" s="297">
        <v>0.3</v>
      </c>
      <c r="N29" s="308">
        <v>1.2102411858760931E-4</v>
      </c>
      <c r="O29" s="311">
        <v>0</v>
      </c>
      <c r="P29" s="379">
        <v>0.12102411858760931</v>
      </c>
      <c r="Q29" s="251"/>
      <c r="R29" s="251"/>
      <c r="S29" s="250"/>
      <c r="T29" s="250"/>
      <c r="U29" s="250"/>
      <c r="V29" s="250"/>
      <c r="W29" s="250"/>
      <c r="X29" s="232">
        <v>0.4</v>
      </c>
      <c r="Y29" s="201">
        <v>5.202004417304007E-4</v>
      </c>
      <c r="Z29" s="202">
        <v>0</v>
      </c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7"/>
    </row>
    <row r="30" spans="2:39" x14ac:dyDescent="0.2">
      <c r="B30" s="554">
        <v>0.4</v>
      </c>
      <c r="C30" s="580">
        <v>-1.0982327466435571E-4</v>
      </c>
      <c r="D30" s="577">
        <v>2.4620599729456242E-3</v>
      </c>
      <c r="E30" s="565">
        <v>2.1112169070274569</v>
      </c>
      <c r="F30" s="585"/>
      <c r="G30" s="585" t="s">
        <v>520</v>
      </c>
      <c r="H30" s="541" t="s">
        <v>521</v>
      </c>
      <c r="I30" s="620">
        <f t="shared" si="0"/>
        <v>-4.4606254872403633E-2</v>
      </c>
      <c r="M30" s="297">
        <v>0.4</v>
      </c>
      <c r="N30" s="308">
        <v>5.0265418972883502E-4</v>
      </c>
      <c r="O30" s="311">
        <v>0</v>
      </c>
      <c r="P30" s="379">
        <v>0.50265418972883502</v>
      </c>
      <c r="Q30" s="251"/>
      <c r="R30" s="251"/>
      <c r="S30" s="250"/>
      <c r="T30" s="250"/>
      <c r="U30" s="250"/>
      <c r="V30" s="250"/>
      <c r="W30" s="250"/>
      <c r="X30" s="232">
        <v>0.5</v>
      </c>
      <c r="Y30" s="201">
        <v>1.5072044008418439E-4</v>
      </c>
      <c r="Z30" s="192">
        <v>-1E-3</v>
      </c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7"/>
    </row>
    <row r="31" spans="2:39" x14ac:dyDescent="0.2">
      <c r="B31" s="554">
        <v>0.5</v>
      </c>
      <c r="C31" s="580">
        <v>-7.0036195229150611E-4</v>
      </c>
      <c r="D31" s="577">
        <v>2.6373167877762156E-3</v>
      </c>
      <c r="E31" s="565">
        <v>2.0865347183750393</v>
      </c>
      <c r="F31" s="586" t="s">
        <v>192</v>
      </c>
      <c r="G31" s="546" t="s">
        <v>192</v>
      </c>
      <c r="H31" s="546"/>
      <c r="I31" s="620">
        <f t="shared" si="0"/>
        <v>-0.26555852354849302</v>
      </c>
      <c r="M31" s="297">
        <v>0.5</v>
      </c>
      <c r="N31" s="308">
        <v>5.9266288907772191E-4</v>
      </c>
      <c r="O31" s="299">
        <v>-1E-3</v>
      </c>
      <c r="P31" s="379">
        <v>0.59266288907772191</v>
      </c>
      <c r="Q31" s="251"/>
      <c r="R31" s="251"/>
      <c r="S31" s="250"/>
      <c r="T31" s="250"/>
      <c r="U31" s="250"/>
      <c r="V31" s="250"/>
      <c r="W31" s="250"/>
      <c r="X31" s="235"/>
      <c r="Y31" s="208"/>
      <c r="Z31" s="209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7"/>
    </row>
    <row r="32" spans="2:39" x14ac:dyDescent="0.2">
      <c r="B32" s="587"/>
      <c r="C32" s="587"/>
      <c r="D32" s="588"/>
      <c r="E32" s="587"/>
      <c r="F32" s="589">
        <v>-3.0193473666470014</v>
      </c>
      <c r="G32" s="589">
        <v>1.6051315096621446</v>
      </c>
      <c r="H32" s="589">
        <v>2.3453923986515601</v>
      </c>
      <c r="I32" s="618" t="s">
        <v>533</v>
      </c>
      <c r="M32" s="317"/>
      <c r="N32" s="317"/>
      <c r="O32" s="318"/>
      <c r="P32" s="250" t="s">
        <v>306</v>
      </c>
      <c r="Q32" s="250"/>
      <c r="R32" s="250"/>
      <c r="S32" s="250"/>
      <c r="T32" s="250"/>
      <c r="U32" s="250"/>
      <c r="V32" s="250"/>
      <c r="W32" s="250"/>
      <c r="X32" s="183"/>
      <c r="Y32" s="184"/>
      <c r="Z32" s="184"/>
      <c r="AA32" s="184"/>
      <c r="AB32" s="236" t="s">
        <v>200</v>
      </c>
      <c r="AC32" s="179"/>
      <c r="AD32" s="179"/>
      <c r="AE32" s="179"/>
      <c r="AF32" s="179"/>
      <c r="AG32" s="179"/>
      <c r="AH32" s="184"/>
      <c r="AI32" s="184"/>
      <c r="AJ32" s="184"/>
      <c r="AK32" s="184"/>
      <c r="AL32" s="184"/>
      <c r="AM32" s="187"/>
    </row>
    <row r="33" spans="2:39" ht="40.9" customHeight="1" x14ac:dyDescent="0.2">
      <c r="B33" s="572"/>
      <c r="C33" s="590"/>
      <c r="D33" s="590"/>
      <c r="E33" s="590"/>
      <c r="F33" s="590"/>
      <c r="G33" s="590"/>
      <c r="H33" s="573"/>
      <c r="M33" s="250"/>
      <c r="N33" s="319">
        <v>2007</v>
      </c>
      <c r="O33" s="319"/>
      <c r="P33" s="319"/>
      <c r="Q33" s="319"/>
      <c r="R33" s="319"/>
      <c r="S33" s="250"/>
      <c r="T33" s="250"/>
      <c r="U33" s="250"/>
      <c r="V33" s="250"/>
      <c r="W33" s="250"/>
      <c r="X33" s="674" t="s">
        <v>237</v>
      </c>
      <c r="Y33" s="675"/>
      <c r="Z33" s="676"/>
      <c r="AA33" s="184"/>
      <c r="AB33" s="179" t="s">
        <v>231</v>
      </c>
      <c r="AC33" s="179"/>
      <c r="AD33" s="179"/>
      <c r="AE33" s="179"/>
      <c r="AF33" s="179"/>
      <c r="AG33" s="179"/>
      <c r="AH33" s="184"/>
      <c r="AI33" s="184"/>
      <c r="AJ33" s="184"/>
      <c r="AK33" s="184"/>
      <c r="AL33" s="184"/>
      <c r="AM33" s="187"/>
    </row>
    <row r="34" spans="2:39" ht="13.15" customHeight="1" x14ac:dyDescent="0.2">
      <c r="B34" s="669" t="s">
        <v>523</v>
      </c>
      <c r="C34" s="670"/>
      <c r="D34" s="670"/>
      <c r="E34" s="591"/>
      <c r="F34" s="572"/>
      <c r="G34" s="572"/>
      <c r="H34" s="573"/>
      <c r="J34" s="618"/>
      <c r="K34" s="618"/>
      <c r="M34" s="671" t="s">
        <v>271</v>
      </c>
      <c r="N34" s="672"/>
      <c r="O34" s="673"/>
      <c r="P34" s="250"/>
      <c r="Q34" s="250"/>
      <c r="R34" s="250"/>
      <c r="S34" s="250"/>
      <c r="T34" s="250"/>
      <c r="U34" s="250"/>
      <c r="V34" s="250"/>
      <c r="W34" s="250"/>
      <c r="X34" s="231" t="s">
        <v>193</v>
      </c>
      <c r="Y34" s="188" t="s">
        <v>194</v>
      </c>
      <c r="Z34" s="189" t="s">
        <v>195</v>
      </c>
      <c r="AA34" s="184"/>
      <c r="AB34" s="179" t="s">
        <v>233</v>
      </c>
      <c r="AC34" s="179"/>
      <c r="AD34" s="179"/>
      <c r="AE34" s="179"/>
      <c r="AF34" s="179"/>
      <c r="AG34" s="179"/>
      <c r="AH34" s="184"/>
      <c r="AI34" s="184"/>
      <c r="AJ34" s="184"/>
      <c r="AK34" s="184"/>
      <c r="AL34" s="184"/>
      <c r="AM34" s="187"/>
    </row>
    <row r="35" spans="2:39" ht="14.25" x14ac:dyDescent="0.2">
      <c r="B35" s="547" t="s">
        <v>193</v>
      </c>
      <c r="C35" s="540" t="s">
        <v>194</v>
      </c>
      <c r="D35" s="574" t="s">
        <v>518</v>
      </c>
      <c r="E35" s="540" t="s">
        <v>519</v>
      </c>
      <c r="F35" s="572"/>
      <c r="G35" s="572"/>
      <c r="H35" s="573"/>
      <c r="J35" s="618"/>
      <c r="K35" s="618"/>
      <c r="M35" s="294" t="s">
        <v>193</v>
      </c>
      <c r="N35" s="295" t="s">
        <v>194</v>
      </c>
      <c r="O35" s="296" t="s">
        <v>195</v>
      </c>
      <c r="P35" s="250"/>
      <c r="Q35" s="250"/>
      <c r="R35" s="250"/>
      <c r="S35" s="250"/>
      <c r="T35" s="250"/>
      <c r="U35" s="250"/>
      <c r="V35" s="250"/>
      <c r="W35" s="250"/>
      <c r="X35" s="232" t="s">
        <v>196</v>
      </c>
      <c r="Y35" s="191"/>
      <c r="Z35" s="192" t="s">
        <v>197</v>
      </c>
      <c r="AA35" s="184"/>
      <c r="AB35" s="179" t="s">
        <v>232</v>
      </c>
      <c r="AC35" s="179"/>
      <c r="AD35" s="179"/>
      <c r="AE35" s="179"/>
      <c r="AF35" s="179"/>
      <c r="AG35" s="179"/>
      <c r="AH35" s="184"/>
      <c r="AI35" s="184"/>
      <c r="AJ35" s="184"/>
      <c r="AK35" s="184"/>
      <c r="AL35" s="184"/>
      <c r="AM35" s="187"/>
    </row>
    <row r="36" spans="2:39" ht="14.25" x14ac:dyDescent="0.2">
      <c r="B36" s="554" t="s">
        <v>196</v>
      </c>
      <c r="C36" s="541"/>
      <c r="D36" s="542" t="s">
        <v>520</v>
      </c>
      <c r="E36" s="541" t="s">
        <v>521</v>
      </c>
      <c r="F36" s="572"/>
      <c r="G36" s="572"/>
      <c r="H36" s="573"/>
      <c r="J36" s="619"/>
      <c r="K36" s="618"/>
      <c r="M36" s="297" t="s">
        <v>196</v>
      </c>
      <c r="N36" s="298"/>
      <c r="O36" s="299" t="s">
        <v>197</v>
      </c>
      <c r="P36" s="250"/>
      <c r="Q36" s="250"/>
      <c r="R36" s="250"/>
      <c r="S36" s="250"/>
      <c r="T36" s="250"/>
      <c r="U36" s="250"/>
      <c r="V36" s="250"/>
      <c r="W36" s="250"/>
      <c r="X36" s="233" t="s">
        <v>199</v>
      </c>
      <c r="Y36" s="193" t="s">
        <v>199</v>
      </c>
      <c r="Z36" s="194" t="s">
        <v>199</v>
      </c>
      <c r="AA36" s="184"/>
      <c r="AB36" s="179" t="s">
        <v>223</v>
      </c>
      <c r="AC36" s="179"/>
      <c r="AD36" s="179"/>
      <c r="AE36" s="179"/>
      <c r="AF36" s="179"/>
      <c r="AG36" s="179"/>
      <c r="AH36" s="184"/>
      <c r="AI36" s="184"/>
      <c r="AJ36" s="184"/>
      <c r="AK36" s="184"/>
      <c r="AL36" s="184"/>
      <c r="AM36" s="187"/>
    </row>
    <row r="37" spans="2:39" ht="14.25" x14ac:dyDescent="0.2">
      <c r="B37" s="544" t="s">
        <v>199</v>
      </c>
      <c r="C37" s="545" t="s">
        <v>199</v>
      </c>
      <c r="D37" s="575" t="s">
        <v>199</v>
      </c>
      <c r="E37" s="587"/>
      <c r="F37" s="572"/>
      <c r="G37" s="572"/>
      <c r="H37" s="573"/>
      <c r="J37" s="619"/>
      <c r="K37" s="618"/>
      <c r="M37" s="301" t="s">
        <v>199</v>
      </c>
      <c r="N37" s="302" t="s">
        <v>199</v>
      </c>
      <c r="O37" s="303" t="s">
        <v>199</v>
      </c>
      <c r="P37" s="250"/>
      <c r="Q37" s="250"/>
      <c r="R37" s="250"/>
      <c r="S37" s="250"/>
      <c r="T37" s="250"/>
      <c r="U37" s="250"/>
      <c r="V37" s="250"/>
      <c r="W37" s="250"/>
      <c r="X37" s="232">
        <v>-25</v>
      </c>
      <c r="Y37" s="210">
        <v>-2.1595270795760513E-2</v>
      </c>
      <c r="Z37" s="211">
        <v>0.05</v>
      </c>
      <c r="AA37" s="184"/>
      <c r="AB37" s="179" t="s">
        <v>299</v>
      </c>
      <c r="AC37" s="179"/>
      <c r="AD37" s="179"/>
      <c r="AE37" s="179"/>
      <c r="AF37" s="179"/>
      <c r="AG37" s="179"/>
      <c r="AH37" s="184"/>
      <c r="AI37" s="184"/>
      <c r="AJ37" s="184"/>
      <c r="AK37" s="184"/>
      <c r="AL37" s="184"/>
      <c r="AM37" s="187"/>
    </row>
    <row r="38" spans="2:39" x14ac:dyDescent="0.2">
      <c r="B38" s="554">
        <v>-25</v>
      </c>
      <c r="C38" s="592">
        <v>-0.10297969478409641</v>
      </c>
      <c r="D38" s="593">
        <v>0.13099097010313396</v>
      </c>
      <c r="E38" s="578">
        <v>2.0923328463404482</v>
      </c>
      <c r="F38" s="621" t="s">
        <v>301</v>
      </c>
      <c r="G38" s="621"/>
      <c r="H38" s="627">
        <f>AVERAGE(C38:C48)</f>
        <v>1.7515981379523052E-2</v>
      </c>
      <c r="I38" s="622"/>
      <c r="J38" s="621"/>
      <c r="K38" s="622"/>
      <c r="L38" s="622"/>
      <c r="M38" s="297">
        <v>-25</v>
      </c>
      <c r="N38" s="306">
        <v>0.18274667307772319</v>
      </c>
      <c r="O38" s="320">
        <v>0.05</v>
      </c>
      <c r="P38" s="250" t="s">
        <v>301</v>
      </c>
      <c r="Q38" s="378">
        <v>4.1604407864742621E-3</v>
      </c>
      <c r="R38" s="321"/>
      <c r="S38" s="250"/>
      <c r="T38" s="250"/>
      <c r="U38" s="250"/>
      <c r="V38" s="250"/>
      <c r="W38" s="250"/>
      <c r="X38" s="232">
        <v>-20</v>
      </c>
      <c r="Y38" s="210">
        <v>-4.0940440970857139E-2</v>
      </c>
      <c r="Z38" s="211">
        <v>0</v>
      </c>
      <c r="AA38" s="184"/>
      <c r="AB38" s="179" t="s">
        <v>201</v>
      </c>
      <c r="AC38" s="179"/>
      <c r="AD38" s="179"/>
      <c r="AE38" s="179"/>
      <c r="AF38" s="179"/>
      <c r="AG38" s="179"/>
      <c r="AH38" s="184"/>
      <c r="AI38" s="184"/>
      <c r="AJ38" s="184"/>
      <c r="AK38" s="184"/>
      <c r="AL38" s="184"/>
      <c r="AM38" s="187"/>
    </row>
    <row r="39" spans="2:39" x14ac:dyDescent="0.2">
      <c r="B39" s="554">
        <v>-20</v>
      </c>
      <c r="C39" s="592">
        <v>1.8308720840458648E-2</v>
      </c>
      <c r="D39" s="593">
        <v>0.11780878360991472</v>
      </c>
      <c r="E39" s="565">
        <v>2.1059356098152242</v>
      </c>
      <c r="F39" s="621" t="s">
        <v>302</v>
      </c>
      <c r="G39" s="621"/>
      <c r="H39" s="627">
        <f>STDEV(C38:C48)</f>
        <v>5.8449464330246982E-2</v>
      </c>
      <c r="I39" s="622"/>
      <c r="J39" s="621"/>
      <c r="K39" s="622"/>
      <c r="L39" s="622"/>
      <c r="M39" s="297">
        <v>-20</v>
      </c>
      <c r="N39" s="306">
        <v>5.2685466561683825E-2</v>
      </c>
      <c r="O39" s="320">
        <v>0</v>
      </c>
      <c r="P39" s="250" t="s">
        <v>302</v>
      </c>
      <c r="Q39" s="321">
        <v>7.0492788160582062E-2</v>
      </c>
      <c r="R39" s="321"/>
      <c r="S39" s="250"/>
      <c r="T39" s="250"/>
      <c r="U39" s="250"/>
      <c r="V39" s="250"/>
      <c r="W39" s="250"/>
      <c r="X39" s="232">
        <v>-15</v>
      </c>
      <c r="Y39" s="210">
        <v>-8.5301838636205218E-2</v>
      </c>
      <c r="Z39" s="211">
        <v>0.05</v>
      </c>
      <c r="AA39" s="184"/>
      <c r="AB39" s="179" t="s">
        <v>202</v>
      </c>
      <c r="AC39" s="179"/>
      <c r="AD39" s="179"/>
      <c r="AE39" s="179"/>
      <c r="AF39" s="179"/>
      <c r="AG39" s="179"/>
      <c r="AH39" s="184"/>
      <c r="AI39" s="184"/>
      <c r="AJ39" s="184"/>
      <c r="AK39" s="184"/>
      <c r="AL39" s="184"/>
      <c r="AM39" s="187"/>
    </row>
    <row r="40" spans="2:39" x14ac:dyDescent="0.2">
      <c r="B40" s="554">
        <v>-15</v>
      </c>
      <c r="C40" s="592">
        <v>6.6458163154107908E-2</v>
      </c>
      <c r="D40" s="593">
        <v>0.10792532911764985</v>
      </c>
      <c r="E40" s="565">
        <v>2.0964316140204762</v>
      </c>
      <c r="F40" s="621" t="s">
        <v>303</v>
      </c>
      <c r="G40" s="621"/>
      <c r="H40" s="622"/>
      <c r="I40" s="622"/>
      <c r="J40" s="621">
        <f>H39</f>
        <v>5.8449464330246982E-2</v>
      </c>
      <c r="K40" s="633">
        <f>RADIANS(J40/60)*100</f>
        <v>1.7002259976496535E-3</v>
      </c>
      <c r="L40" s="622" t="s">
        <v>45</v>
      </c>
      <c r="M40" s="297">
        <v>-15</v>
      </c>
      <c r="N40" s="306">
        <v>-1.0231957441781958E-2</v>
      </c>
      <c r="O40" s="320">
        <v>0.05</v>
      </c>
      <c r="P40" s="250" t="s">
        <v>303</v>
      </c>
      <c r="Q40" s="321"/>
      <c r="R40" s="321"/>
      <c r="S40" s="250">
        <v>0.09</v>
      </c>
      <c r="T40" s="251">
        <v>2.6179938779914945E-3</v>
      </c>
      <c r="U40" s="250" t="s">
        <v>45</v>
      </c>
      <c r="V40" s="250"/>
      <c r="W40" s="250"/>
      <c r="X40" s="232">
        <v>-10</v>
      </c>
      <c r="Y40" s="210">
        <v>-1.6871532595022387E-2</v>
      </c>
      <c r="Z40" s="211">
        <v>0.1</v>
      </c>
      <c r="AA40" s="184"/>
      <c r="AB40" s="179" t="s">
        <v>203</v>
      </c>
      <c r="AC40" s="179"/>
      <c r="AD40" s="179"/>
      <c r="AE40" s="179"/>
      <c r="AF40" s="179"/>
      <c r="AG40" s="179"/>
      <c r="AH40" s="184"/>
      <c r="AI40" s="184"/>
      <c r="AJ40" s="184"/>
      <c r="AK40" s="184"/>
      <c r="AL40" s="184"/>
      <c r="AM40" s="187"/>
    </row>
    <row r="41" spans="2:39" x14ac:dyDescent="0.2">
      <c r="B41" s="554">
        <v>-10</v>
      </c>
      <c r="C41" s="592">
        <v>0.11133232979784857</v>
      </c>
      <c r="D41" s="593">
        <v>8.9153696502080659E-2</v>
      </c>
      <c r="E41" s="565">
        <v>2.1548373534423417</v>
      </c>
      <c r="F41" s="621" t="s">
        <v>312</v>
      </c>
      <c r="G41" s="621"/>
      <c r="H41" s="622"/>
      <c r="I41" s="622"/>
      <c r="J41" s="621"/>
      <c r="K41" s="622"/>
      <c r="L41" s="622"/>
      <c r="M41" s="297">
        <v>-10</v>
      </c>
      <c r="N41" s="306">
        <v>-7.8411698953731346E-2</v>
      </c>
      <c r="O41" s="320">
        <v>0.1</v>
      </c>
      <c r="P41" s="250" t="s">
        <v>312</v>
      </c>
      <c r="Q41" s="321"/>
      <c r="R41" s="321"/>
      <c r="S41" s="250"/>
      <c r="T41" s="250"/>
      <c r="U41" s="250"/>
      <c r="V41" s="250"/>
      <c r="W41" s="250"/>
      <c r="X41" s="232">
        <v>-5</v>
      </c>
      <c r="Y41" s="210">
        <v>-8.869571838240109E-2</v>
      </c>
      <c r="Z41" s="211">
        <v>0.05</v>
      </c>
      <c r="AA41" s="184"/>
      <c r="AB41" s="179" t="s">
        <v>300</v>
      </c>
      <c r="AC41" s="179"/>
      <c r="AD41" s="179"/>
      <c r="AE41" s="179"/>
      <c r="AF41" s="179"/>
      <c r="AG41" s="179"/>
      <c r="AH41" s="184"/>
      <c r="AI41" s="184"/>
      <c r="AJ41" s="184"/>
      <c r="AK41" s="184"/>
      <c r="AL41" s="184"/>
      <c r="AM41" s="187"/>
    </row>
    <row r="42" spans="2:39" ht="14.25" x14ac:dyDescent="0.2">
      <c r="B42" s="554">
        <v>-5</v>
      </c>
      <c r="C42" s="592">
        <v>7.4515912870617207E-2</v>
      </c>
      <c r="D42" s="593">
        <v>6.7568257069138105E-2</v>
      </c>
      <c r="E42" s="565">
        <v>2.1866940733993729</v>
      </c>
      <c r="F42" s="594"/>
      <c r="G42" s="594"/>
      <c r="H42" s="573"/>
      <c r="J42" s="620"/>
      <c r="K42" s="618"/>
      <c r="M42" s="297">
        <v>-5</v>
      </c>
      <c r="N42" s="306">
        <v>-4.6712326832047069E-2</v>
      </c>
      <c r="O42" s="320">
        <v>0.05</v>
      </c>
      <c r="P42" s="250"/>
      <c r="Q42" s="321"/>
      <c r="R42" s="321"/>
      <c r="S42" s="250"/>
      <c r="T42" s="250"/>
      <c r="U42" s="250"/>
      <c r="V42" s="250"/>
      <c r="W42" s="250"/>
      <c r="X42" s="232">
        <v>0</v>
      </c>
      <c r="Y42" s="210">
        <v>-4.4191979385246084E-2</v>
      </c>
      <c r="Z42" s="211">
        <v>0</v>
      </c>
      <c r="AA42" s="184"/>
      <c r="AB42" s="179" t="s">
        <v>204</v>
      </c>
      <c r="AC42" s="179"/>
      <c r="AD42" s="179"/>
      <c r="AE42" s="179"/>
      <c r="AF42" s="179"/>
      <c r="AG42" s="179"/>
      <c r="AH42" s="184"/>
      <c r="AI42" s="184"/>
      <c r="AJ42" s="184"/>
      <c r="AK42" s="184"/>
      <c r="AL42" s="184"/>
      <c r="AM42" s="187"/>
    </row>
    <row r="43" spans="2:39" ht="14.25" x14ac:dyDescent="0.2">
      <c r="B43" s="554">
        <v>0</v>
      </c>
      <c r="C43" s="595">
        <v>4.9193977541147897E-2</v>
      </c>
      <c r="D43" s="596">
        <v>2.2171695770597973E-2</v>
      </c>
      <c r="E43" s="565">
        <v>2.2168900226799697</v>
      </c>
      <c r="F43" s="594"/>
      <c r="G43" s="594"/>
      <c r="H43" s="573"/>
      <c r="J43" s="620"/>
      <c r="K43" s="618"/>
      <c r="M43" s="297">
        <v>0</v>
      </c>
      <c r="N43" s="306">
        <v>-2.2307040538184102E-2</v>
      </c>
      <c r="O43" s="320">
        <v>0</v>
      </c>
      <c r="P43" s="250"/>
      <c r="Q43" s="321"/>
      <c r="R43" s="321"/>
      <c r="S43" s="250"/>
      <c r="T43" s="250"/>
      <c r="U43" s="250"/>
      <c r="V43" s="250"/>
      <c r="W43" s="250"/>
      <c r="X43" s="232">
        <v>5</v>
      </c>
      <c r="Y43" s="210">
        <v>-1.132770243669956E-2</v>
      </c>
      <c r="Z43" s="211">
        <v>-0.05</v>
      </c>
      <c r="AA43" s="184"/>
      <c r="AB43" s="179" t="s">
        <v>224</v>
      </c>
      <c r="AC43" s="179"/>
      <c r="AD43" s="179"/>
      <c r="AE43" s="179"/>
      <c r="AF43" s="179"/>
      <c r="AG43" s="179"/>
      <c r="AH43" s="184"/>
      <c r="AI43" s="184"/>
      <c r="AJ43" s="184"/>
      <c r="AK43" s="184"/>
      <c r="AL43" s="184"/>
      <c r="AM43" s="187"/>
    </row>
    <row r="44" spans="2:39" ht="14.25" x14ac:dyDescent="0.2">
      <c r="B44" s="554">
        <v>5</v>
      </c>
      <c r="C44" s="592">
        <v>-2.1650983164244408E-2</v>
      </c>
      <c r="D44" s="593">
        <v>6.7589102683060495E-2</v>
      </c>
      <c r="E44" s="565">
        <v>2.1862115450147583</v>
      </c>
      <c r="F44" s="594"/>
      <c r="G44" s="594"/>
      <c r="H44" s="573"/>
      <c r="J44" s="620"/>
      <c r="K44" s="618"/>
      <c r="M44" s="297">
        <v>5</v>
      </c>
      <c r="N44" s="306">
        <v>3.1811987279121823E-2</v>
      </c>
      <c r="O44" s="320">
        <v>-0.05</v>
      </c>
      <c r="P44" s="250"/>
      <c r="Q44" s="321"/>
      <c r="R44" s="321"/>
      <c r="S44" s="250"/>
      <c r="T44" s="250"/>
      <c r="U44" s="250"/>
      <c r="V44" s="250"/>
      <c r="W44" s="250"/>
      <c r="X44" s="232">
        <v>10</v>
      </c>
      <c r="Y44" s="210">
        <v>1.0195765083086172E-2</v>
      </c>
      <c r="Z44" s="211">
        <v>0</v>
      </c>
      <c r="AA44" s="184"/>
      <c r="AB44" s="179" t="s">
        <v>225</v>
      </c>
      <c r="AC44" s="179"/>
      <c r="AD44" s="179"/>
      <c r="AE44" s="179"/>
      <c r="AF44" s="179"/>
      <c r="AG44" s="179"/>
      <c r="AH44" s="184"/>
      <c r="AI44" s="184"/>
      <c r="AJ44" s="184"/>
      <c r="AK44" s="184"/>
      <c r="AL44" s="184"/>
      <c r="AM44" s="187"/>
    </row>
    <row r="45" spans="2:39" ht="14.25" x14ac:dyDescent="0.2">
      <c r="B45" s="554">
        <v>10</v>
      </c>
      <c r="C45" s="592">
        <v>1.9368129703991599E-2</v>
      </c>
      <c r="D45" s="593">
        <v>8.9257285336875436E-2</v>
      </c>
      <c r="E45" s="565">
        <v>2.1536487001663818</v>
      </c>
      <c r="F45" s="581" t="s">
        <v>524</v>
      </c>
      <c r="G45" s="597"/>
      <c r="H45" s="583"/>
      <c r="J45" s="620"/>
      <c r="K45" s="618"/>
      <c r="M45" s="297">
        <v>10</v>
      </c>
      <c r="N45" s="306">
        <v>-4.6855734780022473E-2</v>
      </c>
      <c r="O45" s="320">
        <v>0</v>
      </c>
      <c r="P45" s="250"/>
      <c r="Q45" s="321"/>
      <c r="R45" s="321"/>
      <c r="S45" s="250"/>
      <c r="T45" s="250"/>
      <c r="U45" s="250"/>
      <c r="V45" s="250"/>
      <c r="W45" s="250"/>
      <c r="X45" s="232">
        <v>15</v>
      </c>
      <c r="Y45" s="210">
        <v>-4.0961027643570347E-2</v>
      </c>
      <c r="Z45" s="211">
        <v>-0.1</v>
      </c>
      <c r="AA45" s="184"/>
      <c r="AB45" s="179" t="s">
        <v>226</v>
      </c>
      <c r="AC45" s="179"/>
      <c r="AD45" s="179"/>
      <c r="AE45" s="179"/>
      <c r="AF45" s="179"/>
      <c r="AG45" s="179"/>
      <c r="AH45" s="184"/>
      <c r="AI45" s="184"/>
      <c r="AJ45" s="184"/>
      <c r="AK45" s="184"/>
      <c r="AL45" s="184"/>
      <c r="AM45" s="187"/>
    </row>
    <row r="46" spans="2:39" x14ac:dyDescent="0.2">
      <c r="B46" s="554">
        <v>15</v>
      </c>
      <c r="C46" s="592">
        <v>-3.0361686712868874E-2</v>
      </c>
      <c r="D46" s="593">
        <v>0.10439163455312131</v>
      </c>
      <c r="E46" s="565">
        <v>2.1265083257978024</v>
      </c>
      <c r="F46" s="576" t="s">
        <v>209</v>
      </c>
      <c r="G46" s="576" t="s">
        <v>518</v>
      </c>
      <c r="H46" s="584" t="s">
        <v>519</v>
      </c>
      <c r="J46" s="620"/>
      <c r="K46" s="618"/>
      <c r="M46" s="297">
        <v>15</v>
      </c>
      <c r="N46" s="306">
        <v>2.5362547905816157E-2</v>
      </c>
      <c r="O46" s="320">
        <v>-0.1</v>
      </c>
      <c r="P46" s="250"/>
      <c r="Q46" s="321"/>
      <c r="R46" s="321"/>
      <c r="S46" s="250"/>
      <c r="T46" s="250"/>
      <c r="U46" s="250"/>
      <c r="V46" s="250"/>
      <c r="W46" s="250"/>
      <c r="X46" s="232">
        <v>20</v>
      </c>
      <c r="Y46" s="210">
        <v>-9.640161202203501E-2</v>
      </c>
      <c r="Z46" s="211">
        <v>-0.05</v>
      </c>
      <c r="AA46" s="184"/>
      <c r="AB46" s="179" t="s">
        <v>227</v>
      </c>
      <c r="AC46" s="179"/>
      <c r="AD46" s="179"/>
      <c r="AE46" s="179"/>
      <c r="AF46" s="179"/>
      <c r="AG46" s="179"/>
      <c r="AH46" s="184"/>
      <c r="AI46" s="184"/>
      <c r="AJ46" s="184"/>
      <c r="AK46" s="184"/>
      <c r="AL46" s="184"/>
      <c r="AM46" s="187"/>
    </row>
    <row r="47" spans="2:39" x14ac:dyDescent="0.2">
      <c r="B47" s="554">
        <v>20</v>
      </c>
      <c r="C47" s="592">
        <v>1.7691358707949689E-3</v>
      </c>
      <c r="D47" s="593">
        <v>0.11783239547757504</v>
      </c>
      <c r="E47" s="565">
        <v>2.1058837387339464</v>
      </c>
      <c r="F47" s="585"/>
      <c r="G47" s="585" t="s">
        <v>520</v>
      </c>
      <c r="H47" s="541" t="s">
        <v>521</v>
      </c>
      <c r="J47" s="620"/>
      <c r="K47" s="618"/>
      <c r="M47" s="297">
        <v>20</v>
      </c>
      <c r="N47" s="306">
        <v>-1.7189534272276319E-2</v>
      </c>
      <c r="O47" s="320">
        <v>-0.05</v>
      </c>
      <c r="P47" s="250"/>
      <c r="Q47" s="321"/>
      <c r="R47" s="321"/>
      <c r="S47" s="250"/>
      <c r="T47" s="250"/>
      <c r="U47" s="250"/>
      <c r="V47" s="250"/>
      <c r="W47" s="250"/>
      <c r="X47" s="232">
        <v>25</v>
      </c>
      <c r="Y47" s="175">
        <v>-0.2307212505198315</v>
      </c>
      <c r="Z47" s="211">
        <v>-0.05</v>
      </c>
      <c r="AA47" s="184"/>
      <c r="AB47" s="242">
        <v>-67.114091264828971</v>
      </c>
      <c r="AC47" s="179"/>
      <c r="AD47" s="179"/>
      <c r="AE47" s="179"/>
      <c r="AF47" s="179"/>
      <c r="AG47" s="179"/>
      <c r="AH47" s="184"/>
      <c r="AI47" s="184"/>
      <c r="AJ47" s="184"/>
      <c r="AK47" s="184"/>
      <c r="AL47" s="184"/>
      <c r="AM47" s="187"/>
    </row>
    <row r="48" spans="2:39" x14ac:dyDescent="0.2">
      <c r="B48" s="554">
        <v>25</v>
      </c>
      <c r="C48" s="592">
        <v>6.7217900569964684E-3</v>
      </c>
      <c r="D48" s="593">
        <v>0.13082235534626266</v>
      </c>
      <c r="E48" s="565">
        <v>2.0926026068971564</v>
      </c>
      <c r="F48" s="586" t="s">
        <v>192</v>
      </c>
      <c r="G48" s="546" t="s">
        <v>192</v>
      </c>
      <c r="H48" s="546"/>
      <c r="J48" s="620"/>
      <c r="K48" s="618"/>
      <c r="M48" s="297">
        <v>25</v>
      </c>
      <c r="N48" s="306">
        <v>-2.5133533355084836E-2</v>
      </c>
      <c r="O48" s="320">
        <v>-0.05</v>
      </c>
      <c r="P48" s="250"/>
      <c r="Q48" s="321"/>
      <c r="R48" s="321"/>
      <c r="S48" s="250"/>
      <c r="T48" s="250"/>
      <c r="U48" s="250"/>
      <c r="V48" s="250"/>
      <c r="W48" s="250"/>
      <c r="X48" s="233"/>
      <c r="Y48" s="212"/>
      <c r="Z48" s="213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  <c r="AL48" s="184"/>
      <c r="AM48" s="187"/>
    </row>
    <row r="49" spans="2:39" x14ac:dyDescent="0.2">
      <c r="B49" s="544"/>
      <c r="C49" s="598"/>
      <c r="D49" s="599"/>
      <c r="E49" s="587"/>
      <c r="F49" s="589">
        <v>3.3492180492754469</v>
      </c>
      <c r="G49" s="589">
        <v>2.2990837064444314</v>
      </c>
      <c r="H49" s="589">
        <v>2.2169929869669662</v>
      </c>
      <c r="J49" s="618"/>
      <c r="K49" s="618"/>
      <c r="M49" s="301"/>
      <c r="N49" s="322"/>
      <c r="O49" s="323"/>
      <c r="P49" s="250"/>
      <c r="Q49" s="250"/>
      <c r="R49" s="250"/>
      <c r="S49" s="250"/>
      <c r="T49" s="250"/>
      <c r="U49" s="250"/>
      <c r="V49" s="250"/>
      <c r="W49" s="250"/>
      <c r="X49" s="232"/>
      <c r="Y49" s="215"/>
      <c r="Z49" s="215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  <c r="AL49" s="184"/>
      <c r="AM49" s="187"/>
    </row>
    <row r="50" spans="2:39" ht="14.25" x14ac:dyDescent="0.2">
      <c r="B50" s="600"/>
      <c r="C50" s="601"/>
      <c r="D50" s="601"/>
      <c r="E50" s="573"/>
      <c r="F50" s="573"/>
      <c r="G50" s="573"/>
      <c r="H50" s="573"/>
      <c r="M50" s="300"/>
      <c r="N50" s="324"/>
      <c r="O50" s="324"/>
      <c r="P50" s="250"/>
      <c r="Q50" s="250"/>
      <c r="R50" s="250"/>
      <c r="S50" s="250"/>
      <c r="T50" s="250"/>
      <c r="U50" s="250"/>
      <c r="V50" s="250"/>
      <c r="W50" s="250"/>
      <c r="X50" s="232"/>
      <c r="Y50" s="215"/>
      <c r="Z50" s="215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7"/>
    </row>
    <row r="51" spans="2:39" ht="14.25" x14ac:dyDescent="0.2">
      <c r="B51" s="572"/>
      <c r="C51" s="572"/>
      <c r="D51" s="572"/>
      <c r="E51" s="572"/>
      <c r="F51" s="572"/>
      <c r="G51" s="572"/>
      <c r="H51" s="573"/>
      <c r="M51" s="300"/>
      <c r="N51" s="324"/>
      <c r="O51" s="324"/>
      <c r="P51" s="250"/>
      <c r="Q51" s="250"/>
      <c r="R51" s="250"/>
      <c r="S51" s="250"/>
      <c r="T51" s="250"/>
      <c r="U51" s="250"/>
      <c r="V51" s="250"/>
      <c r="W51" s="250"/>
      <c r="X51" s="183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7"/>
    </row>
    <row r="52" spans="2:39" ht="14.25" x14ac:dyDescent="0.2">
      <c r="B52" s="573"/>
      <c r="C52" s="572"/>
      <c r="D52" s="572"/>
      <c r="E52" s="572"/>
      <c r="F52" s="572"/>
      <c r="G52" s="572"/>
      <c r="H52" s="573"/>
      <c r="M52" s="250"/>
      <c r="N52" s="250"/>
      <c r="O52" s="250"/>
      <c r="P52" s="250"/>
      <c r="Q52" s="250"/>
      <c r="R52" s="250"/>
      <c r="S52" s="250"/>
      <c r="T52" s="250"/>
      <c r="U52" s="250"/>
      <c r="V52" s="250"/>
      <c r="W52" s="250"/>
      <c r="X52" s="234" t="s">
        <v>205</v>
      </c>
      <c r="Y52" s="216"/>
      <c r="Z52" s="216"/>
      <c r="AA52" s="216"/>
      <c r="AB52" s="226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7"/>
    </row>
    <row r="53" spans="2:39" x14ac:dyDescent="0.2">
      <c r="B53" s="75" t="s">
        <v>525</v>
      </c>
      <c r="C53" s="602"/>
      <c r="D53" s="602"/>
      <c r="E53" s="602"/>
      <c r="F53" s="602"/>
      <c r="G53" s="602"/>
      <c r="H53" s="603"/>
      <c r="J53" s="618"/>
      <c r="K53" s="618"/>
      <c r="M53" s="325" t="s">
        <v>272</v>
      </c>
      <c r="N53" s="326"/>
      <c r="O53" s="326"/>
      <c r="P53" s="326"/>
      <c r="Q53" s="327"/>
      <c r="R53" s="328">
        <v>39373</v>
      </c>
      <c r="S53" s="250"/>
      <c r="T53" s="250"/>
      <c r="U53" s="250"/>
      <c r="V53" s="250"/>
      <c r="W53" s="250"/>
      <c r="X53" s="183" t="s">
        <v>206</v>
      </c>
      <c r="Y53" s="184"/>
      <c r="Z53" s="184"/>
      <c r="AA53" s="184"/>
      <c r="AB53" s="227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7"/>
    </row>
    <row r="54" spans="2:39" x14ac:dyDescent="0.2">
      <c r="B54" s="604" t="s">
        <v>528</v>
      </c>
      <c r="C54" s="605"/>
      <c r="D54" s="605"/>
      <c r="E54" s="605"/>
      <c r="F54" s="605"/>
      <c r="G54" s="605"/>
      <c r="H54" s="588"/>
      <c r="J54" s="618"/>
      <c r="K54" s="618"/>
      <c r="M54" s="382" t="s">
        <v>206</v>
      </c>
      <c r="N54" s="162"/>
      <c r="O54" s="162"/>
      <c r="P54" s="330"/>
      <c r="Q54" s="331"/>
      <c r="R54" s="332" t="s">
        <v>273</v>
      </c>
      <c r="S54" s="250"/>
      <c r="T54" s="250"/>
      <c r="U54" s="250"/>
      <c r="V54" s="250"/>
      <c r="W54" s="250"/>
      <c r="X54" s="237" t="s">
        <v>207</v>
      </c>
      <c r="Y54" s="217" t="s">
        <v>208</v>
      </c>
      <c r="Z54" s="188" t="s">
        <v>209</v>
      </c>
      <c r="AA54" s="188" t="s">
        <v>195</v>
      </c>
      <c r="AB54" s="189" t="s">
        <v>195</v>
      </c>
      <c r="AC54" s="184"/>
      <c r="AD54" s="184"/>
      <c r="AE54" s="184"/>
      <c r="AF54" s="184"/>
      <c r="AG54" s="184"/>
      <c r="AH54" s="184"/>
      <c r="AI54" s="184"/>
      <c r="AJ54" s="184"/>
      <c r="AK54" s="184"/>
      <c r="AL54" s="184"/>
      <c r="AM54" s="187"/>
    </row>
    <row r="55" spans="2:39" x14ac:dyDescent="0.2">
      <c r="B55" s="554" t="s">
        <v>207</v>
      </c>
      <c r="C55" s="680" t="s">
        <v>19</v>
      </c>
      <c r="D55" s="684"/>
      <c r="E55" s="682" t="s">
        <v>20</v>
      </c>
      <c r="F55" s="685"/>
      <c r="G55" s="680" t="s">
        <v>8</v>
      </c>
      <c r="H55" s="684"/>
      <c r="J55" s="618"/>
      <c r="K55" s="618"/>
      <c r="M55" s="295" t="s">
        <v>207</v>
      </c>
      <c r="N55" s="333" t="s">
        <v>208</v>
      </c>
      <c r="O55" s="295" t="s">
        <v>209</v>
      </c>
      <c r="P55" s="295" t="s">
        <v>195</v>
      </c>
      <c r="Q55" s="296" t="s">
        <v>195</v>
      </c>
      <c r="R55" s="250"/>
      <c r="S55" s="250"/>
      <c r="T55" s="250"/>
      <c r="U55" s="250"/>
      <c r="V55" s="250"/>
      <c r="W55" s="250"/>
      <c r="X55" s="238" t="s">
        <v>210</v>
      </c>
      <c r="Y55" s="214" t="s">
        <v>19</v>
      </c>
      <c r="Z55" s="191" t="s">
        <v>19</v>
      </c>
      <c r="AA55" s="191" t="s">
        <v>211</v>
      </c>
      <c r="AB55" s="192" t="s">
        <v>212</v>
      </c>
      <c r="AC55" s="184"/>
      <c r="AD55" s="184"/>
      <c r="AE55" s="184" t="s">
        <v>220</v>
      </c>
      <c r="AF55" s="184"/>
      <c r="AG55" s="184"/>
      <c r="AH55" s="184"/>
      <c r="AI55" s="184"/>
      <c r="AJ55" s="184"/>
      <c r="AK55" s="184"/>
      <c r="AL55" s="184"/>
      <c r="AM55" s="187"/>
    </row>
    <row r="56" spans="2:39" x14ac:dyDescent="0.2">
      <c r="B56" s="541" t="s">
        <v>208</v>
      </c>
      <c r="C56" s="544"/>
      <c r="D56" s="606"/>
      <c r="E56" s="607"/>
      <c r="F56" s="608"/>
      <c r="G56" s="607"/>
      <c r="H56" s="608"/>
      <c r="I56" s="618"/>
      <c r="J56" s="618" t="s">
        <v>531</v>
      </c>
      <c r="K56" s="618"/>
      <c r="M56" s="298" t="s">
        <v>210</v>
      </c>
      <c r="N56" s="300" t="s">
        <v>19</v>
      </c>
      <c r="O56" s="298" t="s">
        <v>19</v>
      </c>
      <c r="P56" s="298" t="s">
        <v>211</v>
      </c>
      <c r="Q56" s="299" t="s">
        <v>212</v>
      </c>
      <c r="R56" s="250"/>
      <c r="S56" s="250"/>
      <c r="T56" s="330" t="s">
        <v>220</v>
      </c>
      <c r="U56" s="330"/>
      <c r="V56" s="330"/>
      <c r="W56" s="330"/>
      <c r="X56" s="239" t="s">
        <v>213</v>
      </c>
      <c r="Y56" s="218" t="s">
        <v>214</v>
      </c>
      <c r="Z56" s="193" t="s">
        <v>215</v>
      </c>
      <c r="AA56" s="193" t="s">
        <v>214</v>
      </c>
      <c r="AB56" s="194" t="s">
        <v>215</v>
      </c>
      <c r="AC56" s="184"/>
      <c r="AD56" s="184"/>
      <c r="AE56" s="184" t="s">
        <v>221</v>
      </c>
      <c r="AF56" s="184" t="s">
        <v>222</v>
      </c>
      <c r="AG56" s="184"/>
      <c r="AH56" s="184"/>
      <c r="AI56" s="184"/>
      <c r="AJ56" s="184"/>
      <c r="AK56" s="184"/>
      <c r="AL56" s="184"/>
      <c r="AM56" s="187"/>
    </row>
    <row r="57" spans="2:39" x14ac:dyDescent="0.2">
      <c r="B57" s="585"/>
      <c r="C57" s="609" t="s">
        <v>526</v>
      </c>
      <c r="D57" s="584" t="s">
        <v>209</v>
      </c>
      <c r="E57" s="609" t="s">
        <v>526</v>
      </c>
      <c r="F57" s="584" t="s">
        <v>209</v>
      </c>
      <c r="G57" s="540" t="s">
        <v>526</v>
      </c>
      <c r="H57" s="574" t="s">
        <v>209</v>
      </c>
      <c r="I57" s="618"/>
      <c r="J57" s="618"/>
      <c r="K57" s="618"/>
      <c r="M57" s="302" t="s">
        <v>213</v>
      </c>
      <c r="N57" s="334" t="s">
        <v>214</v>
      </c>
      <c r="O57" s="302" t="s">
        <v>215</v>
      </c>
      <c r="P57" s="302" t="s">
        <v>214</v>
      </c>
      <c r="Q57" s="303" t="s">
        <v>215</v>
      </c>
      <c r="R57" s="250"/>
      <c r="S57" s="250"/>
      <c r="T57" s="330" t="s">
        <v>221</v>
      </c>
      <c r="U57" s="330" t="s">
        <v>222</v>
      </c>
      <c r="V57" s="330"/>
      <c r="W57" s="330"/>
      <c r="X57" s="240">
        <v>5.0014774172000003</v>
      </c>
      <c r="Y57" s="219">
        <v>-0.50242260244109704</v>
      </c>
      <c r="Z57" s="197">
        <v>1.6192004997329574</v>
      </c>
      <c r="AA57" s="191">
        <v>-0.3</v>
      </c>
      <c r="AB57" s="228">
        <v>1.2</v>
      </c>
      <c r="AC57" s="184"/>
      <c r="AD57" s="184"/>
      <c r="AE57" s="180">
        <v>1.000502422602441</v>
      </c>
      <c r="AF57" s="180">
        <v>0.99838079950026704</v>
      </c>
      <c r="AG57" s="179" t="s">
        <v>216</v>
      </c>
      <c r="AH57" s="179"/>
      <c r="AI57" s="179"/>
      <c r="AJ57" s="179"/>
      <c r="AK57" s="179"/>
      <c r="AL57" s="179"/>
      <c r="AM57" s="187"/>
    </row>
    <row r="58" spans="2:39" x14ac:dyDescent="0.2">
      <c r="B58" s="546" t="s">
        <v>213</v>
      </c>
      <c r="C58" s="610" t="s">
        <v>527</v>
      </c>
      <c r="D58" s="546" t="s">
        <v>192</v>
      </c>
      <c r="E58" s="610" t="s">
        <v>527</v>
      </c>
      <c r="F58" s="546" t="s">
        <v>192</v>
      </c>
      <c r="G58" s="541"/>
      <c r="H58" s="542"/>
      <c r="I58" s="618"/>
      <c r="J58" s="618" t="s">
        <v>221</v>
      </c>
      <c r="K58" s="618" t="s">
        <v>222</v>
      </c>
      <c r="M58" s="335">
        <v>4.9979752099999999</v>
      </c>
      <c r="N58" s="324">
        <v>-0.45374302686867474</v>
      </c>
      <c r="O58" s="306">
        <v>1.4936979249242777</v>
      </c>
      <c r="P58" s="298">
        <v>-0.3</v>
      </c>
      <c r="Q58" s="336">
        <v>1.2</v>
      </c>
      <c r="R58" s="250"/>
      <c r="S58" s="250"/>
      <c r="T58" s="337">
        <v>0.99954625697313138</v>
      </c>
      <c r="U58" s="337">
        <v>1.0014936979249243</v>
      </c>
      <c r="V58" s="330"/>
      <c r="W58" s="330"/>
      <c r="X58" s="240">
        <v>10.011382818</v>
      </c>
      <c r="Y58" s="219">
        <v>-0.53250323792250176</v>
      </c>
      <c r="Z58" s="197">
        <v>1.5088615636766851</v>
      </c>
      <c r="AA58" s="191">
        <v>-0.3</v>
      </c>
      <c r="AB58" s="228">
        <v>1.1000000000000001</v>
      </c>
      <c r="AC58" s="184"/>
      <c r="AD58" s="184"/>
      <c r="AE58" s="229">
        <v>1.0005325032379224</v>
      </c>
      <c r="AF58" s="229">
        <v>0.99849113843632331</v>
      </c>
      <c r="AG58" s="184"/>
      <c r="AH58" s="184"/>
      <c r="AI58" s="184"/>
      <c r="AJ58" s="184"/>
      <c r="AK58" s="184"/>
      <c r="AL58" s="184"/>
      <c r="AM58" s="187"/>
    </row>
    <row r="59" spans="2:39" x14ac:dyDescent="0.2">
      <c r="B59" s="611">
        <v>5.0267318327371342</v>
      </c>
      <c r="C59" s="612">
        <v>2.4551448556745341</v>
      </c>
      <c r="D59" s="595">
        <v>1.6014179791544687</v>
      </c>
      <c r="E59" s="613">
        <v>6.4980688126386327E-2</v>
      </c>
      <c r="F59" s="614">
        <v>3.1318394836164061E-2</v>
      </c>
      <c r="G59" s="552">
        <v>2</v>
      </c>
      <c r="H59" s="578">
        <v>2</v>
      </c>
      <c r="I59" s="618"/>
      <c r="J59" s="623">
        <f>1+C59*0.001</f>
        <v>1.0024551448556744</v>
      </c>
      <c r="K59" s="624">
        <f>1+D59*0.001</f>
        <v>1.0016014179791544</v>
      </c>
      <c r="M59" s="335">
        <v>10.002244657999999</v>
      </c>
      <c r="N59" s="324">
        <v>-0.47060775132127952</v>
      </c>
      <c r="O59" s="306">
        <v>1.4529740170248877</v>
      </c>
      <c r="P59" s="298">
        <v>-0.3</v>
      </c>
      <c r="Q59" s="336">
        <v>1.1000000000000001</v>
      </c>
      <c r="R59" s="250"/>
      <c r="S59" s="250"/>
      <c r="T59" s="337">
        <v>0.99952939224867876</v>
      </c>
      <c r="U59" s="337">
        <v>1.0014529740170248</v>
      </c>
      <c r="V59" s="330"/>
      <c r="W59" s="330"/>
      <c r="X59" s="240">
        <v>19.986977312</v>
      </c>
      <c r="Y59" s="219">
        <v>-0.58859291142555537</v>
      </c>
      <c r="Z59" s="197">
        <v>1.349925416209258</v>
      </c>
      <c r="AA59" s="191">
        <v>-0.3</v>
      </c>
      <c r="AB59" s="228">
        <v>1</v>
      </c>
      <c r="AC59" s="184"/>
      <c r="AD59" s="184"/>
      <c r="AE59" s="229">
        <v>1.0005885929114255</v>
      </c>
      <c r="AF59" s="229">
        <v>0.99865007458379074</v>
      </c>
      <c r="AG59" s="184"/>
      <c r="AH59" s="184"/>
      <c r="AI59" s="184"/>
      <c r="AJ59" s="184"/>
      <c r="AK59" s="184"/>
      <c r="AL59" s="184"/>
      <c r="AM59" s="187"/>
    </row>
    <row r="60" spans="2:39" x14ac:dyDescent="0.2">
      <c r="B60" s="611">
        <v>10.257347534457249</v>
      </c>
      <c r="C60" s="612">
        <v>2.4635999298822555</v>
      </c>
      <c r="D60" s="595">
        <v>1.5451546136488838</v>
      </c>
      <c r="E60" s="596">
        <v>1.9085949028577513E-2</v>
      </c>
      <c r="F60" s="595">
        <v>1.0970699979232281E-2</v>
      </c>
      <c r="G60" s="559">
        <v>2</v>
      </c>
      <c r="H60" s="565">
        <v>2</v>
      </c>
      <c r="I60" s="618"/>
      <c r="J60" s="623">
        <f t="shared" ref="J60:K65" si="1">1+C60*0.001</f>
        <v>1.0024635999298823</v>
      </c>
      <c r="K60" s="624">
        <f t="shared" si="1"/>
        <v>1.0015451546136489</v>
      </c>
      <c r="M60" s="335">
        <v>19.982790899999998</v>
      </c>
      <c r="N60" s="324">
        <v>-0.51009351084520538</v>
      </c>
      <c r="O60" s="306">
        <v>1.3142944078613865</v>
      </c>
      <c r="P60" s="298">
        <v>-0.3</v>
      </c>
      <c r="Q60" s="336">
        <v>1</v>
      </c>
      <c r="R60" s="250"/>
      <c r="S60" s="250"/>
      <c r="T60" s="337">
        <v>0.99948990648915481</v>
      </c>
      <c r="U60" s="337">
        <v>1.0013142944078615</v>
      </c>
      <c r="V60" s="330"/>
      <c r="W60" s="330"/>
      <c r="X60" s="240">
        <v>39.979910304000001</v>
      </c>
      <c r="Y60" s="219">
        <v>-0.64572330962475688</v>
      </c>
      <c r="Z60" s="197">
        <v>1.1428439847057041</v>
      </c>
      <c r="AA60" s="191">
        <v>-0.4</v>
      </c>
      <c r="AB60" s="228">
        <v>0.9</v>
      </c>
      <c r="AC60" s="184"/>
      <c r="AD60" s="184"/>
      <c r="AE60" s="229">
        <v>1.0006457233096246</v>
      </c>
      <c r="AF60" s="229">
        <v>0.99885715601529435</v>
      </c>
      <c r="AG60" s="184"/>
      <c r="AH60" s="184"/>
      <c r="AI60" s="184"/>
      <c r="AJ60" s="184"/>
      <c r="AK60" s="184"/>
      <c r="AL60" s="184"/>
      <c r="AM60" s="187"/>
    </row>
    <row r="61" spans="2:39" x14ac:dyDescent="0.2">
      <c r="B61" s="611">
        <v>20.228247449021882</v>
      </c>
      <c r="C61" s="612">
        <v>2.4178016635691337</v>
      </c>
      <c r="D61" s="595">
        <v>1.4233052273011106</v>
      </c>
      <c r="E61" s="596">
        <v>1.8689525766732478E-2</v>
      </c>
      <c r="F61" s="595">
        <v>1.518272894660954E-2</v>
      </c>
      <c r="G61" s="559">
        <v>2</v>
      </c>
      <c r="H61" s="565">
        <v>2</v>
      </c>
      <c r="I61" s="618"/>
      <c r="J61" s="623">
        <f t="shared" si="1"/>
        <v>1.0024178016635692</v>
      </c>
      <c r="K61" s="624">
        <f t="shared" si="1"/>
        <v>1.0014233052273012</v>
      </c>
      <c r="M61" s="335">
        <v>39.976705572</v>
      </c>
      <c r="N61" s="324">
        <v>-0.58037467907103113</v>
      </c>
      <c r="O61" s="306">
        <v>1.1057483610562335</v>
      </c>
      <c r="P61" s="298">
        <v>-0.4</v>
      </c>
      <c r="Q61" s="336">
        <v>0.9</v>
      </c>
      <c r="R61" s="250"/>
      <c r="S61" s="250"/>
      <c r="T61" s="337">
        <v>0.99941962532092898</v>
      </c>
      <c r="U61" s="337">
        <v>1.0011057483610561</v>
      </c>
      <c r="V61" s="330"/>
      <c r="W61" s="330"/>
      <c r="X61" s="240">
        <v>59.958362932</v>
      </c>
      <c r="Y61" s="219">
        <v>-0.67638300453034139</v>
      </c>
      <c r="Z61" s="197">
        <v>1.0021370341305902</v>
      </c>
      <c r="AA61" s="191">
        <v>-0.4</v>
      </c>
      <c r="AB61" s="228">
        <v>0.7</v>
      </c>
      <c r="AC61" s="184"/>
      <c r="AD61" s="184"/>
      <c r="AE61" s="229">
        <v>1.0006763830045304</v>
      </c>
      <c r="AF61" s="229">
        <v>0.99899786296586945</v>
      </c>
      <c r="AG61" s="184"/>
      <c r="AH61" s="184"/>
      <c r="AI61" s="184"/>
      <c r="AJ61" s="184"/>
      <c r="AK61" s="184"/>
      <c r="AL61" s="184"/>
      <c r="AM61" s="187"/>
    </row>
    <row r="62" spans="2:39" x14ac:dyDescent="0.2">
      <c r="B62" s="611">
        <v>40.200350257543441</v>
      </c>
      <c r="C62" s="612">
        <v>2.366915098759502</v>
      </c>
      <c r="D62" s="595">
        <v>1.2221882484082911</v>
      </c>
      <c r="E62" s="596">
        <v>1.9569168155587787E-2</v>
      </c>
      <c r="F62" s="595">
        <v>2.3163162126054744E-2</v>
      </c>
      <c r="G62" s="559">
        <v>2</v>
      </c>
      <c r="H62" s="565">
        <v>2</v>
      </c>
      <c r="I62" s="618"/>
      <c r="J62" s="623">
        <f t="shared" si="1"/>
        <v>1.0023669150987595</v>
      </c>
      <c r="K62" s="624">
        <f t="shared" si="1"/>
        <v>1.0012221882484083</v>
      </c>
      <c r="M62" s="335">
        <v>59.938688941999999</v>
      </c>
      <c r="N62" s="324">
        <v>-0.60978760093837026</v>
      </c>
      <c r="O62" s="306">
        <v>0.97056094641908408</v>
      </c>
      <c r="P62" s="298">
        <v>-0.4</v>
      </c>
      <c r="Q62" s="336">
        <v>0.7</v>
      </c>
      <c r="R62" s="250"/>
      <c r="S62" s="250"/>
      <c r="T62" s="337">
        <v>0.99939021239906167</v>
      </c>
      <c r="U62" s="337">
        <v>1.000970560946419</v>
      </c>
      <c r="V62" s="330"/>
      <c r="W62" s="330"/>
      <c r="X62" s="240">
        <v>99.877201851999999</v>
      </c>
      <c r="Y62" s="219">
        <v>-0.71038407849207319</v>
      </c>
      <c r="Z62" s="197">
        <v>0.80744171347031313</v>
      </c>
      <c r="AA62" s="191">
        <v>-0.5</v>
      </c>
      <c r="AB62" s="228">
        <v>0.6</v>
      </c>
      <c r="AC62" s="184"/>
      <c r="AD62" s="184"/>
      <c r="AE62" s="229">
        <v>1.0007103840784921</v>
      </c>
      <c r="AF62" s="229">
        <v>0.99919255828652964</v>
      </c>
      <c r="AG62" s="184"/>
      <c r="AH62" s="184"/>
      <c r="AI62" s="184"/>
      <c r="AJ62" s="184"/>
      <c r="AK62" s="184"/>
      <c r="AL62" s="184"/>
      <c r="AM62" s="187"/>
    </row>
    <row r="63" spans="2:39" x14ac:dyDescent="0.2">
      <c r="B63" s="611">
        <v>60.175200534044492</v>
      </c>
      <c r="C63" s="612">
        <v>2.3410276395666965</v>
      </c>
      <c r="D63" s="595">
        <v>1.0754841323165893</v>
      </c>
      <c r="E63" s="596">
        <v>1.769658919955255E-2</v>
      </c>
      <c r="F63" s="595">
        <v>1.4227957730326568E-2</v>
      </c>
      <c r="G63" s="559">
        <v>2</v>
      </c>
      <c r="H63" s="565">
        <v>2</v>
      </c>
      <c r="I63" s="618"/>
      <c r="J63" s="623">
        <f t="shared" si="1"/>
        <v>1.0023410276395668</v>
      </c>
      <c r="K63" s="624">
        <f t="shared" si="1"/>
        <v>1.0010754841323166</v>
      </c>
      <c r="M63" s="335">
        <v>99.924239755999992</v>
      </c>
      <c r="N63" s="324">
        <v>-0.64396467254052259</v>
      </c>
      <c r="O63" s="306">
        <v>0.77795908036417216</v>
      </c>
      <c r="P63" s="298">
        <v>-0.5</v>
      </c>
      <c r="Q63" s="336">
        <v>0.6</v>
      </c>
      <c r="R63" s="250"/>
      <c r="S63" s="250"/>
      <c r="T63" s="337">
        <v>0.99935603532745942</v>
      </c>
      <c r="U63" s="337">
        <v>1.0007779590803643</v>
      </c>
      <c r="V63" s="330"/>
      <c r="W63" s="330"/>
      <c r="X63" s="240">
        <v>119.61058278</v>
      </c>
      <c r="Y63" s="219">
        <v>-0.71526626667606996</v>
      </c>
      <c r="Z63" s="197">
        <v>0.73917832306376807</v>
      </c>
      <c r="AA63" s="191" t="s">
        <v>217</v>
      </c>
      <c r="AB63" s="228" t="s">
        <v>217</v>
      </c>
      <c r="AC63" s="184"/>
      <c r="AD63" s="184"/>
      <c r="AE63" s="229">
        <v>1.0007152662666761</v>
      </c>
      <c r="AF63" s="229">
        <v>0.9992608216769362</v>
      </c>
      <c r="AG63" s="184"/>
      <c r="AH63" s="184"/>
      <c r="AI63" s="184"/>
      <c r="AJ63" s="184"/>
      <c r="AK63" s="184"/>
      <c r="AL63" s="184"/>
      <c r="AM63" s="187"/>
    </row>
    <row r="64" spans="2:39" x14ac:dyDescent="0.2">
      <c r="B64" s="611">
        <v>99.948491151834446</v>
      </c>
      <c r="C64" s="612">
        <v>2.3138903249208411</v>
      </c>
      <c r="D64" s="595">
        <v>0.87032856955477345</v>
      </c>
      <c r="E64" s="596">
        <v>2.4614310094158386E-2</v>
      </c>
      <c r="F64" s="595">
        <v>1.206819268588917E-2</v>
      </c>
      <c r="G64" s="559">
        <v>2</v>
      </c>
      <c r="H64" s="565">
        <v>2</v>
      </c>
      <c r="I64" s="618"/>
      <c r="J64" s="623">
        <f t="shared" si="1"/>
        <v>1.0023138903249209</v>
      </c>
      <c r="K64" s="624">
        <f t="shared" si="1"/>
        <v>1.0008703285695548</v>
      </c>
      <c r="M64" s="335">
        <v>119.90347406000001</v>
      </c>
      <c r="N64" s="324">
        <v>-0.64559195864442498</v>
      </c>
      <c r="O64" s="306">
        <v>0.72064358443938825</v>
      </c>
      <c r="P64" s="298" t="s">
        <v>217</v>
      </c>
      <c r="Q64" s="336" t="s">
        <v>217</v>
      </c>
      <c r="R64" s="250"/>
      <c r="S64" s="250"/>
      <c r="T64" s="337">
        <v>0.99935440804135556</v>
      </c>
      <c r="U64" s="337">
        <v>1.0007206435844394</v>
      </c>
      <c r="V64" s="330"/>
      <c r="W64" s="330"/>
      <c r="X64" s="238">
        <v>125</v>
      </c>
      <c r="Y64" s="214" t="s">
        <v>217</v>
      </c>
      <c r="Z64" s="191" t="s">
        <v>217</v>
      </c>
      <c r="AA64" s="191">
        <v>-0.5</v>
      </c>
      <c r="AB64" s="228">
        <v>0.5</v>
      </c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7"/>
    </row>
    <row r="65" spans="2:39" x14ac:dyDescent="0.2">
      <c r="B65" s="611">
        <v>120.12957747649615</v>
      </c>
      <c r="C65" s="612">
        <v>2.3042077492322299</v>
      </c>
      <c r="D65" s="595">
        <v>0.80805408381344546</v>
      </c>
      <c r="E65" s="596">
        <v>2.950835821998235E-2</v>
      </c>
      <c r="F65" s="595">
        <v>2.4050614408733646E-2</v>
      </c>
      <c r="G65" s="559">
        <v>2</v>
      </c>
      <c r="H65" s="565">
        <v>2</v>
      </c>
      <c r="I65" s="618"/>
      <c r="J65" s="623">
        <f t="shared" si="1"/>
        <v>1.0023042077492321</v>
      </c>
      <c r="K65" s="624">
        <f t="shared" si="1"/>
        <v>1.0008080540838133</v>
      </c>
      <c r="M65" s="298">
        <v>125</v>
      </c>
      <c r="N65" s="324" t="s">
        <v>217</v>
      </c>
      <c r="O65" s="306" t="s">
        <v>217</v>
      </c>
      <c r="P65" s="298">
        <v>-0.5</v>
      </c>
      <c r="Q65" s="336">
        <v>0.5</v>
      </c>
      <c r="R65" s="250"/>
      <c r="S65" s="250" t="s">
        <v>274</v>
      </c>
      <c r="T65" s="337">
        <v>0.99944083382853866</v>
      </c>
      <c r="U65" s="337">
        <v>1.0011194111888699</v>
      </c>
      <c r="V65" s="250"/>
      <c r="W65" s="250"/>
      <c r="X65" s="235"/>
      <c r="Y65" s="220"/>
      <c r="Z65" s="208"/>
      <c r="AA65" s="208"/>
      <c r="AB65" s="209"/>
      <c r="AC65" s="184"/>
      <c r="AD65" s="184"/>
      <c r="AE65" s="184"/>
      <c r="AF65" s="184"/>
      <c r="AG65" s="184"/>
      <c r="AH65" s="184"/>
      <c r="AI65" s="184"/>
      <c r="AJ65" s="184"/>
      <c r="AK65" s="184"/>
      <c r="AL65" s="184"/>
      <c r="AM65" s="187"/>
    </row>
    <row r="66" spans="2:39" x14ac:dyDescent="0.2">
      <c r="B66" s="587"/>
      <c r="C66" s="615"/>
      <c r="D66" s="587"/>
      <c r="E66" s="588"/>
      <c r="F66" s="587"/>
      <c r="G66" s="588"/>
      <c r="H66" s="587"/>
      <c r="I66" s="618" t="s">
        <v>274</v>
      </c>
      <c r="J66" s="625">
        <f>AVERAGE(J59:J65)</f>
        <v>1.0023803696088007</v>
      </c>
      <c r="K66" s="626">
        <f>AVERAGE(K59:K65)</f>
        <v>1.0012208475505997</v>
      </c>
      <c r="M66" s="317"/>
      <c r="N66" s="338"/>
      <c r="O66" s="317"/>
      <c r="P66" s="317"/>
      <c r="Q66" s="318"/>
      <c r="R66" s="250"/>
      <c r="S66" s="250" t="s">
        <v>309</v>
      </c>
      <c r="T66" s="380">
        <v>-5.5916617146134495E-2</v>
      </c>
      <c r="U66" s="380">
        <v>0.11194111888699343</v>
      </c>
      <c r="V66" s="330"/>
      <c r="W66" s="330"/>
      <c r="X66" s="183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  <c r="AM66" s="187"/>
    </row>
    <row r="67" spans="2:39" ht="14.25" x14ac:dyDescent="0.2">
      <c r="B67" s="572"/>
      <c r="C67" s="572"/>
      <c r="D67" s="572"/>
      <c r="E67" s="572"/>
      <c r="F67" s="572"/>
      <c r="G67" s="572"/>
      <c r="H67" s="573"/>
      <c r="I67" s="618" t="s">
        <v>468</v>
      </c>
      <c r="J67" s="625">
        <f>STDEV(J59:J65)</f>
        <v>6.5661659333198655E-5</v>
      </c>
      <c r="K67" s="626">
        <f>STDEV(K59:K65)</f>
        <v>3.1764559817219344E-4</v>
      </c>
      <c r="M67" s="250"/>
      <c r="N67" s="250"/>
      <c r="O67" s="250"/>
      <c r="P67" s="250"/>
      <c r="Q67" s="250"/>
      <c r="R67" s="250"/>
      <c r="S67" s="383" t="s">
        <v>308</v>
      </c>
      <c r="T67" s="383">
        <v>8.0661113727229652E-5</v>
      </c>
      <c r="U67" s="383">
        <v>3.1285843509091876E-4</v>
      </c>
      <c r="V67" s="330"/>
      <c r="W67" s="330"/>
      <c r="X67" s="183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  <c r="AL67" s="184"/>
      <c r="AM67" s="187"/>
    </row>
    <row r="68" spans="2:39" ht="14.25" x14ac:dyDescent="0.2">
      <c r="B68" s="572"/>
      <c r="C68" s="572"/>
      <c r="D68" s="572"/>
      <c r="E68" s="572"/>
      <c r="F68" s="572"/>
      <c r="G68" s="572"/>
      <c r="H68" s="573"/>
      <c r="J68" s="618"/>
      <c r="K68" s="618"/>
      <c r="M68" s="250"/>
      <c r="N68" s="250"/>
      <c r="O68" s="250"/>
      <c r="P68" s="250"/>
      <c r="Q68" s="250"/>
      <c r="R68" s="250"/>
      <c r="S68" s="250"/>
      <c r="T68" s="330"/>
      <c r="U68" s="330"/>
      <c r="V68" s="330"/>
      <c r="W68" s="330"/>
      <c r="X68" s="234" t="s">
        <v>218</v>
      </c>
      <c r="Y68" s="216"/>
      <c r="Z68" s="216"/>
      <c r="AA68" s="216"/>
      <c r="AB68" s="226"/>
      <c r="AC68" s="184"/>
      <c r="AD68" s="184"/>
      <c r="AE68" s="184"/>
      <c r="AF68" s="184"/>
      <c r="AG68" s="184"/>
      <c r="AH68" s="184"/>
      <c r="AI68" s="184"/>
      <c r="AJ68" s="184"/>
      <c r="AK68" s="184"/>
      <c r="AL68" s="184"/>
      <c r="AM68" s="187"/>
    </row>
    <row r="69" spans="2:39" x14ac:dyDescent="0.2">
      <c r="B69" s="75" t="s">
        <v>525</v>
      </c>
      <c r="C69" s="602"/>
      <c r="D69" s="602"/>
      <c r="E69" s="602"/>
      <c r="F69" s="602"/>
      <c r="G69" s="602"/>
      <c r="H69" s="603"/>
      <c r="J69" s="618"/>
      <c r="K69" s="618"/>
      <c r="M69" s="325" t="s">
        <v>272</v>
      </c>
      <c r="N69" s="326"/>
      <c r="O69" s="326"/>
      <c r="P69" s="326"/>
      <c r="Q69" s="327"/>
      <c r="R69" s="328">
        <v>39378</v>
      </c>
      <c r="S69" s="250"/>
      <c r="T69" s="330"/>
      <c r="U69" s="330"/>
      <c r="V69" s="330"/>
      <c r="W69" s="330"/>
      <c r="X69" s="183" t="s">
        <v>219</v>
      </c>
      <c r="Y69" s="184"/>
      <c r="Z69" s="184"/>
      <c r="AA69" s="184"/>
      <c r="AB69" s="227"/>
      <c r="AC69" s="184"/>
      <c r="AD69" s="184"/>
      <c r="AE69" s="184"/>
      <c r="AF69" s="184"/>
      <c r="AG69" s="184"/>
      <c r="AH69" s="184"/>
      <c r="AI69" s="184"/>
      <c r="AJ69" s="184"/>
      <c r="AK69" s="184"/>
      <c r="AL69" s="184"/>
      <c r="AM69" s="187"/>
    </row>
    <row r="70" spans="2:39" x14ac:dyDescent="0.2">
      <c r="B70" s="604" t="s">
        <v>529</v>
      </c>
      <c r="C70" s="607"/>
      <c r="D70" s="607"/>
      <c r="E70" s="607"/>
      <c r="F70" s="605"/>
      <c r="G70" s="605"/>
      <c r="H70" s="588"/>
      <c r="J70" s="618"/>
      <c r="K70" s="618"/>
      <c r="M70" s="329" t="s">
        <v>219</v>
      </c>
      <c r="N70" s="330"/>
      <c r="O70" s="330"/>
      <c r="P70" s="330"/>
      <c r="Q70" s="331"/>
      <c r="R70" s="332" t="s">
        <v>275</v>
      </c>
      <c r="S70" s="250"/>
      <c r="T70" s="330"/>
      <c r="U70" s="330"/>
      <c r="V70" s="330"/>
      <c r="W70" s="330"/>
      <c r="X70" s="237" t="s">
        <v>207</v>
      </c>
      <c r="Y70" s="217" t="s">
        <v>208</v>
      </c>
      <c r="Z70" s="188" t="s">
        <v>209</v>
      </c>
      <c r="AA70" s="188" t="s">
        <v>195</v>
      </c>
      <c r="AB70" s="189" t="s">
        <v>195</v>
      </c>
      <c r="AC70" s="184"/>
      <c r="AD70" s="184"/>
      <c r="AE70" s="184"/>
      <c r="AF70" s="184"/>
      <c r="AG70" s="184"/>
      <c r="AH70" s="184"/>
      <c r="AI70" s="184"/>
      <c r="AJ70" s="184"/>
      <c r="AK70" s="184"/>
      <c r="AL70" s="184"/>
      <c r="AM70" s="187"/>
    </row>
    <row r="71" spans="2:39" x14ac:dyDescent="0.2">
      <c r="B71" s="554" t="s">
        <v>207</v>
      </c>
      <c r="C71" s="680" t="s">
        <v>19</v>
      </c>
      <c r="D71" s="681"/>
      <c r="E71" s="682" t="s">
        <v>20</v>
      </c>
      <c r="F71" s="683"/>
      <c r="G71" s="680" t="s">
        <v>8</v>
      </c>
      <c r="H71" s="681"/>
      <c r="J71" s="618"/>
      <c r="K71" s="618"/>
      <c r="M71" s="295" t="s">
        <v>207</v>
      </c>
      <c r="N71" s="333" t="s">
        <v>208</v>
      </c>
      <c r="O71" s="295" t="s">
        <v>209</v>
      </c>
      <c r="P71" s="295" t="s">
        <v>195</v>
      </c>
      <c r="Q71" s="296" t="s">
        <v>195</v>
      </c>
      <c r="R71" s="330"/>
      <c r="S71" s="250"/>
      <c r="T71" s="330"/>
      <c r="U71" s="330"/>
      <c r="V71" s="330"/>
      <c r="W71" s="330"/>
      <c r="X71" s="238" t="s">
        <v>210</v>
      </c>
      <c r="Y71" s="214" t="s">
        <v>19</v>
      </c>
      <c r="Z71" s="191" t="s">
        <v>19</v>
      </c>
      <c r="AA71" s="191" t="s">
        <v>211</v>
      </c>
      <c r="AB71" s="192" t="s">
        <v>212</v>
      </c>
      <c r="AC71" s="184"/>
      <c r="AD71" s="184"/>
      <c r="AE71" s="184" t="s">
        <v>220</v>
      </c>
      <c r="AF71" s="184"/>
      <c r="AG71" s="184"/>
      <c r="AH71" s="184"/>
      <c r="AI71" s="184"/>
      <c r="AJ71" s="184"/>
      <c r="AK71" s="184"/>
      <c r="AL71" s="184"/>
      <c r="AM71" s="187"/>
    </row>
    <row r="72" spans="2:39" x14ac:dyDescent="0.2">
      <c r="B72" s="541" t="s">
        <v>208</v>
      </c>
      <c r="C72" s="544"/>
      <c r="D72" s="606"/>
      <c r="E72" s="607"/>
      <c r="F72" s="608"/>
      <c r="G72" s="607"/>
      <c r="H72" s="608"/>
      <c r="I72" s="618"/>
      <c r="J72" s="618" t="s">
        <v>531</v>
      </c>
      <c r="K72" s="618"/>
      <c r="M72" s="298" t="s">
        <v>210</v>
      </c>
      <c r="N72" s="300" t="s">
        <v>19</v>
      </c>
      <c r="O72" s="298" t="s">
        <v>19</v>
      </c>
      <c r="P72" s="298" t="s">
        <v>211</v>
      </c>
      <c r="Q72" s="299" t="s">
        <v>212</v>
      </c>
      <c r="R72" s="330"/>
      <c r="S72" s="250"/>
      <c r="T72" s="330" t="s">
        <v>220</v>
      </c>
      <c r="U72" s="330"/>
      <c r="V72" s="330"/>
      <c r="W72" s="330"/>
      <c r="X72" s="238" t="s">
        <v>213</v>
      </c>
      <c r="Y72" s="214" t="s">
        <v>214</v>
      </c>
      <c r="Z72" s="191" t="s">
        <v>215</v>
      </c>
      <c r="AA72" s="191" t="s">
        <v>214</v>
      </c>
      <c r="AB72" s="192" t="s">
        <v>215</v>
      </c>
      <c r="AC72" s="184"/>
      <c r="AD72" s="184"/>
      <c r="AE72" s="184" t="s">
        <v>221</v>
      </c>
      <c r="AF72" s="184" t="s">
        <v>222</v>
      </c>
      <c r="AG72" s="184"/>
      <c r="AH72" s="184"/>
      <c r="AI72" s="184"/>
      <c r="AJ72" s="184"/>
      <c r="AK72" s="184"/>
      <c r="AL72" s="184"/>
      <c r="AM72" s="187"/>
    </row>
    <row r="73" spans="2:39" x14ac:dyDescent="0.2">
      <c r="B73" s="585"/>
      <c r="C73" s="609" t="s">
        <v>526</v>
      </c>
      <c r="D73" s="584" t="s">
        <v>209</v>
      </c>
      <c r="E73" s="609" t="s">
        <v>526</v>
      </c>
      <c r="F73" s="584" t="s">
        <v>209</v>
      </c>
      <c r="G73" s="540" t="s">
        <v>526</v>
      </c>
      <c r="H73" s="574" t="s">
        <v>209</v>
      </c>
      <c r="I73" s="618"/>
      <c r="J73" s="618"/>
      <c r="K73" s="618"/>
      <c r="M73" s="302" t="s">
        <v>213</v>
      </c>
      <c r="N73" s="334" t="s">
        <v>214</v>
      </c>
      <c r="O73" s="302" t="s">
        <v>215</v>
      </c>
      <c r="P73" s="298" t="s">
        <v>214</v>
      </c>
      <c r="Q73" s="299" t="s">
        <v>215</v>
      </c>
      <c r="R73" s="330"/>
      <c r="S73" s="250"/>
      <c r="T73" s="330" t="s">
        <v>221</v>
      </c>
      <c r="U73" s="330" t="s">
        <v>222</v>
      </c>
      <c r="V73" s="330"/>
      <c r="W73" s="330"/>
      <c r="X73" s="241">
        <v>4.7300000000000004</v>
      </c>
      <c r="Y73" s="221">
        <v>2.0338266384778012</v>
      </c>
      <c r="Z73" s="195">
        <v>1.7843551797040169</v>
      </c>
      <c r="AA73" s="189">
        <v>2.8</v>
      </c>
      <c r="AB73" s="188">
        <v>1.2</v>
      </c>
      <c r="AC73" s="184"/>
      <c r="AD73" s="184"/>
      <c r="AE73" s="180">
        <v>0.99796617336152216</v>
      </c>
      <c r="AF73" s="180">
        <v>0.99821564482029601</v>
      </c>
      <c r="AG73" s="179" t="s">
        <v>234</v>
      </c>
      <c r="AH73" s="179"/>
      <c r="AI73" s="179"/>
      <c r="AJ73" s="179"/>
      <c r="AK73" s="179"/>
      <c r="AL73" s="179"/>
      <c r="AM73" s="187"/>
    </row>
    <row r="74" spans="2:39" x14ac:dyDescent="0.2">
      <c r="B74" s="546" t="s">
        <v>213</v>
      </c>
      <c r="C74" s="610" t="s">
        <v>527</v>
      </c>
      <c r="D74" s="546" t="s">
        <v>192</v>
      </c>
      <c r="E74" s="610" t="s">
        <v>527</v>
      </c>
      <c r="F74" s="546" t="s">
        <v>192</v>
      </c>
      <c r="G74" s="541"/>
      <c r="H74" s="542"/>
      <c r="I74" s="618"/>
      <c r="J74" s="618" t="s">
        <v>221</v>
      </c>
      <c r="K74" s="618" t="s">
        <v>222</v>
      </c>
      <c r="M74" s="335">
        <v>5.0174463710000001</v>
      </c>
      <c r="N74" s="324">
        <v>2.371356114955733</v>
      </c>
      <c r="O74" s="306">
        <v>1.8737530950017725</v>
      </c>
      <c r="P74" s="296">
        <v>2.8</v>
      </c>
      <c r="Q74" s="295">
        <v>1.2</v>
      </c>
      <c r="R74" s="332"/>
      <c r="S74" s="250"/>
      <c r="T74" s="337">
        <v>1.0023713561149556</v>
      </c>
      <c r="U74" s="337">
        <v>1.0018737530950017</v>
      </c>
      <c r="V74" s="330"/>
      <c r="W74" s="330"/>
      <c r="X74" s="240">
        <v>2.0299999999999998</v>
      </c>
      <c r="Y74" s="203">
        <v>2.4078817733990148</v>
      </c>
      <c r="Z74" s="197">
        <v>1.5901477832512318</v>
      </c>
      <c r="AA74" s="192">
        <v>2.7</v>
      </c>
      <c r="AB74" s="191">
        <v>1.1000000000000001</v>
      </c>
      <c r="AC74" s="184"/>
      <c r="AD74" s="184"/>
      <c r="AE74" s="229">
        <v>0.99759211822660099</v>
      </c>
      <c r="AF74" s="229">
        <v>0.99840985221674872</v>
      </c>
      <c r="AG74" s="184"/>
      <c r="AH74" s="184"/>
      <c r="AI74" s="184"/>
      <c r="AJ74" s="184"/>
      <c r="AK74" s="184"/>
      <c r="AL74" s="184"/>
      <c r="AM74" s="187"/>
    </row>
    <row r="75" spans="2:39" x14ac:dyDescent="0.2">
      <c r="B75" s="611">
        <v>5.0317885393036335</v>
      </c>
      <c r="C75" s="616">
        <v>-0.52944245288879854</v>
      </c>
      <c r="D75" s="580">
        <v>1.5916231450195943</v>
      </c>
      <c r="E75" s="617">
        <v>4.2325004152275652E-3</v>
      </c>
      <c r="F75" s="576">
        <v>6.3025053476361186E-3</v>
      </c>
      <c r="G75" s="552">
        <v>2</v>
      </c>
      <c r="H75" s="578">
        <v>2</v>
      </c>
      <c r="I75" s="618"/>
      <c r="J75" s="623">
        <f>1+C75*0.001</f>
        <v>0.99947055754711123</v>
      </c>
      <c r="K75" s="624">
        <f>1+D75*0.001</f>
        <v>1.0015916231450197</v>
      </c>
      <c r="M75" s="335">
        <v>10.088351168999999</v>
      </c>
      <c r="N75" s="324">
        <v>2.4434277964483302</v>
      </c>
      <c r="O75" s="306">
        <v>1.7249632976173415</v>
      </c>
      <c r="P75" s="299">
        <v>2.7</v>
      </c>
      <c r="Q75" s="298">
        <v>1.1000000000000001</v>
      </c>
      <c r="R75" s="332"/>
      <c r="S75" s="250"/>
      <c r="T75" s="337">
        <v>1.0024434277964482</v>
      </c>
      <c r="U75" s="337">
        <v>1.0017249632976173</v>
      </c>
      <c r="V75" s="330"/>
      <c r="W75" s="330"/>
      <c r="X75" s="240">
        <v>3.99</v>
      </c>
      <c r="Y75" s="203">
        <v>2.426065162907268</v>
      </c>
      <c r="Z75" s="197">
        <v>1.4536340852130325</v>
      </c>
      <c r="AA75" s="192">
        <v>2.7</v>
      </c>
      <c r="AB75" s="191">
        <v>1</v>
      </c>
      <c r="AC75" s="184"/>
      <c r="AD75" s="184"/>
      <c r="AE75" s="229">
        <v>0.99757393483709278</v>
      </c>
      <c r="AF75" s="229">
        <v>0.99854636591478696</v>
      </c>
      <c r="AG75" s="184"/>
      <c r="AH75" s="184"/>
      <c r="AI75" s="184"/>
      <c r="AJ75" s="184"/>
      <c r="AK75" s="184"/>
      <c r="AL75" s="184"/>
      <c r="AM75" s="187"/>
    </row>
    <row r="76" spans="2:39" x14ac:dyDescent="0.2">
      <c r="B76" s="611">
        <v>10.085165424167425</v>
      </c>
      <c r="C76" s="616">
        <v>-0.54951563346559507</v>
      </c>
      <c r="D76" s="580">
        <v>1.5176742264093219</v>
      </c>
      <c r="E76" s="577">
        <v>3.5319278889947062E-3</v>
      </c>
      <c r="F76" s="580">
        <v>1.4123190674036308E-2</v>
      </c>
      <c r="G76" s="559">
        <v>2</v>
      </c>
      <c r="H76" s="565">
        <v>2</v>
      </c>
      <c r="I76" s="618"/>
      <c r="J76" s="623">
        <f t="shared" ref="J76:K81" si="2">1+C76*0.001</f>
        <v>0.99945048436653439</v>
      </c>
      <c r="K76" s="624">
        <f t="shared" si="2"/>
        <v>1.0015176742264094</v>
      </c>
      <c r="M76" s="335">
        <v>20.024590404000001</v>
      </c>
      <c r="N76" s="324">
        <v>2.4459282151850097</v>
      </c>
      <c r="O76" s="306">
        <v>1.4981725832125237</v>
      </c>
      <c r="P76" s="299">
        <v>2.7</v>
      </c>
      <c r="Q76" s="298">
        <v>1</v>
      </c>
      <c r="R76" s="332"/>
      <c r="S76" s="250"/>
      <c r="T76" s="337">
        <v>1.002445928215185</v>
      </c>
      <c r="U76" s="337">
        <v>1.0014981725832126</v>
      </c>
      <c r="V76" s="330"/>
      <c r="W76" s="330"/>
      <c r="X76" s="240">
        <v>8.08</v>
      </c>
      <c r="Y76" s="203">
        <v>2.4089108910891088</v>
      </c>
      <c r="Z76" s="197">
        <v>1.2227722772277227</v>
      </c>
      <c r="AA76" s="192">
        <v>2.6</v>
      </c>
      <c r="AB76" s="191">
        <v>0.9</v>
      </c>
      <c r="AC76" s="184"/>
      <c r="AD76" s="184"/>
      <c r="AE76" s="229">
        <v>0.99759108910891092</v>
      </c>
      <c r="AF76" s="229">
        <v>0.99877722772277233</v>
      </c>
      <c r="AG76" s="184"/>
      <c r="AH76" s="184"/>
      <c r="AI76" s="184"/>
      <c r="AJ76" s="184"/>
      <c r="AK76" s="184"/>
      <c r="AL76" s="184"/>
      <c r="AM76" s="187"/>
    </row>
    <row r="77" spans="2:39" x14ac:dyDescent="0.2">
      <c r="B77" s="611">
        <v>20.036370439893069</v>
      </c>
      <c r="C77" s="616">
        <v>-0.5908759856905752</v>
      </c>
      <c r="D77" s="580">
        <v>1.3740457010043947</v>
      </c>
      <c r="E77" s="577">
        <v>1.5092682051037302E-3</v>
      </c>
      <c r="F77" s="580">
        <v>2.5151604034826859E-3</v>
      </c>
      <c r="G77" s="559">
        <v>2</v>
      </c>
      <c r="H77" s="565">
        <v>2</v>
      </c>
      <c r="I77" s="618"/>
      <c r="J77" s="623">
        <f t="shared" si="2"/>
        <v>0.99940912401430948</v>
      </c>
      <c r="K77" s="624">
        <f t="shared" si="2"/>
        <v>1.0013740457010043</v>
      </c>
      <c r="M77" s="335">
        <v>39.984083609999999</v>
      </c>
      <c r="N77" s="324">
        <v>2.4065788345157322</v>
      </c>
      <c r="O77" s="306">
        <v>1.2721534022422476</v>
      </c>
      <c r="P77" s="299">
        <v>2.6</v>
      </c>
      <c r="Q77" s="298">
        <v>0.9</v>
      </c>
      <c r="R77" s="332"/>
      <c r="S77" s="250"/>
      <c r="T77" s="337">
        <v>1.0024065788345158</v>
      </c>
      <c r="U77" s="337">
        <v>1.0012721534022422</v>
      </c>
      <c r="V77" s="330"/>
      <c r="W77" s="330"/>
      <c r="X77" s="240">
        <v>12</v>
      </c>
      <c r="Y77" s="203">
        <v>2.3866666666666667</v>
      </c>
      <c r="Z77" s="197">
        <v>1.0766666666666667</v>
      </c>
      <c r="AA77" s="192">
        <v>2.6</v>
      </c>
      <c r="AB77" s="191">
        <v>0.7</v>
      </c>
      <c r="AC77" s="184"/>
      <c r="AD77" s="184"/>
      <c r="AE77" s="229">
        <v>0.99761333333333335</v>
      </c>
      <c r="AF77" s="229">
        <v>0.99892333333333339</v>
      </c>
      <c r="AG77" s="184"/>
      <c r="AH77" s="184"/>
      <c r="AI77" s="184"/>
      <c r="AJ77" s="184"/>
      <c r="AK77" s="184"/>
      <c r="AL77" s="184"/>
      <c r="AM77" s="187"/>
    </row>
    <row r="78" spans="2:39" x14ac:dyDescent="0.2">
      <c r="B78" s="611">
        <v>40.319802441121858</v>
      </c>
      <c r="C78" s="616">
        <v>-0.64720974360195604</v>
      </c>
      <c r="D78" s="580">
        <v>1.1712688176559281</v>
      </c>
      <c r="E78" s="577">
        <v>2.2249469196227276E-3</v>
      </c>
      <c r="F78" s="580">
        <v>2.70384334853942E-3</v>
      </c>
      <c r="G78" s="559">
        <v>2</v>
      </c>
      <c r="H78" s="565">
        <v>2</v>
      </c>
      <c r="I78" s="618"/>
      <c r="J78" s="623">
        <f t="shared" si="2"/>
        <v>0.999352790256398</v>
      </c>
      <c r="K78" s="624">
        <f t="shared" si="2"/>
        <v>1.0011712688176559</v>
      </c>
      <c r="M78" s="335">
        <v>60.075535730000006</v>
      </c>
      <c r="N78" s="324">
        <v>2.3775718673340007</v>
      </c>
      <c r="O78" s="306">
        <v>1.1325584395250501</v>
      </c>
      <c r="P78" s="299">
        <v>2.6</v>
      </c>
      <c r="Q78" s="298">
        <v>0.7</v>
      </c>
      <c r="R78" s="332"/>
      <c r="S78" s="250"/>
      <c r="T78" s="337">
        <v>1.002377571867334</v>
      </c>
      <c r="U78" s="337">
        <v>1.001132558439525</v>
      </c>
      <c r="V78" s="330"/>
      <c r="W78" s="330"/>
      <c r="X78" s="240">
        <v>20</v>
      </c>
      <c r="Y78" s="203">
        <v>2.3660000000000001</v>
      </c>
      <c r="Z78" s="197">
        <v>0.89</v>
      </c>
      <c r="AA78" s="192">
        <v>2.6</v>
      </c>
      <c r="AB78" s="191">
        <v>0.6</v>
      </c>
      <c r="AC78" s="184"/>
      <c r="AD78" s="184"/>
      <c r="AE78" s="229">
        <v>0.99763400000000002</v>
      </c>
      <c r="AF78" s="229">
        <v>0.99911000000000005</v>
      </c>
      <c r="AG78" s="184"/>
      <c r="AH78" s="184"/>
      <c r="AI78" s="184"/>
      <c r="AJ78" s="184"/>
      <c r="AK78" s="184"/>
      <c r="AL78" s="184"/>
      <c r="AM78" s="187"/>
    </row>
    <row r="79" spans="2:39" x14ac:dyDescent="0.2">
      <c r="B79" s="611">
        <v>60.425115029775348</v>
      </c>
      <c r="C79" s="616">
        <v>-0.67728515391600008</v>
      </c>
      <c r="D79" s="580">
        <v>1.0300448464626579</v>
      </c>
      <c r="E79" s="577">
        <v>4.6522094145928202E-3</v>
      </c>
      <c r="F79" s="580">
        <v>4.5311811724791703E-3</v>
      </c>
      <c r="G79" s="559">
        <v>2</v>
      </c>
      <c r="H79" s="565">
        <v>2</v>
      </c>
      <c r="I79" s="618"/>
      <c r="J79" s="623">
        <f t="shared" si="2"/>
        <v>0.99932271484608404</v>
      </c>
      <c r="K79" s="624">
        <f t="shared" si="2"/>
        <v>1.0010300448464626</v>
      </c>
      <c r="M79" s="335">
        <v>99.998132580000004</v>
      </c>
      <c r="N79" s="324">
        <v>2.3570012484460539</v>
      </c>
      <c r="O79" s="306">
        <v>0.91866164860468258</v>
      </c>
      <c r="P79" s="299">
        <v>2.6</v>
      </c>
      <c r="Q79" s="298">
        <v>0.6</v>
      </c>
      <c r="R79" s="332"/>
      <c r="S79" s="250"/>
      <c r="T79" s="337">
        <v>1.002357001248446</v>
      </c>
      <c r="U79" s="337">
        <v>1.0009186616486048</v>
      </c>
      <c r="V79" s="330"/>
      <c r="W79" s="330"/>
      <c r="X79" s="240">
        <v>24</v>
      </c>
      <c r="Y79" s="203">
        <v>2.3450000000000002</v>
      </c>
      <c r="Z79" s="197">
        <v>0.84499999999999997</v>
      </c>
      <c r="AA79" s="192" t="s">
        <v>217</v>
      </c>
      <c r="AB79" s="197" t="s">
        <v>217</v>
      </c>
      <c r="AC79" s="184"/>
      <c r="AD79" s="184"/>
      <c r="AE79" s="229">
        <v>0.99765499999999996</v>
      </c>
      <c r="AF79" s="229">
        <v>0.99915500000000002</v>
      </c>
      <c r="AG79" s="184"/>
      <c r="AH79" s="184"/>
      <c r="AI79" s="184"/>
      <c r="AJ79" s="184"/>
      <c r="AK79" s="184"/>
      <c r="AL79" s="184"/>
      <c r="AM79" s="187"/>
    </row>
    <row r="80" spans="2:39" x14ac:dyDescent="0.2">
      <c r="B80" s="611">
        <v>100</v>
      </c>
      <c r="C80" s="616">
        <v>-0.71707154375830962</v>
      </c>
      <c r="D80" s="580">
        <v>0.82948003156634198</v>
      </c>
      <c r="E80" s="577">
        <v>2.3692322440426773E-3</v>
      </c>
      <c r="F80" s="580">
        <v>2.2860806622438793E-3</v>
      </c>
      <c r="G80" s="559">
        <v>2</v>
      </c>
      <c r="H80" s="565">
        <v>2</v>
      </c>
      <c r="I80" s="618"/>
      <c r="J80" s="623">
        <f t="shared" si="2"/>
        <v>0.99928292845624167</v>
      </c>
      <c r="K80" s="624">
        <f t="shared" si="2"/>
        <v>1.0008294800315662</v>
      </c>
      <c r="M80" s="335">
        <v>119.99647802</v>
      </c>
      <c r="N80" s="324">
        <v>2.3451111897336836</v>
      </c>
      <c r="O80" s="306">
        <v>0.84420425225410634</v>
      </c>
      <c r="P80" s="299" t="s">
        <v>217</v>
      </c>
      <c r="Q80" s="339" t="s">
        <v>217</v>
      </c>
      <c r="R80" s="332"/>
      <c r="S80" s="250"/>
      <c r="T80" s="337">
        <v>1.0023451111897337</v>
      </c>
      <c r="U80" s="337">
        <v>1.0008442042522541</v>
      </c>
      <c r="V80" s="330"/>
      <c r="W80" s="330"/>
      <c r="X80" s="240">
        <v>25</v>
      </c>
      <c r="Y80" s="190" t="s">
        <v>217</v>
      </c>
      <c r="Z80" s="191" t="s">
        <v>217</v>
      </c>
      <c r="AA80" s="192">
        <v>2.6</v>
      </c>
      <c r="AB80" s="191">
        <v>0.5</v>
      </c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  <c r="AM80" s="187"/>
    </row>
    <row r="81" spans="2:39" x14ac:dyDescent="0.2">
      <c r="B81" s="611">
        <v>120</v>
      </c>
      <c r="C81" s="616">
        <v>-0.718906343544779</v>
      </c>
      <c r="D81" s="580">
        <v>0.76153366113497012</v>
      </c>
      <c r="E81" s="577">
        <v>2.9771417904532228E-3</v>
      </c>
      <c r="F81" s="580">
        <v>4.2285440292726172E-3</v>
      </c>
      <c r="G81" s="559">
        <v>2</v>
      </c>
      <c r="H81" s="565">
        <v>2</v>
      </c>
      <c r="I81" s="618"/>
      <c r="J81" s="623">
        <f t="shared" si="2"/>
        <v>0.99928109365645523</v>
      </c>
      <c r="K81" s="624">
        <f t="shared" si="2"/>
        <v>1.0007615336611351</v>
      </c>
      <c r="M81" s="335">
        <v>25</v>
      </c>
      <c r="N81" s="312" t="s">
        <v>217</v>
      </c>
      <c r="O81" s="306" t="s">
        <v>217</v>
      </c>
      <c r="P81" s="299">
        <v>2.6</v>
      </c>
      <c r="Q81" s="298">
        <v>0.5</v>
      </c>
      <c r="R81" s="330"/>
      <c r="S81" s="250" t="s">
        <v>274</v>
      </c>
      <c r="T81" s="337">
        <v>1.0023924250380882</v>
      </c>
      <c r="U81" s="337">
        <v>1.0013234952454939</v>
      </c>
      <c r="V81" s="250"/>
      <c r="W81" s="250"/>
      <c r="X81" s="235"/>
      <c r="Y81" s="222"/>
      <c r="Z81" s="208"/>
      <c r="AA81" s="209"/>
      <c r="AB81" s="208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  <c r="AM81" s="187"/>
    </row>
    <row r="82" spans="2:39" x14ac:dyDescent="0.2">
      <c r="B82" s="587"/>
      <c r="C82" s="605"/>
      <c r="D82" s="587"/>
      <c r="E82" s="587"/>
      <c r="F82" s="588"/>
      <c r="G82" s="588"/>
      <c r="H82" s="587"/>
      <c r="I82" s="618" t="s">
        <v>274</v>
      </c>
      <c r="J82" s="625">
        <f>AVERAGE(J75:J81)</f>
        <v>0.99936709902044762</v>
      </c>
      <c r="K82" s="626">
        <f>AVERAGE(K75:K81)</f>
        <v>1.0011822386327505</v>
      </c>
      <c r="M82" s="317"/>
      <c r="N82" s="340"/>
      <c r="O82" s="317"/>
      <c r="P82" s="318"/>
      <c r="Q82" s="317"/>
      <c r="R82" s="330"/>
      <c r="S82" s="250" t="s">
        <v>309</v>
      </c>
      <c r="T82" s="380">
        <v>0.23924250380882306</v>
      </c>
      <c r="U82" s="380">
        <v>0.13234952454939108</v>
      </c>
      <c r="V82" s="250"/>
      <c r="W82" s="250"/>
      <c r="X82" s="183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  <c r="AM82" s="187"/>
    </row>
    <row r="83" spans="2:39" x14ac:dyDescent="0.2">
      <c r="I83" s="618" t="s">
        <v>468</v>
      </c>
      <c r="J83" s="637">
        <f>STDEV(J75:J81)</f>
        <v>7.7544809591271018E-5</v>
      </c>
      <c r="K83" s="636">
        <f>STDEV(K75:K81)</f>
        <v>3.27011023537572E-4</v>
      </c>
      <c r="M83" s="250"/>
      <c r="N83" s="250"/>
      <c r="O83" s="250"/>
      <c r="P83" s="250"/>
      <c r="Q83" s="250"/>
      <c r="R83" s="330"/>
      <c r="S83" s="381" t="s">
        <v>308</v>
      </c>
      <c r="T83" s="381">
        <v>4.0460191536959621E-5</v>
      </c>
      <c r="U83" s="381">
        <v>3.9310206822281237E-4</v>
      </c>
      <c r="V83" s="250"/>
      <c r="W83" s="250"/>
      <c r="X83" s="183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  <c r="AM83" s="187"/>
    </row>
    <row r="84" spans="2:39" x14ac:dyDescent="0.2">
      <c r="M84" s="250"/>
      <c r="N84" s="250"/>
      <c r="O84" s="250"/>
      <c r="P84" s="250"/>
      <c r="Q84" s="250"/>
      <c r="R84" s="330"/>
      <c r="S84" s="250"/>
      <c r="T84" s="250"/>
      <c r="U84" s="250"/>
      <c r="V84" s="250"/>
      <c r="W84" s="250"/>
      <c r="X84" s="183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  <c r="AM84" s="187"/>
    </row>
    <row r="85" spans="2:39" ht="41.45" customHeight="1" x14ac:dyDescent="0.2">
      <c r="M85" s="325" t="s">
        <v>272</v>
      </c>
      <c r="N85" s="326"/>
      <c r="O85" s="326"/>
      <c r="P85" s="326"/>
      <c r="Q85" s="327"/>
      <c r="R85" s="328">
        <v>39379</v>
      </c>
      <c r="S85" s="250"/>
      <c r="T85" s="250"/>
      <c r="U85" s="250"/>
      <c r="V85" s="250"/>
      <c r="W85" s="250"/>
      <c r="X85" s="677" t="s">
        <v>237</v>
      </c>
      <c r="Y85" s="678"/>
      <c r="Z85" s="679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  <c r="AM85" s="187"/>
    </row>
    <row r="86" spans="2:39" x14ac:dyDescent="0.2">
      <c r="M86" s="329" t="s">
        <v>219</v>
      </c>
      <c r="N86" s="330"/>
      <c r="O86" s="330"/>
      <c r="P86" s="330"/>
      <c r="Q86" s="331"/>
      <c r="R86" s="332" t="s">
        <v>275</v>
      </c>
      <c r="S86" s="250"/>
      <c r="T86" s="250"/>
      <c r="U86" s="250"/>
      <c r="V86" s="250"/>
      <c r="W86" s="250"/>
      <c r="X86" s="243" t="s">
        <v>193</v>
      </c>
      <c r="Y86" s="169" t="s">
        <v>194</v>
      </c>
      <c r="Z86" s="170" t="s">
        <v>195</v>
      </c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  <c r="AM86" s="187"/>
    </row>
    <row r="87" spans="2:39" x14ac:dyDescent="0.2">
      <c r="M87" s="295" t="s">
        <v>207</v>
      </c>
      <c r="N87" s="333" t="s">
        <v>208</v>
      </c>
      <c r="O87" s="295" t="s">
        <v>209</v>
      </c>
      <c r="P87" s="295"/>
      <c r="Q87" s="296"/>
      <c r="R87" s="330"/>
      <c r="S87" s="250"/>
      <c r="T87" s="250"/>
      <c r="U87" s="250"/>
      <c r="V87" s="250"/>
      <c r="W87" s="250"/>
      <c r="X87" s="244" t="s">
        <v>196</v>
      </c>
      <c r="Y87" s="171"/>
      <c r="Z87" s="172" t="s">
        <v>197</v>
      </c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  <c r="AM87" s="187"/>
    </row>
    <row r="88" spans="2:39" x14ac:dyDescent="0.2">
      <c r="M88" s="298" t="s">
        <v>210</v>
      </c>
      <c r="N88" s="300" t="s">
        <v>19</v>
      </c>
      <c r="O88" s="298" t="s">
        <v>19</v>
      </c>
      <c r="P88" s="298"/>
      <c r="Q88" s="299"/>
      <c r="R88" s="330"/>
      <c r="S88" s="250"/>
      <c r="T88" s="330" t="s">
        <v>220</v>
      </c>
      <c r="U88" s="330"/>
      <c r="V88" s="250"/>
      <c r="W88" s="250"/>
      <c r="X88" s="245" t="s">
        <v>199</v>
      </c>
      <c r="Y88" s="173" t="s">
        <v>199</v>
      </c>
      <c r="Z88" s="174" t="s">
        <v>199</v>
      </c>
      <c r="AA88" s="184"/>
      <c r="AB88" s="236" t="s">
        <v>200</v>
      </c>
      <c r="AC88" s="179"/>
      <c r="AD88" s="179"/>
      <c r="AE88" s="179"/>
      <c r="AF88" s="179"/>
      <c r="AG88" s="179"/>
      <c r="AH88" s="184"/>
      <c r="AI88" s="184"/>
      <c r="AJ88" s="184"/>
      <c r="AK88" s="184"/>
      <c r="AL88" s="184"/>
      <c r="AM88" s="187"/>
    </row>
    <row r="89" spans="2:39" x14ac:dyDescent="0.2">
      <c r="M89" s="302" t="s">
        <v>213</v>
      </c>
      <c r="N89" s="334" t="s">
        <v>214</v>
      </c>
      <c r="O89" s="302" t="s">
        <v>215</v>
      </c>
      <c r="P89" s="298"/>
      <c r="Q89" s="299"/>
      <c r="R89" s="330"/>
      <c r="S89" s="250"/>
      <c r="T89" s="330" t="s">
        <v>221</v>
      </c>
      <c r="U89" s="330" t="s">
        <v>222</v>
      </c>
      <c r="V89" s="250"/>
      <c r="W89" s="250"/>
      <c r="X89" s="244">
        <v>-25</v>
      </c>
      <c r="Y89" s="175">
        <v>0.20094670488564503</v>
      </c>
      <c r="Z89" s="176">
        <v>0.05</v>
      </c>
      <c r="AA89" s="184"/>
      <c r="AB89" s="179" t="s">
        <v>230</v>
      </c>
      <c r="AC89" s="179"/>
      <c r="AD89" s="179"/>
      <c r="AE89" s="179"/>
      <c r="AF89" s="179"/>
      <c r="AG89" s="179"/>
      <c r="AH89" s="184"/>
      <c r="AI89" s="184"/>
      <c r="AJ89" s="184"/>
      <c r="AK89" s="184"/>
      <c r="AL89" s="184"/>
      <c r="AM89" s="187"/>
    </row>
    <row r="90" spans="2:39" x14ac:dyDescent="0.2">
      <c r="M90" s="335">
        <v>100.75423666</v>
      </c>
      <c r="N90" s="324">
        <v>2.3483746309525362</v>
      </c>
      <c r="O90" s="306">
        <v>0.92169582552354368</v>
      </c>
      <c r="P90" s="296"/>
      <c r="Q90" s="295"/>
      <c r="R90" s="332"/>
      <c r="S90" s="250"/>
      <c r="T90" s="337">
        <v>1.0023483746309525</v>
      </c>
      <c r="U90" s="337">
        <v>1.0009216958255236</v>
      </c>
      <c r="V90" s="250"/>
      <c r="W90" s="250"/>
      <c r="X90" s="244">
        <v>-20</v>
      </c>
      <c r="Y90" s="175">
        <v>5.9056381629069676E-2</v>
      </c>
      <c r="Z90" s="176">
        <v>0</v>
      </c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  <c r="AM90" s="187"/>
    </row>
    <row r="91" spans="2:39" x14ac:dyDescent="0.2">
      <c r="M91" s="335">
        <v>100.45340404000001</v>
      </c>
      <c r="N91" s="324">
        <v>2.3535341477579257</v>
      </c>
      <c r="O91" s="306">
        <v>0.92272978255427773</v>
      </c>
      <c r="P91" s="299"/>
      <c r="Q91" s="298"/>
      <c r="R91" s="332"/>
      <c r="S91" s="250"/>
      <c r="T91" s="337">
        <v>1.0023535341477579</v>
      </c>
      <c r="U91" s="337">
        <v>1.0009227297825543</v>
      </c>
      <c r="V91" s="250"/>
      <c r="W91" s="250"/>
      <c r="X91" s="244">
        <v>-15</v>
      </c>
      <c r="Y91" s="175">
        <v>2.1348903614224923E-2</v>
      </c>
      <c r="Z91" s="176">
        <v>0.05</v>
      </c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  <c r="AM91" s="187"/>
    </row>
    <row r="92" spans="2:39" x14ac:dyDescent="0.2">
      <c r="M92" s="335">
        <v>100.74444414999999</v>
      </c>
      <c r="N92" s="324">
        <v>2.2681705702114003</v>
      </c>
      <c r="O92" s="306">
        <v>0.92093371946672076</v>
      </c>
      <c r="P92" s="299"/>
      <c r="Q92" s="298"/>
      <c r="R92" s="341" t="s">
        <v>276</v>
      </c>
      <c r="S92" s="250"/>
      <c r="T92" s="337">
        <v>1.0022681705702114</v>
      </c>
      <c r="U92" s="337">
        <v>1.0009209337194667</v>
      </c>
      <c r="V92" s="250"/>
      <c r="W92" s="250"/>
      <c r="X92" s="244">
        <v>-10</v>
      </c>
      <c r="Y92" s="175">
        <v>-3.7564086408558239E-2</v>
      </c>
      <c r="Z92" s="176">
        <v>0.1</v>
      </c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4"/>
      <c r="AL92" s="184"/>
      <c r="AM92" s="187"/>
    </row>
    <row r="93" spans="2:39" x14ac:dyDescent="0.2">
      <c r="M93" s="335">
        <v>100.60846175</v>
      </c>
      <c r="N93" s="324">
        <v>2.2702835927217624</v>
      </c>
      <c r="O93" s="306">
        <v>0.92100597757788893</v>
      </c>
      <c r="P93" s="299"/>
      <c r="Q93" s="298"/>
      <c r="R93" s="341" t="s">
        <v>276</v>
      </c>
      <c r="S93" s="250"/>
      <c r="T93" s="337">
        <v>1.0022702835927217</v>
      </c>
      <c r="U93" s="337">
        <v>1.0009210059775779</v>
      </c>
      <c r="V93" s="250"/>
      <c r="W93" s="250"/>
      <c r="X93" s="244">
        <v>-5</v>
      </c>
      <c r="Y93" s="175">
        <v>2.7055728058495987E-3</v>
      </c>
      <c r="Z93" s="176">
        <v>0.05</v>
      </c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4"/>
      <c r="AL93" s="184"/>
      <c r="AM93" s="187"/>
    </row>
    <row r="94" spans="2:39" x14ac:dyDescent="0.2">
      <c r="M94" s="335">
        <v>100.40623825000002</v>
      </c>
      <c r="N94" s="324">
        <v>2.2363987594830941</v>
      </c>
      <c r="O94" s="306">
        <v>0.91363187120829903</v>
      </c>
      <c r="P94" s="299"/>
      <c r="Q94" s="298"/>
      <c r="R94" s="341" t="s">
        <v>277</v>
      </c>
      <c r="S94" s="250"/>
      <c r="T94" s="337">
        <v>1.0022363987594831</v>
      </c>
      <c r="U94" s="337">
        <v>1.0009136318712084</v>
      </c>
      <c r="V94" s="250"/>
      <c r="W94" s="250"/>
      <c r="X94" s="244">
        <v>0</v>
      </c>
      <c r="Y94" s="175">
        <v>2.721492413352691E-2</v>
      </c>
      <c r="Z94" s="176">
        <v>0</v>
      </c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  <c r="AL94" s="184"/>
      <c r="AM94" s="187"/>
    </row>
    <row r="95" spans="2:39" x14ac:dyDescent="0.2">
      <c r="M95" s="335">
        <v>100.17655532000001</v>
      </c>
      <c r="N95" s="324">
        <v>2.2366105450949538</v>
      </c>
      <c r="O95" s="306">
        <v>0.91422247158977465</v>
      </c>
      <c r="P95" s="299"/>
      <c r="Q95" s="298"/>
      <c r="R95" s="341" t="s">
        <v>277</v>
      </c>
      <c r="S95" s="250"/>
      <c r="T95" s="337">
        <v>1.0022366105450951</v>
      </c>
      <c r="U95" s="337">
        <v>1.0009142224715897</v>
      </c>
      <c r="V95" s="250"/>
      <c r="W95" s="250"/>
      <c r="X95" s="244">
        <v>5</v>
      </c>
      <c r="Y95" s="175">
        <v>8.6072219246671189E-2</v>
      </c>
      <c r="Z95" s="176">
        <v>-0.05</v>
      </c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4"/>
      <c r="AL95" s="184"/>
      <c r="AM95" s="187"/>
    </row>
    <row r="96" spans="2:39" x14ac:dyDescent="0.2">
      <c r="M96" s="317"/>
      <c r="N96" s="340"/>
      <c r="O96" s="317"/>
      <c r="P96" s="318"/>
      <c r="Q96" s="317"/>
      <c r="R96" s="330"/>
      <c r="S96" s="250" t="s">
        <v>274</v>
      </c>
      <c r="T96" s="337">
        <v>1.0022855620410371</v>
      </c>
      <c r="U96" s="337">
        <v>1.0009190366079868</v>
      </c>
      <c r="V96" s="250"/>
      <c r="W96" s="250"/>
      <c r="X96" s="244">
        <v>10</v>
      </c>
      <c r="Y96" s="175">
        <v>1.0416809637042945E-2</v>
      </c>
      <c r="Z96" s="176">
        <v>0</v>
      </c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4"/>
      <c r="AL96" s="184"/>
      <c r="AM96" s="187"/>
    </row>
    <row r="97" spans="13:39" x14ac:dyDescent="0.2">
      <c r="M97" s="250"/>
      <c r="N97" s="250"/>
      <c r="O97" s="250"/>
      <c r="P97" s="250"/>
      <c r="Q97" s="250"/>
      <c r="R97" s="250"/>
      <c r="S97" s="250"/>
      <c r="T97" s="250"/>
      <c r="U97" s="250"/>
      <c r="V97" s="250"/>
      <c r="W97" s="250"/>
      <c r="X97" s="244">
        <v>15</v>
      </c>
      <c r="Y97" s="175">
        <v>6.5962015423330911E-2</v>
      </c>
      <c r="Z97" s="176">
        <v>-0.1</v>
      </c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4"/>
      <c r="AL97" s="184"/>
      <c r="AM97" s="187"/>
    </row>
    <row r="98" spans="13:39" x14ac:dyDescent="0.2">
      <c r="M98" s="250"/>
      <c r="N98" s="250"/>
      <c r="O98" s="250"/>
      <c r="P98" s="250"/>
      <c r="Q98" s="250"/>
      <c r="R98" s="250"/>
      <c r="S98" s="250"/>
      <c r="T98" s="250"/>
      <c r="U98" s="250"/>
      <c r="V98" s="250"/>
      <c r="W98" s="250"/>
      <c r="X98" s="244">
        <v>20</v>
      </c>
      <c r="Y98" s="175">
        <v>1.5906648000385104E-2</v>
      </c>
      <c r="Z98" s="176">
        <v>-0.05</v>
      </c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4"/>
      <c r="AL98" s="184"/>
      <c r="AM98" s="187"/>
    </row>
    <row r="99" spans="13:39" x14ac:dyDescent="0.2">
      <c r="M99" s="325" t="s">
        <v>272</v>
      </c>
      <c r="N99" s="326"/>
      <c r="O99" s="326"/>
      <c r="P99" s="326"/>
      <c r="Q99" s="327"/>
      <c r="R99" s="328">
        <v>39380</v>
      </c>
      <c r="S99" s="250"/>
      <c r="T99" s="250"/>
      <c r="U99" s="250"/>
      <c r="V99" s="250"/>
      <c r="W99" s="250"/>
      <c r="X99" s="244">
        <v>25</v>
      </c>
      <c r="Y99" s="175">
        <v>1.4772799858491226E-2</v>
      </c>
      <c r="Z99" s="176">
        <v>-0.05</v>
      </c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4"/>
      <c r="AL99" s="184"/>
      <c r="AM99" s="187"/>
    </row>
    <row r="100" spans="13:39" x14ac:dyDescent="0.2">
      <c r="M100" s="329" t="s">
        <v>219</v>
      </c>
      <c r="N100" s="330"/>
      <c r="O100" s="330"/>
      <c r="P100" s="330"/>
      <c r="Q100" s="331"/>
      <c r="R100" s="332" t="s">
        <v>275</v>
      </c>
      <c r="S100" s="250"/>
      <c r="T100" s="250"/>
      <c r="U100" s="250"/>
      <c r="V100" s="250"/>
      <c r="W100" s="250"/>
      <c r="X100" s="245"/>
      <c r="Y100" s="177"/>
      <c r="Z100" s="178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4"/>
      <c r="AL100" s="184"/>
      <c r="AM100" s="187"/>
    </row>
    <row r="101" spans="13:39" ht="13.5" thickBot="1" x14ac:dyDescent="0.25">
      <c r="M101" s="295" t="s">
        <v>207</v>
      </c>
      <c r="N101" s="333" t="s">
        <v>208</v>
      </c>
      <c r="O101" s="295" t="s">
        <v>209</v>
      </c>
      <c r="P101" s="295" t="s">
        <v>195</v>
      </c>
      <c r="Q101" s="296" t="s">
        <v>195</v>
      </c>
      <c r="R101" s="330"/>
      <c r="S101" s="250"/>
      <c r="T101" s="250"/>
      <c r="U101" s="250"/>
      <c r="V101" s="250"/>
      <c r="W101" s="250"/>
      <c r="X101" s="223"/>
      <c r="Y101" s="224"/>
      <c r="Z101" s="224"/>
      <c r="AA101" s="224"/>
      <c r="AB101" s="224"/>
      <c r="AC101" s="224"/>
      <c r="AD101" s="224"/>
      <c r="AE101" s="224"/>
      <c r="AF101" s="224"/>
      <c r="AG101" s="224"/>
      <c r="AH101" s="224"/>
      <c r="AI101" s="224"/>
      <c r="AJ101" s="224"/>
      <c r="AK101" s="224"/>
      <c r="AL101" s="224"/>
      <c r="AM101" s="225"/>
    </row>
    <row r="102" spans="13:39" x14ac:dyDescent="0.2">
      <c r="M102" s="298" t="s">
        <v>210</v>
      </c>
      <c r="N102" s="300" t="s">
        <v>19</v>
      </c>
      <c r="O102" s="298" t="s">
        <v>19</v>
      </c>
      <c r="P102" s="298" t="s">
        <v>211</v>
      </c>
      <c r="Q102" s="299" t="s">
        <v>212</v>
      </c>
      <c r="R102" s="330"/>
      <c r="S102" s="250"/>
      <c r="T102" s="330" t="s">
        <v>220</v>
      </c>
      <c r="U102" s="330"/>
      <c r="V102" s="250"/>
      <c r="W102" s="250"/>
    </row>
    <row r="103" spans="13:39" x14ac:dyDescent="0.2">
      <c r="M103" s="302" t="s">
        <v>213</v>
      </c>
      <c r="N103" s="334" t="s">
        <v>214</v>
      </c>
      <c r="O103" s="302" t="s">
        <v>215</v>
      </c>
      <c r="P103" s="298" t="s">
        <v>214</v>
      </c>
      <c r="Q103" s="299" t="s">
        <v>215</v>
      </c>
      <c r="R103" s="330"/>
      <c r="S103" s="250"/>
      <c r="T103" s="330" t="s">
        <v>221</v>
      </c>
      <c r="U103" s="330" t="s">
        <v>222</v>
      </c>
      <c r="V103" s="250"/>
      <c r="W103" s="250"/>
    </row>
    <row r="104" spans="13:39" x14ac:dyDescent="0.2">
      <c r="M104" s="335">
        <v>5.0085237429999996</v>
      </c>
      <c r="N104" s="324">
        <v>2.3817977336480802</v>
      </c>
      <c r="O104" s="306">
        <v>1.8787265036231655</v>
      </c>
      <c r="P104" s="296">
        <v>2.8</v>
      </c>
      <c r="Q104" s="295">
        <v>1.2</v>
      </c>
      <c r="R104" s="332"/>
      <c r="S104" s="250"/>
      <c r="T104" s="337">
        <v>1.002381797733648</v>
      </c>
      <c r="U104" s="337">
        <v>1.0018787265036231</v>
      </c>
      <c r="V104" s="250"/>
      <c r="W104" s="250"/>
    </row>
    <row r="105" spans="13:39" x14ac:dyDescent="0.2">
      <c r="M105" s="335">
        <v>10.191146244999999</v>
      </c>
      <c r="N105" s="324">
        <v>2.4437665533013266</v>
      </c>
      <c r="O105" s="306">
        <v>1.6854133271247136</v>
      </c>
      <c r="P105" s="299">
        <v>2.7</v>
      </c>
      <c r="Q105" s="298">
        <v>1.1000000000000001</v>
      </c>
      <c r="R105" s="332"/>
      <c r="S105" s="250"/>
      <c r="T105" s="337">
        <v>1.0024437665533013</v>
      </c>
      <c r="U105" s="337">
        <v>1.0016854133271247</v>
      </c>
      <c r="V105" s="250"/>
      <c r="W105" s="250"/>
    </row>
    <row r="106" spans="13:39" x14ac:dyDescent="0.2">
      <c r="M106" s="335">
        <v>20.106029712999998</v>
      </c>
      <c r="N106" s="324">
        <v>2.4560905047672157</v>
      </c>
      <c r="O106" s="306">
        <v>1.4651119964418904</v>
      </c>
      <c r="P106" s="299">
        <v>2.7</v>
      </c>
      <c r="Q106" s="298">
        <v>1</v>
      </c>
      <c r="R106" s="341"/>
      <c r="S106" s="250"/>
      <c r="T106" s="337">
        <v>1.0024560905047672</v>
      </c>
      <c r="U106" s="337">
        <v>1.0014651119964419</v>
      </c>
      <c r="V106" s="250"/>
      <c r="W106" s="250"/>
    </row>
    <row r="107" spans="13:39" x14ac:dyDescent="0.2">
      <c r="M107" s="335">
        <v>40.232659014999996</v>
      </c>
      <c r="N107" s="324">
        <v>2.4211899085188917</v>
      </c>
      <c r="O107" s="306">
        <v>1.2394955214885095</v>
      </c>
      <c r="P107" s="299">
        <v>2.6</v>
      </c>
      <c r="Q107" s="298">
        <v>0.9</v>
      </c>
      <c r="R107" s="341"/>
      <c r="S107" s="250"/>
      <c r="T107" s="337">
        <v>1.0024211899085189</v>
      </c>
      <c r="U107" s="337">
        <v>1.0012394955214885</v>
      </c>
      <c r="V107" s="250"/>
      <c r="W107" s="250"/>
    </row>
    <row r="108" spans="13:39" x14ac:dyDescent="0.2">
      <c r="M108" s="335">
        <v>60.243319450000001</v>
      </c>
      <c r="N108" s="324">
        <v>2.3839954478692591</v>
      </c>
      <c r="O108" s="306">
        <v>1.1146656251083056</v>
      </c>
      <c r="P108" s="299">
        <v>2.6</v>
      </c>
      <c r="Q108" s="298">
        <v>0.7</v>
      </c>
      <c r="R108" s="341"/>
      <c r="S108" s="250"/>
      <c r="T108" s="337">
        <v>1.0023839954478693</v>
      </c>
      <c r="U108" s="337">
        <v>1.0011146656251082</v>
      </c>
      <c r="V108" s="250"/>
      <c r="W108" s="250"/>
    </row>
    <row r="109" spans="13:39" x14ac:dyDescent="0.2">
      <c r="M109" s="335">
        <v>99.985073509999992</v>
      </c>
      <c r="N109" s="324">
        <v>2.3548243592891871</v>
      </c>
      <c r="O109" s="306">
        <v>0.91878735270232248</v>
      </c>
      <c r="P109" s="299">
        <v>2.6</v>
      </c>
      <c r="Q109" s="298">
        <v>0.6</v>
      </c>
      <c r="R109" s="341"/>
      <c r="S109" s="250"/>
      <c r="T109" s="337">
        <v>1.0023548243592892</v>
      </c>
      <c r="U109" s="337">
        <v>1.0009187873527023</v>
      </c>
      <c r="V109" s="250"/>
      <c r="W109" s="250"/>
    </row>
    <row r="110" spans="13:39" x14ac:dyDescent="0.2">
      <c r="M110" s="335">
        <v>119.91162891</v>
      </c>
      <c r="N110" s="324">
        <v>2.3465285162446885</v>
      </c>
      <c r="O110" s="306">
        <v>0.84607116025541274</v>
      </c>
      <c r="P110" s="299" t="s">
        <v>217</v>
      </c>
      <c r="Q110" s="339" t="s">
        <v>217</v>
      </c>
      <c r="R110" s="330"/>
      <c r="S110" s="250"/>
      <c r="T110" s="337">
        <v>1.0023465285162447</v>
      </c>
      <c r="U110" s="337">
        <v>1.0008460711602554</v>
      </c>
      <c r="V110" s="250"/>
      <c r="W110" s="250"/>
      <c r="X110" s="250"/>
      <c r="Y110" s="250"/>
      <c r="Z110" s="250"/>
    </row>
    <row r="111" spans="13:39" x14ac:dyDescent="0.2">
      <c r="M111" s="335">
        <v>25</v>
      </c>
      <c r="N111" s="312" t="s">
        <v>217</v>
      </c>
      <c r="O111" s="306" t="s">
        <v>217</v>
      </c>
      <c r="P111" s="299">
        <v>2.6</v>
      </c>
      <c r="Q111" s="298">
        <v>0.5</v>
      </c>
      <c r="R111" s="250"/>
      <c r="S111" s="250" t="s">
        <v>274</v>
      </c>
      <c r="T111" s="337">
        <v>1.0023983132890912</v>
      </c>
      <c r="U111" s="337">
        <v>1.0013068959266778</v>
      </c>
      <c r="V111" s="330" t="s">
        <v>234</v>
      </c>
      <c r="W111" s="330"/>
      <c r="X111" s="250"/>
      <c r="Y111" s="250"/>
      <c r="Z111" s="250"/>
    </row>
    <row r="112" spans="13:39" x14ac:dyDescent="0.2">
      <c r="M112" s="317"/>
      <c r="N112" s="340"/>
      <c r="O112" s="317"/>
      <c r="P112" s="318"/>
      <c r="Q112" s="317"/>
      <c r="R112" s="250"/>
      <c r="S112" s="250" t="s">
        <v>309</v>
      </c>
      <c r="T112" s="380">
        <v>0.23983132890912362</v>
      </c>
      <c r="U112" s="380">
        <v>0.13068959266777647</v>
      </c>
      <c r="V112" s="250"/>
      <c r="W112" s="250"/>
      <c r="X112" s="250"/>
      <c r="Y112" s="250"/>
      <c r="Z112" s="250"/>
    </row>
    <row r="113" spans="13:26" x14ac:dyDescent="0.2">
      <c r="M113" s="250"/>
      <c r="N113" s="250"/>
      <c r="O113" s="250"/>
      <c r="P113" s="250"/>
      <c r="Q113" s="250"/>
      <c r="R113" s="250"/>
      <c r="S113" s="381" t="s">
        <v>308</v>
      </c>
      <c r="T113" s="381">
        <v>4.2775108528988506E-5</v>
      </c>
      <c r="U113" s="337">
        <v>3.8725120828411242E-4</v>
      </c>
      <c r="V113" s="250"/>
      <c r="W113" s="250"/>
    </row>
    <row r="114" spans="13:26" x14ac:dyDescent="0.2">
      <c r="M114" s="250"/>
      <c r="N114" s="250"/>
      <c r="O114" s="250"/>
      <c r="P114" s="250"/>
      <c r="Q114" s="250"/>
      <c r="R114" s="250"/>
      <c r="S114" s="250"/>
      <c r="T114" s="250"/>
      <c r="U114" s="250"/>
      <c r="V114" s="250"/>
      <c r="W114" s="250"/>
    </row>
    <row r="115" spans="13:26" x14ac:dyDescent="0.2">
      <c r="M115" s="325" t="s">
        <v>272</v>
      </c>
      <c r="N115" s="326"/>
      <c r="O115" s="326"/>
      <c r="P115" s="326"/>
      <c r="Q115" s="327"/>
      <c r="R115" s="328">
        <v>39380</v>
      </c>
      <c r="S115" s="250"/>
      <c r="T115" s="250"/>
      <c r="U115" s="250"/>
      <c r="V115" s="250"/>
      <c r="W115" s="250"/>
    </row>
    <row r="116" spans="13:26" x14ac:dyDescent="0.2">
      <c r="M116" s="329" t="s">
        <v>206</v>
      </c>
      <c r="N116" s="330"/>
      <c r="O116" s="330"/>
      <c r="P116" s="330"/>
      <c r="Q116" s="331"/>
      <c r="R116" s="332" t="s">
        <v>275</v>
      </c>
      <c r="S116" s="250"/>
      <c r="T116" s="250"/>
      <c r="U116" s="250"/>
      <c r="V116" s="250"/>
      <c r="W116" s="250"/>
    </row>
    <row r="117" spans="13:26" x14ac:dyDescent="0.2">
      <c r="M117" s="295" t="s">
        <v>207</v>
      </c>
      <c r="N117" s="333" t="s">
        <v>208</v>
      </c>
      <c r="O117" s="295" t="s">
        <v>209</v>
      </c>
      <c r="P117" s="295" t="s">
        <v>195</v>
      </c>
      <c r="Q117" s="296" t="s">
        <v>195</v>
      </c>
      <c r="R117" s="250"/>
      <c r="S117" s="250"/>
      <c r="T117" s="250"/>
      <c r="U117" s="250"/>
      <c r="V117" s="250"/>
      <c r="W117" s="250"/>
    </row>
    <row r="118" spans="13:26" x14ac:dyDescent="0.2">
      <c r="M118" s="298" t="s">
        <v>210</v>
      </c>
      <c r="N118" s="300" t="s">
        <v>19</v>
      </c>
      <c r="O118" s="298" t="s">
        <v>19</v>
      </c>
      <c r="P118" s="298" t="s">
        <v>211</v>
      </c>
      <c r="Q118" s="299" t="s">
        <v>212</v>
      </c>
      <c r="R118" s="250"/>
      <c r="S118" s="250"/>
      <c r="T118" s="330" t="s">
        <v>220</v>
      </c>
      <c r="U118" s="330"/>
      <c r="V118" s="250"/>
      <c r="W118" s="250"/>
    </row>
    <row r="119" spans="13:26" x14ac:dyDescent="0.2">
      <c r="M119" s="302" t="s">
        <v>213</v>
      </c>
      <c r="N119" s="334" t="s">
        <v>214</v>
      </c>
      <c r="O119" s="302" t="s">
        <v>215</v>
      </c>
      <c r="P119" s="302" t="s">
        <v>214</v>
      </c>
      <c r="Q119" s="303" t="s">
        <v>215</v>
      </c>
      <c r="R119" s="250"/>
      <c r="S119" s="250"/>
      <c r="T119" s="330" t="s">
        <v>221</v>
      </c>
      <c r="U119" s="330" t="s">
        <v>222</v>
      </c>
      <c r="V119" s="250"/>
      <c r="W119" s="250"/>
    </row>
    <row r="120" spans="13:26" x14ac:dyDescent="0.2">
      <c r="M120" s="335">
        <v>5.3879820059999997</v>
      </c>
      <c r="N120" s="324">
        <v>-0.48589043116414599</v>
      </c>
      <c r="O120" s="306">
        <v>1.5936874492969495</v>
      </c>
      <c r="P120" s="298">
        <v>-0.3</v>
      </c>
      <c r="Q120" s="336">
        <v>1.2</v>
      </c>
      <c r="R120" s="250"/>
      <c r="S120" s="250"/>
      <c r="T120" s="337">
        <v>0.99951410956883591</v>
      </c>
      <c r="U120" s="337">
        <v>1.001593687449297</v>
      </c>
      <c r="V120" s="250"/>
      <c r="W120" s="250"/>
    </row>
    <row r="121" spans="13:26" x14ac:dyDescent="0.2">
      <c r="M121" s="335">
        <v>10.034509707999998</v>
      </c>
      <c r="N121" s="324">
        <v>-0.49725405411240853</v>
      </c>
      <c r="O121" s="306">
        <v>1.5160175875730013</v>
      </c>
      <c r="P121" s="298">
        <v>-0.3</v>
      </c>
      <c r="Q121" s="336">
        <v>1.1000000000000001</v>
      </c>
      <c r="R121" s="250"/>
      <c r="S121" s="250"/>
      <c r="T121" s="337">
        <v>0.99950274594588762</v>
      </c>
      <c r="U121" s="337">
        <v>1.001516017587573</v>
      </c>
      <c r="V121" s="250"/>
      <c r="W121" s="250"/>
    </row>
    <row r="122" spans="13:26" x14ac:dyDescent="0.2">
      <c r="M122" s="335">
        <v>20.045515399999999</v>
      </c>
      <c r="N122" s="324">
        <v>-0.55106214097809225</v>
      </c>
      <c r="O122" s="306">
        <v>1.3718811473745693</v>
      </c>
      <c r="P122" s="298">
        <v>-0.3</v>
      </c>
      <c r="Q122" s="336">
        <v>1</v>
      </c>
      <c r="R122" s="250"/>
      <c r="S122" s="250"/>
      <c r="T122" s="337">
        <v>0.99944893785902189</v>
      </c>
      <c r="U122" s="337">
        <v>1.0013718811473746</v>
      </c>
      <c r="V122" s="250"/>
      <c r="W122" s="250"/>
    </row>
    <row r="123" spans="13:26" x14ac:dyDescent="0.2">
      <c r="M123" s="335">
        <v>39.785376193999994</v>
      </c>
      <c r="N123" s="324">
        <v>-0.59964314233625005</v>
      </c>
      <c r="O123" s="306">
        <v>1.1842582587025769</v>
      </c>
      <c r="P123" s="298">
        <v>-0.4</v>
      </c>
      <c r="Q123" s="336">
        <v>0.9</v>
      </c>
      <c r="R123" s="250"/>
      <c r="S123" s="250"/>
      <c r="T123" s="337">
        <v>0.99940035685766371</v>
      </c>
      <c r="U123" s="337">
        <v>1.0011842582587025</v>
      </c>
      <c r="V123" s="250"/>
      <c r="W123" s="250"/>
    </row>
    <row r="124" spans="13:26" x14ac:dyDescent="0.2">
      <c r="M124" s="335">
        <v>59.731074516</v>
      </c>
      <c r="N124" s="324">
        <v>-0.62575223426327553</v>
      </c>
      <c r="O124" s="306">
        <v>1.0508008019039969</v>
      </c>
      <c r="P124" s="298">
        <v>-0.4</v>
      </c>
      <c r="Q124" s="336">
        <v>0.7</v>
      </c>
      <c r="R124" s="250"/>
      <c r="S124" s="250"/>
      <c r="T124" s="337">
        <v>0.99937424776573669</v>
      </c>
      <c r="U124" s="337">
        <v>1.0010508008019039</v>
      </c>
      <c r="V124" s="250"/>
      <c r="W124" s="250"/>
    </row>
    <row r="125" spans="13:26" x14ac:dyDescent="0.2">
      <c r="M125" s="335">
        <v>100.17077179999998</v>
      </c>
      <c r="N125" s="324">
        <v>-0.66931862586820368</v>
      </c>
      <c r="O125" s="306">
        <v>0.85255972840572858</v>
      </c>
      <c r="P125" s="298">
        <v>-0.5</v>
      </c>
      <c r="Q125" s="336">
        <v>0.6</v>
      </c>
      <c r="R125" s="250"/>
      <c r="S125" s="250"/>
      <c r="T125" s="337">
        <v>0.99933068137413184</v>
      </c>
      <c r="U125" s="337">
        <v>1.0008525597284057</v>
      </c>
      <c r="V125" s="250"/>
      <c r="W125" s="250"/>
    </row>
    <row r="126" spans="13:26" x14ac:dyDescent="0.2">
      <c r="M126" s="335">
        <v>120.22224435999999</v>
      </c>
      <c r="N126" s="324">
        <v>-0.67440374087966504</v>
      </c>
      <c r="O126" s="306">
        <v>0.77806940940614477</v>
      </c>
      <c r="P126" s="298" t="s">
        <v>217</v>
      </c>
      <c r="Q126" s="336" t="s">
        <v>217</v>
      </c>
      <c r="R126" s="250"/>
      <c r="S126" s="250"/>
      <c r="T126" s="337">
        <v>0.99932559625912032</v>
      </c>
      <c r="U126" s="337">
        <v>1.0007780694094062</v>
      </c>
      <c r="V126" s="250"/>
      <c r="W126" s="250"/>
      <c r="X126" s="250"/>
      <c r="Y126" s="250"/>
      <c r="Z126" s="250"/>
    </row>
    <row r="127" spans="13:26" x14ac:dyDescent="0.2">
      <c r="M127" s="298">
        <v>125</v>
      </c>
      <c r="N127" s="324" t="s">
        <v>217</v>
      </c>
      <c r="O127" s="306" t="s">
        <v>217</v>
      </c>
      <c r="P127" s="298">
        <v>-0.5</v>
      </c>
      <c r="Q127" s="336">
        <v>0.5</v>
      </c>
      <c r="R127" s="250"/>
      <c r="S127" s="250" t="s">
        <v>274</v>
      </c>
      <c r="T127" s="337">
        <v>0.99941381080434255</v>
      </c>
      <c r="U127" s="337">
        <v>1.0011924677689519</v>
      </c>
      <c r="V127" s="330" t="s">
        <v>216</v>
      </c>
      <c r="W127" s="330"/>
      <c r="X127" s="250"/>
      <c r="Y127" s="250"/>
      <c r="Z127" s="250"/>
    </row>
    <row r="128" spans="13:26" x14ac:dyDescent="0.2">
      <c r="M128" s="317"/>
      <c r="N128" s="338"/>
      <c r="O128" s="317"/>
      <c r="P128" s="317"/>
      <c r="Q128" s="318"/>
      <c r="R128" s="250"/>
      <c r="S128" s="250"/>
      <c r="T128" s="250"/>
      <c r="U128" s="250"/>
      <c r="V128" s="250"/>
      <c r="W128" s="250"/>
      <c r="X128" s="250"/>
      <c r="Y128" s="250"/>
      <c r="Z128" s="250"/>
    </row>
    <row r="129" spans="13:23" x14ac:dyDescent="0.2">
      <c r="M129" s="250"/>
      <c r="N129" s="250"/>
      <c r="O129" s="250"/>
      <c r="P129" s="250"/>
      <c r="Q129" s="250"/>
      <c r="R129" s="250"/>
      <c r="S129" s="250"/>
      <c r="T129" s="250"/>
      <c r="U129" s="250"/>
      <c r="V129" s="250"/>
      <c r="W129" s="250"/>
    </row>
    <row r="130" spans="13:23" x14ac:dyDescent="0.2">
      <c r="M130" s="250"/>
      <c r="N130" s="250"/>
      <c r="O130" s="250"/>
      <c r="P130" s="250"/>
      <c r="Q130" s="250"/>
      <c r="R130" s="250"/>
      <c r="S130" s="250"/>
      <c r="T130" s="250"/>
      <c r="U130" s="250"/>
      <c r="V130" s="250"/>
      <c r="W130" s="250"/>
    </row>
    <row r="131" spans="13:23" x14ac:dyDescent="0.2">
      <c r="M131" s="325" t="s">
        <v>272</v>
      </c>
      <c r="N131" s="326"/>
      <c r="O131" s="326"/>
      <c r="P131" s="326"/>
      <c r="Q131" s="327"/>
      <c r="R131" s="328">
        <v>39380</v>
      </c>
      <c r="S131" s="250"/>
      <c r="T131" s="250"/>
      <c r="U131" s="250"/>
      <c r="V131" s="250"/>
      <c r="W131" s="250"/>
    </row>
    <row r="132" spans="13:23" x14ac:dyDescent="0.2">
      <c r="M132" s="329" t="s">
        <v>219</v>
      </c>
      <c r="N132" s="330"/>
      <c r="O132" s="330"/>
      <c r="P132" s="330"/>
      <c r="Q132" s="331"/>
      <c r="R132" s="332" t="s">
        <v>275</v>
      </c>
      <c r="S132" s="250"/>
      <c r="T132" s="250"/>
      <c r="U132" s="250"/>
      <c r="V132" s="250"/>
      <c r="W132" s="250"/>
    </row>
    <row r="133" spans="13:23" x14ac:dyDescent="0.2">
      <c r="M133" s="295" t="s">
        <v>207</v>
      </c>
      <c r="N133" s="333" t="s">
        <v>208</v>
      </c>
      <c r="O133" s="295" t="s">
        <v>209</v>
      </c>
      <c r="P133" s="295"/>
      <c r="Q133" s="296"/>
      <c r="R133" s="330"/>
      <c r="S133" s="250"/>
      <c r="T133" s="250"/>
      <c r="U133" s="250"/>
      <c r="V133" s="250"/>
      <c r="W133" s="250"/>
    </row>
    <row r="134" spans="13:23" x14ac:dyDescent="0.2">
      <c r="M134" s="298" t="s">
        <v>210</v>
      </c>
      <c r="N134" s="300" t="s">
        <v>19</v>
      </c>
      <c r="O134" s="298" t="s">
        <v>19</v>
      </c>
      <c r="P134" s="298"/>
      <c r="Q134" s="299"/>
      <c r="R134" s="330"/>
      <c r="S134" s="250"/>
      <c r="T134" s="330" t="s">
        <v>220</v>
      </c>
      <c r="U134" s="330"/>
      <c r="V134" s="250"/>
      <c r="W134" s="250"/>
    </row>
    <row r="135" spans="13:23" x14ac:dyDescent="0.2">
      <c r="M135" s="302" t="s">
        <v>213</v>
      </c>
      <c r="N135" s="334" t="s">
        <v>214</v>
      </c>
      <c r="O135" s="302" t="s">
        <v>215</v>
      </c>
      <c r="P135" s="298"/>
      <c r="Q135" s="299"/>
      <c r="R135" s="330"/>
      <c r="S135" s="250"/>
      <c r="T135" s="330" t="s">
        <v>221</v>
      </c>
      <c r="U135" s="330" t="s">
        <v>222</v>
      </c>
      <c r="V135" s="250"/>
      <c r="W135" s="250"/>
    </row>
    <row r="136" spans="13:23" x14ac:dyDescent="0.2">
      <c r="M136" s="335">
        <v>100.64523229999999</v>
      </c>
      <c r="N136" s="324">
        <v>-0.66887997038286129</v>
      </c>
      <c r="O136" s="306">
        <v>0.84474716179211817</v>
      </c>
      <c r="P136" s="296"/>
      <c r="Q136" s="295"/>
      <c r="R136" s="332"/>
      <c r="S136" s="250"/>
      <c r="T136" s="337">
        <v>0.9993311200296171</v>
      </c>
      <c r="U136" s="337">
        <v>1.0008447471617921</v>
      </c>
      <c r="V136" s="250"/>
      <c r="W136" s="250"/>
    </row>
    <row r="137" spans="13:23" x14ac:dyDescent="0.2">
      <c r="M137" s="335">
        <v>100.55326486</v>
      </c>
      <c r="N137" s="324">
        <v>-0.66929953751744153</v>
      </c>
      <c r="O137" s="306">
        <v>0.84684720532836011</v>
      </c>
      <c r="P137" s="299"/>
      <c r="Q137" s="298"/>
      <c r="R137" s="332"/>
      <c r="S137" s="250"/>
      <c r="T137" s="337">
        <v>0.99933070046248251</v>
      </c>
      <c r="U137" s="337">
        <v>1.0008468472053285</v>
      </c>
      <c r="V137" s="250"/>
      <c r="W137" s="250"/>
    </row>
    <row r="138" spans="13:23" x14ac:dyDescent="0.2">
      <c r="M138" s="335">
        <v>100.50016434</v>
      </c>
      <c r="N138" s="324">
        <v>-0.74420954590318633</v>
      </c>
      <c r="O138" s="306">
        <v>0.84536720801678056</v>
      </c>
      <c r="P138" s="299"/>
      <c r="Q138" s="298"/>
      <c r="R138" s="341" t="s">
        <v>276</v>
      </c>
      <c r="S138" s="250"/>
      <c r="T138" s="337">
        <v>0.99925579045409685</v>
      </c>
      <c r="U138" s="337">
        <v>1.0008453672080169</v>
      </c>
      <c r="V138" s="250"/>
      <c r="W138" s="250"/>
    </row>
    <row r="139" spans="13:23" x14ac:dyDescent="0.2">
      <c r="M139" s="335">
        <v>100.36525337999998</v>
      </c>
      <c r="N139" s="324">
        <v>-0.74501113830263921</v>
      </c>
      <c r="O139" s="306">
        <v>0.84570017818119514</v>
      </c>
      <c r="P139" s="299"/>
      <c r="Q139" s="298"/>
      <c r="R139" s="341" t="s">
        <v>276</v>
      </c>
      <c r="S139" s="250"/>
      <c r="T139" s="337">
        <v>0.99925498886169739</v>
      </c>
      <c r="U139" s="337">
        <v>1.0008457001781812</v>
      </c>
      <c r="V139" s="250"/>
      <c r="W139" s="250"/>
    </row>
    <row r="140" spans="13:23" x14ac:dyDescent="0.2">
      <c r="M140" s="335">
        <v>100.26926713999998</v>
      </c>
      <c r="N140" s="324">
        <v>-0.7816494149754708</v>
      </c>
      <c r="O140" s="306">
        <v>0.84290859413575858</v>
      </c>
      <c r="P140" s="299"/>
      <c r="Q140" s="298"/>
      <c r="R140" s="341" t="s">
        <v>277</v>
      </c>
      <c r="S140" s="250"/>
      <c r="T140" s="337">
        <v>0.99921835058502451</v>
      </c>
      <c r="U140" s="337">
        <v>1.0008429085941357</v>
      </c>
      <c r="V140" s="250"/>
      <c r="W140" s="250"/>
    </row>
    <row r="141" spans="13:23" x14ac:dyDescent="0.2">
      <c r="M141" s="335">
        <v>100.1747838</v>
      </c>
      <c r="N141" s="324">
        <v>-0.78109721859964321</v>
      </c>
      <c r="O141" s="306">
        <v>0.84341539984769287</v>
      </c>
      <c r="P141" s="299"/>
      <c r="Q141" s="298"/>
      <c r="R141" s="341" t="s">
        <v>277</v>
      </c>
      <c r="S141" s="250"/>
      <c r="T141" s="337">
        <v>0.99921890278140035</v>
      </c>
      <c r="U141" s="337">
        <v>1.0008434153998478</v>
      </c>
      <c r="V141" s="250"/>
      <c r="W141" s="250"/>
    </row>
    <row r="142" spans="13:23" x14ac:dyDescent="0.2">
      <c r="M142" s="317"/>
      <c r="N142" s="340"/>
      <c r="O142" s="317"/>
      <c r="P142" s="318"/>
      <c r="Q142" s="317"/>
      <c r="R142" s="330"/>
      <c r="S142" s="250" t="s">
        <v>274</v>
      </c>
      <c r="T142" s="337">
        <v>0.99926830886238649</v>
      </c>
      <c r="U142" s="337">
        <v>1.0008448309578837</v>
      </c>
      <c r="V142" s="250"/>
      <c r="W142" s="250"/>
    </row>
    <row r="143" spans="13:23" x14ac:dyDescent="0.2">
      <c r="M143" s="250"/>
      <c r="N143" s="250"/>
      <c r="O143" s="250"/>
      <c r="P143" s="250"/>
      <c r="Q143" s="250"/>
      <c r="R143" s="250"/>
      <c r="S143" s="250"/>
      <c r="T143" s="250"/>
      <c r="U143" s="250"/>
      <c r="V143" s="250"/>
      <c r="W143" s="250"/>
    </row>
    <row r="144" spans="13:23" x14ac:dyDescent="0.2">
      <c r="M144" s="250"/>
      <c r="N144" s="250"/>
      <c r="O144" s="250"/>
      <c r="P144" s="250"/>
      <c r="Q144" s="250"/>
      <c r="R144" s="250"/>
      <c r="S144" s="250"/>
      <c r="T144" s="250"/>
      <c r="U144" s="250"/>
      <c r="V144" s="250"/>
      <c r="W144" s="250"/>
    </row>
  </sheetData>
  <mergeCells count="16">
    <mergeCell ref="M17:O17"/>
    <mergeCell ref="X33:Z33"/>
    <mergeCell ref="M34:O34"/>
    <mergeCell ref="X85:Z85"/>
    <mergeCell ref="C71:D71"/>
    <mergeCell ref="E71:F71"/>
    <mergeCell ref="G71:H71"/>
    <mergeCell ref="C55:D55"/>
    <mergeCell ref="E55:F55"/>
    <mergeCell ref="G55:H55"/>
    <mergeCell ref="B34:D34"/>
    <mergeCell ref="B4:H4"/>
    <mergeCell ref="C5:D5"/>
    <mergeCell ref="E5:F5"/>
    <mergeCell ref="G5:H5"/>
    <mergeCell ref="B17:E17"/>
  </mergeCells>
  <phoneticPr fontId="1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43" workbookViewId="0">
      <selection activeCell="B2" sqref="B2"/>
    </sheetView>
  </sheetViews>
  <sheetFormatPr defaultRowHeight="12.75" x14ac:dyDescent="0.2"/>
  <cols>
    <col min="1" max="1" width="10.140625" bestFit="1" customWidth="1"/>
  </cols>
  <sheetData>
    <row r="1" spans="1:4" x14ac:dyDescent="0.2">
      <c r="A1" s="159" t="s">
        <v>173</v>
      </c>
      <c r="B1" s="159"/>
      <c r="C1" s="159"/>
    </row>
    <row r="2" spans="1:4" x14ac:dyDescent="0.2">
      <c r="B2" s="1" t="s">
        <v>145</v>
      </c>
      <c r="C2" s="1"/>
    </row>
    <row r="5" spans="1:4" x14ac:dyDescent="0.2">
      <c r="B5" s="1" t="s">
        <v>128</v>
      </c>
      <c r="C5" s="1"/>
    </row>
    <row r="6" spans="1:4" x14ac:dyDescent="0.2">
      <c r="D6" s="112" t="s">
        <v>123</v>
      </c>
    </row>
    <row r="7" spans="1:4" x14ac:dyDescent="0.2">
      <c r="D7" t="s">
        <v>124</v>
      </c>
    </row>
    <row r="8" spans="1:4" x14ac:dyDescent="0.2">
      <c r="D8" t="s">
        <v>125</v>
      </c>
    </row>
    <row r="9" spans="1:4" x14ac:dyDescent="0.2">
      <c r="D9" s="110" t="s">
        <v>147</v>
      </c>
    </row>
    <row r="10" spans="1:4" x14ac:dyDescent="0.2">
      <c r="D10" t="s">
        <v>148</v>
      </c>
    </row>
    <row r="12" spans="1:4" x14ac:dyDescent="0.2">
      <c r="B12" s="1" t="s">
        <v>126</v>
      </c>
      <c r="C12" s="1"/>
    </row>
    <row r="13" spans="1:4" x14ac:dyDescent="0.2">
      <c r="D13" s="112" t="s">
        <v>127</v>
      </c>
    </row>
    <row r="14" spans="1:4" x14ac:dyDescent="0.2">
      <c r="D14" t="s">
        <v>146</v>
      </c>
    </row>
    <row r="16" spans="1:4" x14ac:dyDescent="0.2">
      <c r="B16" s="109" t="s">
        <v>130</v>
      </c>
      <c r="C16" s="109"/>
    </row>
    <row r="17" spans="1:4" x14ac:dyDescent="0.2">
      <c r="D17" s="111" t="s">
        <v>131</v>
      </c>
    </row>
    <row r="18" spans="1:4" x14ac:dyDescent="0.2">
      <c r="D18" t="s">
        <v>132</v>
      </c>
    </row>
    <row r="19" spans="1:4" x14ac:dyDescent="0.2">
      <c r="A19" s="254">
        <v>40737</v>
      </c>
      <c r="C19" t="s">
        <v>379</v>
      </c>
      <c r="D19" t="s">
        <v>375</v>
      </c>
    </row>
    <row r="20" spans="1:4" x14ac:dyDescent="0.2">
      <c r="A20" s="254">
        <v>40737</v>
      </c>
      <c r="C20" t="s">
        <v>379</v>
      </c>
      <c r="D20" t="s">
        <v>376</v>
      </c>
    </row>
    <row r="22" spans="1:4" x14ac:dyDescent="0.2">
      <c r="B22" s="1" t="s">
        <v>137</v>
      </c>
      <c r="C22" s="1"/>
    </row>
    <row r="23" spans="1:4" x14ac:dyDescent="0.2">
      <c r="D23" s="110" t="s">
        <v>133</v>
      </c>
    </row>
    <row r="24" spans="1:4" x14ac:dyDescent="0.2">
      <c r="D24" t="s">
        <v>135</v>
      </c>
    </row>
    <row r="25" spans="1:4" x14ac:dyDescent="0.2">
      <c r="D25" t="s">
        <v>136</v>
      </c>
    </row>
    <row r="26" spans="1:4" x14ac:dyDescent="0.2">
      <c r="D26" t="s">
        <v>134</v>
      </c>
    </row>
    <row r="27" spans="1:4" x14ac:dyDescent="0.2">
      <c r="D27" t="s">
        <v>152</v>
      </c>
    </row>
    <row r="28" spans="1:4" x14ac:dyDescent="0.2">
      <c r="A28" s="168">
        <v>38642</v>
      </c>
      <c r="D28" t="s">
        <v>161</v>
      </c>
    </row>
    <row r="29" spans="1:4" x14ac:dyDescent="0.2">
      <c r="A29" s="254">
        <v>40737</v>
      </c>
      <c r="C29" t="s">
        <v>379</v>
      </c>
      <c r="D29" t="s">
        <v>377</v>
      </c>
    </row>
    <row r="30" spans="1:4" x14ac:dyDescent="0.2">
      <c r="A30" s="254">
        <v>40737</v>
      </c>
      <c r="C30" t="s">
        <v>379</v>
      </c>
      <c r="D30" t="s">
        <v>378</v>
      </c>
    </row>
    <row r="32" spans="1:4" x14ac:dyDescent="0.2">
      <c r="B32" s="1" t="s">
        <v>143</v>
      </c>
      <c r="C32" s="1"/>
    </row>
    <row r="33" spans="1:4" x14ac:dyDescent="0.2">
      <c r="D33" s="110" t="s">
        <v>138</v>
      </c>
    </row>
    <row r="34" spans="1:4" x14ac:dyDescent="0.2">
      <c r="D34" t="s">
        <v>139</v>
      </c>
    </row>
    <row r="35" spans="1:4" x14ac:dyDescent="0.2">
      <c r="D35" t="s">
        <v>142</v>
      </c>
    </row>
    <row r="36" spans="1:4" x14ac:dyDescent="0.2">
      <c r="D36" t="s">
        <v>140</v>
      </c>
    </row>
    <row r="37" spans="1:4" x14ac:dyDescent="0.2">
      <c r="D37" t="s">
        <v>141</v>
      </c>
    </row>
    <row r="39" spans="1:4" x14ac:dyDescent="0.2">
      <c r="D39" t="s">
        <v>144</v>
      </c>
    </row>
    <row r="40" spans="1:4" x14ac:dyDescent="0.2">
      <c r="D40" s="110" t="s">
        <v>147</v>
      </c>
    </row>
    <row r="41" spans="1:4" x14ac:dyDescent="0.2">
      <c r="D41" t="s">
        <v>149</v>
      </c>
    </row>
    <row r="42" spans="1:4" x14ac:dyDescent="0.2">
      <c r="A42" s="168">
        <v>38642</v>
      </c>
      <c r="D42" t="s">
        <v>162</v>
      </c>
    </row>
    <row r="43" spans="1:4" x14ac:dyDescent="0.2">
      <c r="D43" t="s">
        <v>163</v>
      </c>
    </row>
    <row r="46" spans="1:4" x14ac:dyDescent="0.2">
      <c r="D46" s="165" t="s">
        <v>167</v>
      </c>
    </row>
    <row r="48" spans="1:4" x14ac:dyDescent="0.2">
      <c r="A48" s="168">
        <v>38702</v>
      </c>
      <c r="D48" t="s">
        <v>168</v>
      </c>
    </row>
    <row r="51" spans="1:4" x14ac:dyDescent="0.2">
      <c r="A51" s="230">
        <v>39372</v>
      </c>
      <c r="D51" t="s">
        <v>235</v>
      </c>
    </row>
    <row r="54" spans="1:4" x14ac:dyDescent="0.2">
      <c r="A54" s="230">
        <v>39413</v>
      </c>
      <c r="D54" t="s">
        <v>284</v>
      </c>
    </row>
    <row r="55" spans="1:4" x14ac:dyDescent="0.2">
      <c r="D55" s="360" t="s">
        <v>285</v>
      </c>
    </row>
    <row r="56" spans="1:4" x14ac:dyDescent="0.2">
      <c r="D56" t="s">
        <v>286</v>
      </c>
    </row>
    <row r="57" spans="1:4" x14ac:dyDescent="0.2">
      <c r="D57" t="s">
        <v>287</v>
      </c>
    </row>
    <row r="58" spans="1:4" x14ac:dyDescent="0.2">
      <c r="D58" t="s">
        <v>288</v>
      </c>
    </row>
    <row r="60" spans="1:4" x14ac:dyDescent="0.2">
      <c r="A60" s="230">
        <v>39638</v>
      </c>
      <c r="D60" t="s">
        <v>338</v>
      </c>
    </row>
    <row r="61" spans="1:4" x14ac:dyDescent="0.2">
      <c r="D61" t="s">
        <v>340</v>
      </c>
    </row>
    <row r="62" spans="1:4" x14ac:dyDescent="0.2">
      <c r="D62" t="s">
        <v>339</v>
      </c>
    </row>
    <row r="64" spans="1:4" x14ac:dyDescent="0.2">
      <c r="A64" s="464">
        <v>40246</v>
      </c>
      <c r="C64" t="s">
        <v>385</v>
      </c>
      <c r="D64" s="46" t="s">
        <v>355</v>
      </c>
    </row>
    <row r="65" spans="1:4" x14ac:dyDescent="0.2">
      <c r="A65" s="393"/>
      <c r="D65" s="46" t="s">
        <v>356</v>
      </c>
    </row>
    <row r="67" spans="1:4" x14ac:dyDescent="0.2">
      <c r="A67" s="254">
        <v>42171</v>
      </c>
      <c r="C67" s="46" t="s">
        <v>407</v>
      </c>
      <c r="D67" s="46" t="s">
        <v>408</v>
      </c>
    </row>
    <row r="68" spans="1:4" x14ac:dyDescent="0.2">
      <c r="D68" s="46" t="s">
        <v>409</v>
      </c>
    </row>
    <row r="69" spans="1:4" x14ac:dyDescent="0.2">
      <c r="D69" s="46" t="s">
        <v>410</v>
      </c>
    </row>
    <row r="70" spans="1:4" x14ac:dyDescent="0.2">
      <c r="D70" s="46" t="s">
        <v>411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0"/>
  <sheetViews>
    <sheetView workbookViewId="0">
      <selection activeCell="B2" sqref="B2"/>
    </sheetView>
  </sheetViews>
  <sheetFormatPr defaultRowHeight="12.75" x14ac:dyDescent="0.2"/>
  <cols>
    <col min="3" max="3" width="10" bestFit="1" customWidth="1"/>
  </cols>
  <sheetData>
    <row r="1" spans="1:21" x14ac:dyDescent="0.2">
      <c r="A1" s="386">
        <v>39642</v>
      </c>
    </row>
    <row r="3" spans="1:21" x14ac:dyDescent="0.2">
      <c r="A3" t="s">
        <v>346</v>
      </c>
    </row>
    <row r="4" spans="1:21" x14ac:dyDescent="0.2">
      <c r="A4" t="s">
        <v>347</v>
      </c>
    </row>
    <row r="11" spans="1:21" x14ac:dyDescent="0.2">
      <c r="A11" t="s">
        <v>348</v>
      </c>
      <c r="L11" t="s">
        <v>349</v>
      </c>
    </row>
    <row r="12" spans="1:21" x14ac:dyDescent="0.2">
      <c r="A12" s="97">
        <v>191</v>
      </c>
      <c r="C12" s="60" t="s">
        <v>350</v>
      </c>
      <c r="D12" s="18"/>
      <c r="E12" s="18"/>
      <c r="F12" s="18"/>
      <c r="G12" s="18"/>
      <c r="H12" s="10"/>
      <c r="I12" s="10"/>
      <c r="J12" s="11"/>
      <c r="L12" s="97">
        <v>191</v>
      </c>
      <c r="N12" s="60" t="s">
        <v>350</v>
      </c>
      <c r="O12" s="18"/>
      <c r="P12" s="18"/>
      <c r="Q12" s="18"/>
      <c r="R12" s="18"/>
      <c r="S12" s="10"/>
      <c r="T12" s="10"/>
      <c r="U12" s="11"/>
    </row>
    <row r="13" spans="1:21" x14ac:dyDescent="0.2">
      <c r="A13" s="68"/>
      <c r="C13" s="12"/>
      <c r="D13" s="13"/>
      <c r="E13" s="643" t="s">
        <v>19</v>
      </c>
      <c r="F13" s="644"/>
      <c r="G13" s="643" t="s">
        <v>20</v>
      </c>
      <c r="H13" s="644"/>
      <c r="I13" s="645" t="s">
        <v>8</v>
      </c>
      <c r="J13" s="646"/>
      <c r="L13" s="97"/>
      <c r="N13" s="12"/>
      <c r="O13" s="13"/>
      <c r="P13" s="643" t="s">
        <v>19</v>
      </c>
      <c r="Q13" s="644"/>
      <c r="R13" s="643" t="s">
        <v>20</v>
      </c>
      <c r="S13" s="644"/>
      <c r="T13" s="645" t="s">
        <v>8</v>
      </c>
      <c r="U13" s="646"/>
    </row>
    <row r="14" spans="1:21" ht="51" x14ac:dyDescent="0.2">
      <c r="A14" s="68"/>
      <c r="C14" s="12" t="s">
        <v>351</v>
      </c>
      <c r="D14" s="54" t="s">
        <v>241</v>
      </c>
      <c r="E14" s="54" t="s">
        <v>294</v>
      </c>
      <c r="F14" s="13" t="s">
        <v>239</v>
      </c>
      <c r="G14" s="54" t="s">
        <v>294</v>
      </c>
      <c r="H14" s="13" t="s">
        <v>239</v>
      </c>
      <c r="I14" s="54" t="s">
        <v>158</v>
      </c>
      <c r="J14" s="13" t="s">
        <v>159</v>
      </c>
      <c r="L14" s="97"/>
      <c r="N14" s="12" t="s">
        <v>351</v>
      </c>
      <c r="O14" s="54" t="s">
        <v>241</v>
      </c>
      <c r="P14" s="54" t="s">
        <v>294</v>
      </c>
      <c r="Q14" s="13" t="s">
        <v>239</v>
      </c>
      <c r="R14" s="54" t="s">
        <v>294</v>
      </c>
      <c r="S14" s="13" t="s">
        <v>239</v>
      </c>
      <c r="T14" s="54" t="s">
        <v>158</v>
      </c>
      <c r="U14" s="13" t="s">
        <v>159</v>
      </c>
    </row>
    <row r="15" spans="1:21" x14ac:dyDescent="0.2">
      <c r="A15" s="97">
        <v>193</v>
      </c>
      <c r="C15" s="53">
        <v>0.2</v>
      </c>
      <c r="D15" s="57">
        <v>5</v>
      </c>
      <c r="E15" s="279">
        <v>-1.3988047336902555E-3</v>
      </c>
      <c r="F15" s="280">
        <v>4.863383384051268E-3</v>
      </c>
      <c r="G15" s="33">
        <v>6.8436637034128955E-3</v>
      </c>
      <c r="H15" s="53">
        <v>6.5938449071092928E-3</v>
      </c>
      <c r="I15" s="56">
        <v>2.3196877985984874</v>
      </c>
      <c r="J15" s="49">
        <v>2.2594194114292452</v>
      </c>
      <c r="L15" s="97">
        <v>193</v>
      </c>
      <c r="N15" s="53">
        <v>0.2</v>
      </c>
      <c r="O15" s="57">
        <v>5</v>
      </c>
      <c r="P15" s="279">
        <v>-1.3988047336902555E-3</v>
      </c>
      <c r="Q15" s="280">
        <v>4.863383384051268E-3</v>
      </c>
      <c r="R15" s="33">
        <v>6.8436637034128955E-3</v>
      </c>
      <c r="S15" s="53">
        <v>6.5938449071092928E-3</v>
      </c>
      <c r="T15" s="56">
        <v>2.3196877985984874</v>
      </c>
      <c r="U15" s="49">
        <v>2.2594194114292452</v>
      </c>
    </row>
    <row r="16" spans="1:21" x14ac:dyDescent="0.2">
      <c r="A16" s="97">
        <v>194</v>
      </c>
      <c r="C16" s="53">
        <v>0.2</v>
      </c>
      <c r="D16" s="57">
        <v>10</v>
      </c>
      <c r="E16" s="279">
        <v>-1.3568323521233972E-3</v>
      </c>
      <c r="F16" s="280">
        <v>4.9126204229287687E-3</v>
      </c>
      <c r="G16" s="33">
        <v>5.8175895653979426E-3</v>
      </c>
      <c r="H16" s="53">
        <v>6.6076248478882261E-3</v>
      </c>
      <c r="I16" s="56">
        <v>2.2796055016550638</v>
      </c>
      <c r="J16" s="49">
        <v>2.2279286994276251</v>
      </c>
      <c r="L16" s="97">
        <v>194</v>
      </c>
      <c r="N16" s="53">
        <v>0.2</v>
      </c>
      <c r="O16" s="57">
        <v>10</v>
      </c>
      <c r="P16" s="279">
        <v>-1.3568323521233972E-3</v>
      </c>
      <c r="Q16" s="280">
        <v>4.9126204229287687E-3</v>
      </c>
      <c r="R16" s="33">
        <v>5.8175895653979426E-3</v>
      </c>
      <c r="S16" s="53">
        <v>6.6076248478882261E-3</v>
      </c>
      <c r="T16" s="56">
        <v>2.2796055016550638</v>
      </c>
      <c r="U16" s="49">
        <v>2.2279286994276251</v>
      </c>
    </row>
    <row r="17" spans="1:21" x14ac:dyDescent="0.2">
      <c r="A17" s="97">
        <v>195</v>
      </c>
      <c r="C17" s="53">
        <v>0.2</v>
      </c>
      <c r="D17" s="57">
        <v>20</v>
      </c>
      <c r="E17" s="279">
        <v>-1.4464462317550142E-3</v>
      </c>
      <c r="F17" s="280">
        <v>4.762815434460296E-3</v>
      </c>
      <c r="G17" s="33">
        <v>5.1329421992888837E-3</v>
      </c>
      <c r="H17" s="53">
        <v>6.4583472405509088E-3</v>
      </c>
      <c r="I17" s="56">
        <v>2.1327626067148517</v>
      </c>
      <c r="J17" s="49">
        <v>2.2831279510380296</v>
      </c>
      <c r="L17" s="97">
        <v>195</v>
      </c>
      <c r="N17" s="53">
        <v>0.2</v>
      </c>
      <c r="O17" s="57">
        <v>20</v>
      </c>
      <c r="P17" s="279">
        <v>-1.4464462317550142E-3</v>
      </c>
      <c r="Q17" s="280">
        <v>4.762815434460296E-3</v>
      </c>
      <c r="R17" s="33">
        <v>5.1329421992888837E-3</v>
      </c>
      <c r="S17" s="53">
        <v>6.4583472405509088E-3</v>
      </c>
      <c r="T17" s="56">
        <v>2.1327626067148517</v>
      </c>
      <c r="U17" s="49">
        <v>2.2831279510380296</v>
      </c>
    </row>
    <row r="18" spans="1:21" x14ac:dyDescent="0.2">
      <c r="A18" s="97">
        <v>196</v>
      </c>
      <c r="C18" s="53">
        <v>0.2</v>
      </c>
      <c r="D18" s="57">
        <v>40</v>
      </c>
      <c r="E18" s="279">
        <v>-1.2001857572746391E-3</v>
      </c>
      <c r="F18" s="280">
        <v>4.9219379790182999E-3</v>
      </c>
      <c r="G18" s="33">
        <v>6.5959571514903059E-3</v>
      </c>
      <c r="H18" s="53">
        <v>6.3565669109594833E-3</v>
      </c>
      <c r="I18" s="56">
        <v>2.102700697743662</v>
      </c>
      <c r="J18" s="49">
        <v>2.3355804613664386</v>
      </c>
      <c r="L18" s="97">
        <v>196</v>
      </c>
      <c r="N18" s="53">
        <v>0.2</v>
      </c>
      <c r="O18" s="57">
        <v>40</v>
      </c>
      <c r="P18" s="279">
        <v>-1.2001857572746391E-3</v>
      </c>
      <c r="Q18" s="280">
        <v>4.9219379790182999E-3</v>
      </c>
      <c r="R18" s="33">
        <v>6.5959571514903059E-3</v>
      </c>
      <c r="S18" s="53">
        <v>6.3565669109594833E-3</v>
      </c>
      <c r="T18" s="56">
        <v>2.102700697743662</v>
      </c>
      <c r="U18" s="49">
        <v>2.3355804613664386</v>
      </c>
    </row>
    <row r="19" spans="1:21" x14ac:dyDescent="0.2">
      <c r="A19" s="97">
        <v>197</v>
      </c>
      <c r="C19" s="53">
        <v>0.2</v>
      </c>
      <c r="D19" s="51">
        <v>60</v>
      </c>
      <c r="E19" s="279">
        <v>-9.9802412691157838E-4</v>
      </c>
      <c r="F19" s="280">
        <v>5.3900406035642815E-3</v>
      </c>
      <c r="G19" s="33">
        <v>7.7094163519279566E-3</v>
      </c>
      <c r="H19" s="53">
        <v>6.4213233516317103E-3</v>
      </c>
      <c r="I19" s="56">
        <v>2.1064643861172527</v>
      </c>
      <c r="J19" s="49">
        <v>2.3343514252618389</v>
      </c>
      <c r="L19" s="97">
        <v>197</v>
      </c>
      <c r="N19" s="53">
        <v>0.2</v>
      </c>
      <c r="O19" s="51">
        <v>60</v>
      </c>
      <c r="P19" s="279">
        <v>-9.9802412691157838E-4</v>
      </c>
      <c r="Q19" s="280">
        <v>5.3900406035642815E-3</v>
      </c>
      <c r="R19" s="33">
        <v>7.7094163519279566E-3</v>
      </c>
      <c r="S19" s="53">
        <v>6.4213233516317103E-3</v>
      </c>
      <c r="T19" s="56">
        <v>2.1064643861172527</v>
      </c>
      <c r="U19" s="49">
        <v>2.3343514252618389</v>
      </c>
    </row>
    <row r="20" spans="1:21" x14ac:dyDescent="0.2">
      <c r="A20" s="97">
        <v>198</v>
      </c>
      <c r="C20" s="53">
        <v>0.2</v>
      </c>
      <c r="D20" s="51">
        <v>100</v>
      </c>
      <c r="E20" s="279">
        <v>-8.2199066582039695E-4</v>
      </c>
      <c r="F20" s="280">
        <v>4.5553848181261944E-3</v>
      </c>
      <c r="G20" s="33">
        <v>8.9036626378363008E-3</v>
      </c>
      <c r="H20" s="53">
        <v>6.3546806879133198E-3</v>
      </c>
      <c r="I20" s="56">
        <v>2.1138078707480585</v>
      </c>
      <c r="J20" s="49">
        <v>2.3267385496373705</v>
      </c>
      <c r="L20" s="97">
        <v>198</v>
      </c>
      <c r="N20" s="53">
        <v>0.2</v>
      </c>
      <c r="O20" s="51">
        <v>100</v>
      </c>
      <c r="P20" s="279">
        <v>-8.2199066582039695E-4</v>
      </c>
      <c r="Q20" s="280">
        <v>4.5553848181261944E-3</v>
      </c>
      <c r="R20" s="33">
        <v>8.9036626378363008E-3</v>
      </c>
      <c r="S20" s="53">
        <v>6.3546806879133198E-3</v>
      </c>
      <c r="T20" s="56">
        <v>2.1138078707480585</v>
      </c>
      <c r="U20" s="49">
        <v>2.3267385496373705</v>
      </c>
    </row>
    <row r="21" spans="1:21" x14ac:dyDescent="0.2">
      <c r="A21" s="97">
        <v>199</v>
      </c>
      <c r="C21" s="53">
        <v>0.2</v>
      </c>
      <c r="D21" s="51">
        <v>120</v>
      </c>
      <c r="E21" s="279">
        <v>-7.7975701742199403E-4</v>
      </c>
      <c r="F21" s="280">
        <v>4.7312002003411053E-3</v>
      </c>
      <c r="G21" s="33">
        <v>9.0832747374210189E-3</v>
      </c>
      <c r="H21" s="53">
        <v>6.3851105113233633E-3</v>
      </c>
      <c r="I21" s="56">
        <v>2.1149437656523782</v>
      </c>
      <c r="J21" s="49">
        <v>2.3015244776026322</v>
      </c>
      <c r="L21" s="97">
        <v>199</v>
      </c>
      <c r="N21" s="53">
        <v>0.2</v>
      </c>
      <c r="O21" s="51">
        <v>120</v>
      </c>
      <c r="P21" s="279">
        <v>-7.7975701742199403E-4</v>
      </c>
      <c r="Q21" s="280">
        <v>4.7312002003411053E-3</v>
      </c>
      <c r="R21" s="33">
        <v>9.0832747374210189E-3</v>
      </c>
      <c r="S21" s="53">
        <v>6.3851105113233633E-3</v>
      </c>
      <c r="T21" s="56">
        <v>2.1149437656523782</v>
      </c>
      <c r="U21" s="49">
        <v>2.3015244776026322</v>
      </c>
    </row>
    <row r="22" spans="1:21" x14ac:dyDescent="0.2">
      <c r="A22" s="68"/>
      <c r="C22" s="119"/>
      <c r="D22" s="113"/>
      <c r="E22" s="114"/>
      <c r="F22" s="115"/>
      <c r="G22" s="114"/>
      <c r="H22" s="115"/>
      <c r="I22" s="116"/>
      <c r="J22" s="117"/>
      <c r="L22" s="97"/>
      <c r="N22" s="119"/>
      <c r="O22" s="113"/>
      <c r="P22" s="114"/>
      <c r="Q22" s="115"/>
      <c r="R22" s="114"/>
      <c r="S22" s="115"/>
      <c r="T22" s="116"/>
      <c r="U22" s="117"/>
    </row>
    <row r="23" spans="1:21" x14ac:dyDescent="0.2">
      <c r="A23" s="97">
        <v>201</v>
      </c>
      <c r="C23" s="53">
        <v>0</v>
      </c>
      <c r="D23" s="51">
        <v>5</v>
      </c>
      <c r="E23" s="279">
        <v>-7.6134852144480001E-4</v>
      </c>
      <c r="F23" s="280">
        <v>2.0769890015601691E-3</v>
      </c>
      <c r="G23" s="33">
        <v>6.843684206439409E-3</v>
      </c>
      <c r="H23" s="53">
        <v>6.5921705841192439E-3</v>
      </c>
      <c r="I23" s="56">
        <v>2.319669962302005</v>
      </c>
      <c r="J23" s="49">
        <v>2.260254281547629</v>
      </c>
      <c r="L23" s="97">
        <v>201</v>
      </c>
      <c r="N23" s="53">
        <v>0</v>
      </c>
      <c r="O23" s="51">
        <v>5</v>
      </c>
      <c r="P23" s="279">
        <v>-7.6134852144480001E-4</v>
      </c>
      <c r="Q23" s="280">
        <v>2.0769890015601691E-3</v>
      </c>
      <c r="R23" s="33">
        <v>6.843684206439409E-3</v>
      </c>
      <c r="S23" s="53">
        <v>6.5921705841192439E-3</v>
      </c>
      <c r="T23" s="56">
        <v>2.319669962302005</v>
      </c>
      <c r="U23" s="49">
        <v>2.260254281547629</v>
      </c>
    </row>
    <row r="24" spans="1:21" x14ac:dyDescent="0.2">
      <c r="A24" s="97">
        <v>202</v>
      </c>
      <c r="C24" s="53">
        <v>0</v>
      </c>
      <c r="D24" s="51">
        <v>10</v>
      </c>
      <c r="E24" s="279">
        <v>-6.9945563324527119E-4</v>
      </c>
      <c r="F24" s="280">
        <v>2.01012627450054E-3</v>
      </c>
      <c r="G24" s="33">
        <v>5.8176248434792495E-3</v>
      </c>
      <c r="H24" s="53">
        <v>6.6264713748989011E-3</v>
      </c>
      <c r="I24" s="56">
        <v>2.2795811015247427</v>
      </c>
      <c r="J24" s="49">
        <v>2.2212526404542299</v>
      </c>
      <c r="L24" s="97">
        <v>202</v>
      </c>
      <c r="N24" s="53">
        <v>0</v>
      </c>
      <c r="O24" s="51">
        <v>10</v>
      </c>
      <c r="P24" s="279">
        <v>-6.9945563324527119E-4</v>
      </c>
      <c r="Q24" s="280">
        <v>2.01012627450054E-3</v>
      </c>
      <c r="R24" s="33">
        <v>5.8176248434792495E-3</v>
      </c>
      <c r="S24" s="53">
        <v>6.6264713748989011E-3</v>
      </c>
      <c r="T24" s="56">
        <v>2.2795811015247427</v>
      </c>
      <c r="U24" s="49">
        <v>2.2212526404542299</v>
      </c>
    </row>
    <row r="25" spans="1:21" x14ac:dyDescent="0.2">
      <c r="A25" s="97">
        <v>203</v>
      </c>
      <c r="C25" s="53">
        <v>0</v>
      </c>
      <c r="D25" s="51">
        <v>20</v>
      </c>
      <c r="E25" s="279">
        <v>-6.8946697971353633E-4</v>
      </c>
      <c r="F25" s="280">
        <v>2.6149697646234071E-3</v>
      </c>
      <c r="G25" s="33">
        <v>5.1331160210259397E-3</v>
      </c>
      <c r="H25" s="53">
        <v>6.4601515953817707E-3</v>
      </c>
      <c r="I25" s="56">
        <v>2.1327247078968563</v>
      </c>
      <c r="J25" s="49">
        <v>2.282052505933108</v>
      </c>
      <c r="L25" s="97">
        <v>203</v>
      </c>
      <c r="N25" s="53">
        <v>0</v>
      </c>
      <c r="O25" s="51">
        <v>20</v>
      </c>
      <c r="P25" s="279">
        <v>-6.8946697971353633E-4</v>
      </c>
      <c r="Q25" s="280">
        <v>2.6149697646234071E-3</v>
      </c>
      <c r="R25" s="33">
        <v>5.1331160210259397E-3</v>
      </c>
      <c r="S25" s="53">
        <v>6.4601515953817707E-3</v>
      </c>
      <c r="T25" s="56">
        <v>2.1327247078968563</v>
      </c>
      <c r="U25" s="49">
        <v>2.282052505933108</v>
      </c>
    </row>
    <row r="26" spans="1:21" x14ac:dyDescent="0.2">
      <c r="A26" s="97">
        <v>204</v>
      </c>
      <c r="C26" s="53">
        <v>0</v>
      </c>
      <c r="D26" s="51">
        <v>40</v>
      </c>
      <c r="E26" s="279">
        <v>-3.834449853351501E-4</v>
      </c>
      <c r="F26" s="280">
        <v>2.8611671336342568E-3</v>
      </c>
      <c r="G26" s="33">
        <v>6.5959637097260286E-3</v>
      </c>
      <c r="H26" s="53">
        <v>6.3568086589030582E-3</v>
      </c>
      <c r="I26" s="56">
        <v>2.1026998653896682</v>
      </c>
      <c r="J26" s="49">
        <v>2.3353119129718243</v>
      </c>
      <c r="L26" s="97">
        <v>204</v>
      </c>
      <c r="N26" s="53">
        <v>0</v>
      </c>
      <c r="O26" s="51">
        <v>40</v>
      </c>
      <c r="P26" s="279">
        <v>-3.834449853351501E-4</v>
      </c>
      <c r="Q26" s="280">
        <v>2.8611671336342568E-3</v>
      </c>
      <c r="R26" s="33">
        <v>6.5959637097260286E-3</v>
      </c>
      <c r="S26" s="53">
        <v>6.3568086589030582E-3</v>
      </c>
      <c r="T26" s="56">
        <v>2.1026998653896682</v>
      </c>
      <c r="U26" s="49">
        <v>2.3353119129718243</v>
      </c>
    </row>
    <row r="27" spans="1:21" x14ac:dyDescent="0.2">
      <c r="A27" s="97">
        <v>205</v>
      </c>
      <c r="C27" s="53">
        <v>0</v>
      </c>
      <c r="D27" s="51">
        <v>60</v>
      </c>
      <c r="E27" s="279">
        <v>-1.6136284833941913E-4</v>
      </c>
      <c r="F27" s="280">
        <v>3.3292697581802384E-3</v>
      </c>
      <c r="G27" s="33">
        <v>7.7094914217074413E-3</v>
      </c>
      <c r="H27" s="53">
        <v>6.4251614350664676E-3</v>
      </c>
      <c r="I27" s="56">
        <v>2.1064559200316451</v>
      </c>
      <c r="J27" s="49">
        <v>2.3304728673854895</v>
      </c>
      <c r="L27" s="97">
        <v>205</v>
      </c>
      <c r="N27" s="53">
        <v>0</v>
      </c>
      <c r="O27" s="51">
        <v>60</v>
      </c>
      <c r="P27" s="279">
        <v>-1.6136284833941913E-4</v>
      </c>
      <c r="Q27" s="280">
        <v>3.3292697581802384E-3</v>
      </c>
      <c r="R27" s="33">
        <v>7.7094914217074413E-3</v>
      </c>
      <c r="S27" s="53">
        <v>6.4251614350664676E-3</v>
      </c>
      <c r="T27" s="56">
        <v>2.1064559200316451</v>
      </c>
      <c r="U27" s="49">
        <v>2.3304728673854895</v>
      </c>
    </row>
    <row r="28" spans="1:21" x14ac:dyDescent="0.2">
      <c r="A28" s="97">
        <v>206</v>
      </c>
      <c r="C28" s="53">
        <v>0</v>
      </c>
      <c r="D28" s="51">
        <v>100</v>
      </c>
      <c r="E28" s="279">
        <v>-2.5170400513578335E-5</v>
      </c>
      <c r="F28" s="280">
        <v>2.8138883290692567E-3</v>
      </c>
      <c r="G28" s="33">
        <v>8.9036301519626534E-3</v>
      </c>
      <c r="H28" s="53">
        <v>6.3556358067570033E-3</v>
      </c>
      <c r="I28" s="56">
        <v>2.1138112830982072</v>
      </c>
      <c r="J28" s="49">
        <v>2.3257839805753187</v>
      </c>
      <c r="L28" s="97">
        <v>206</v>
      </c>
      <c r="N28" s="53">
        <v>0</v>
      </c>
      <c r="O28" s="51">
        <v>100</v>
      </c>
      <c r="P28" s="279">
        <v>-2.5170400513578335E-5</v>
      </c>
      <c r="Q28" s="280">
        <v>2.8138883290692567E-3</v>
      </c>
      <c r="R28" s="33">
        <v>8.9036301519626534E-3</v>
      </c>
      <c r="S28" s="53">
        <v>6.3556358067570033E-3</v>
      </c>
      <c r="T28" s="56">
        <v>2.1138112830982072</v>
      </c>
      <c r="U28" s="49">
        <v>2.3257839805753187</v>
      </c>
    </row>
    <row r="29" spans="1:21" x14ac:dyDescent="0.2">
      <c r="A29" s="97">
        <v>207</v>
      </c>
      <c r="C29" s="53">
        <v>0</v>
      </c>
      <c r="D29" s="51">
        <v>120</v>
      </c>
      <c r="E29" s="279">
        <v>3.6983754517495732E-5</v>
      </c>
      <c r="F29" s="280">
        <v>3.2758896343191911E-3</v>
      </c>
      <c r="G29" s="33">
        <v>9.0832730946133911E-3</v>
      </c>
      <c r="H29" s="53">
        <v>6.3849909015044112E-3</v>
      </c>
      <c r="I29" s="56">
        <v>2.1149439367069482</v>
      </c>
      <c r="J29" s="49">
        <v>2.3016173108397155</v>
      </c>
      <c r="L29" s="97">
        <v>207</v>
      </c>
      <c r="N29" s="53">
        <v>0</v>
      </c>
      <c r="O29" s="51">
        <v>120</v>
      </c>
      <c r="P29" s="279">
        <v>3.6983754517495732E-5</v>
      </c>
      <c r="Q29" s="280">
        <v>3.2758896343191911E-3</v>
      </c>
      <c r="R29" s="33">
        <v>9.0832730946133911E-3</v>
      </c>
      <c r="S29" s="53">
        <v>6.3849909015044112E-3</v>
      </c>
      <c r="T29" s="56">
        <v>2.1149439367069482</v>
      </c>
      <c r="U29" s="49">
        <v>2.3016173108397155</v>
      </c>
    </row>
    <row r="30" spans="1:21" x14ac:dyDescent="0.2">
      <c r="C30" s="39"/>
      <c r="D30" s="52"/>
      <c r="E30" s="38"/>
      <c r="F30" s="52"/>
      <c r="G30" s="38"/>
      <c r="H30" s="52"/>
      <c r="I30" s="52"/>
      <c r="J30" s="40"/>
      <c r="N30" s="39"/>
      <c r="O30" s="52"/>
      <c r="P30" s="38"/>
      <c r="Q30" s="52"/>
      <c r="R30" s="38"/>
      <c r="S30" s="52"/>
      <c r="T30" s="52"/>
      <c r="U30" s="40"/>
    </row>
    <row r="32" spans="1:21" x14ac:dyDescent="0.2">
      <c r="A32" t="s">
        <v>352</v>
      </c>
      <c r="C32" s="60" t="s">
        <v>350</v>
      </c>
      <c r="D32" s="18"/>
      <c r="E32" s="18"/>
      <c r="F32" s="18"/>
      <c r="G32" s="18"/>
      <c r="H32" s="10"/>
      <c r="I32" s="10"/>
      <c r="J32" s="11"/>
    </row>
    <row r="33" spans="3:10" x14ac:dyDescent="0.2">
      <c r="C33" s="12"/>
      <c r="D33" s="13"/>
      <c r="E33" s="643" t="s">
        <v>19</v>
      </c>
      <c r="F33" s="644"/>
      <c r="G33" s="643" t="s">
        <v>20</v>
      </c>
      <c r="H33" s="644"/>
      <c r="I33" s="645" t="s">
        <v>8</v>
      </c>
      <c r="J33" s="646"/>
    </row>
    <row r="34" spans="3:10" ht="51" x14ac:dyDescent="0.2">
      <c r="C34" s="12" t="s">
        <v>351</v>
      </c>
      <c r="D34" s="54" t="s">
        <v>241</v>
      </c>
      <c r="E34" s="54" t="s">
        <v>294</v>
      </c>
      <c r="F34" s="13" t="s">
        <v>239</v>
      </c>
      <c r="G34" s="54" t="s">
        <v>294</v>
      </c>
      <c r="H34" s="13" t="s">
        <v>239</v>
      </c>
      <c r="I34" s="54" t="s">
        <v>158</v>
      </c>
      <c r="J34" s="13" t="s">
        <v>159</v>
      </c>
    </row>
    <row r="35" spans="3:10" x14ac:dyDescent="0.2">
      <c r="C35" s="387">
        <f t="shared" ref="C35:I40" si="0">C15-N15</f>
        <v>0</v>
      </c>
      <c r="D35" s="387">
        <f t="shared" si="0"/>
        <v>0</v>
      </c>
      <c r="E35" s="388">
        <f t="shared" si="0"/>
        <v>0</v>
      </c>
      <c r="F35" s="387">
        <f t="shared" si="0"/>
        <v>0</v>
      </c>
      <c r="G35" s="388">
        <f t="shared" si="0"/>
        <v>0</v>
      </c>
      <c r="H35" s="387">
        <f t="shared" si="0"/>
        <v>0</v>
      </c>
      <c r="I35" s="387">
        <f t="shared" si="0"/>
        <v>0</v>
      </c>
      <c r="J35" s="389">
        <f t="shared" ref="J35:J41" si="1">J15-U15</f>
        <v>0</v>
      </c>
    </row>
    <row r="36" spans="3:10" x14ac:dyDescent="0.2">
      <c r="C36" s="387">
        <f t="shared" si="0"/>
        <v>0</v>
      </c>
      <c r="D36" s="387">
        <f t="shared" si="0"/>
        <v>0</v>
      </c>
      <c r="E36" s="388">
        <f t="shared" si="0"/>
        <v>0</v>
      </c>
      <c r="F36" s="387">
        <f t="shared" si="0"/>
        <v>0</v>
      </c>
      <c r="G36" s="388">
        <f t="shared" si="0"/>
        <v>0</v>
      </c>
      <c r="H36" s="387">
        <f t="shared" si="0"/>
        <v>0</v>
      </c>
      <c r="I36" s="387">
        <f t="shared" si="0"/>
        <v>0</v>
      </c>
      <c r="J36" s="389">
        <f t="shared" si="1"/>
        <v>0</v>
      </c>
    </row>
    <row r="37" spans="3:10" x14ac:dyDescent="0.2">
      <c r="C37" s="387">
        <f t="shared" si="0"/>
        <v>0</v>
      </c>
      <c r="D37" s="387">
        <f t="shared" si="0"/>
        <v>0</v>
      </c>
      <c r="E37" s="388">
        <f t="shared" si="0"/>
        <v>0</v>
      </c>
      <c r="F37" s="387">
        <f t="shared" si="0"/>
        <v>0</v>
      </c>
      <c r="G37" s="388">
        <f t="shared" si="0"/>
        <v>0</v>
      </c>
      <c r="H37" s="387">
        <f t="shared" si="0"/>
        <v>0</v>
      </c>
      <c r="I37" s="387">
        <f t="shared" si="0"/>
        <v>0</v>
      </c>
      <c r="J37" s="389">
        <f t="shared" si="1"/>
        <v>0</v>
      </c>
    </row>
    <row r="38" spans="3:10" x14ac:dyDescent="0.2">
      <c r="C38" s="387">
        <f t="shared" si="0"/>
        <v>0</v>
      </c>
      <c r="D38" s="387">
        <f t="shared" si="0"/>
        <v>0</v>
      </c>
      <c r="E38" s="388">
        <f t="shared" si="0"/>
        <v>0</v>
      </c>
      <c r="F38" s="387">
        <f t="shared" si="0"/>
        <v>0</v>
      </c>
      <c r="G38" s="388">
        <f t="shared" si="0"/>
        <v>0</v>
      </c>
      <c r="H38" s="387">
        <f t="shared" si="0"/>
        <v>0</v>
      </c>
      <c r="I38" s="387">
        <f t="shared" si="0"/>
        <v>0</v>
      </c>
      <c r="J38" s="389">
        <f t="shared" si="1"/>
        <v>0</v>
      </c>
    </row>
    <row r="39" spans="3:10" x14ac:dyDescent="0.2">
      <c r="C39" s="387">
        <f t="shared" si="0"/>
        <v>0</v>
      </c>
      <c r="D39" s="387">
        <f t="shared" si="0"/>
        <v>0</v>
      </c>
      <c r="E39" s="388">
        <f t="shared" si="0"/>
        <v>0</v>
      </c>
      <c r="F39" s="387">
        <f t="shared" si="0"/>
        <v>0</v>
      </c>
      <c r="G39" s="388">
        <f t="shared" si="0"/>
        <v>0</v>
      </c>
      <c r="H39" s="387">
        <f t="shared" si="0"/>
        <v>0</v>
      </c>
      <c r="I39" s="387">
        <f t="shared" si="0"/>
        <v>0</v>
      </c>
      <c r="J39" s="389">
        <f t="shared" si="1"/>
        <v>0</v>
      </c>
    </row>
    <row r="40" spans="3:10" x14ac:dyDescent="0.2">
      <c r="C40" s="387">
        <f t="shared" si="0"/>
        <v>0</v>
      </c>
      <c r="D40" s="387">
        <f t="shared" si="0"/>
        <v>0</v>
      </c>
      <c r="E40" s="388">
        <f t="shared" si="0"/>
        <v>0</v>
      </c>
      <c r="F40" s="387">
        <f t="shared" si="0"/>
        <v>0</v>
      </c>
      <c r="G40" s="388">
        <f t="shared" si="0"/>
        <v>0</v>
      </c>
      <c r="H40" s="387">
        <f t="shared" si="0"/>
        <v>0</v>
      </c>
      <c r="I40" s="387">
        <f t="shared" si="0"/>
        <v>0</v>
      </c>
      <c r="J40" s="389">
        <f t="shared" si="1"/>
        <v>0</v>
      </c>
    </row>
    <row r="41" spans="3:10" x14ac:dyDescent="0.2">
      <c r="C41" s="387">
        <f t="shared" ref="C41:I41" si="2">C21-N21</f>
        <v>0</v>
      </c>
      <c r="D41" s="387">
        <f t="shared" si="2"/>
        <v>0</v>
      </c>
      <c r="E41" s="388">
        <f t="shared" si="2"/>
        <v>0</v>
      </c>
      <c r="F41" s="387">
        <f t="shared" si="2"/>
        <v>0</v>
      </c>
      <c r="G41" s="388">
        <f t="shared" si="2"/>
        <v>0</v>
      </c>
      <c r="H41" s="387">
        <f t="shared" si="2"/>
        <v>0</v>
      </c>
      <c r="I41" s="387">
        <f t="shared" si="2"/>
        <v>0</v>
      </c>
      <c r="J41" s="389">
        <f t="shared" si="1"/>
        <v>0</v>
      </c>
    </row>
    <row r="42" spans="3:10" x14ac:dyDescent="0.2">
      <c r="C42" s="119"/>
      <c r="D42" s="113"/>
      <c r="E42" s="114"/>
      <c r="F42" s="115"/>
      <c r="G42" s="114"/>
      <c r="H42" s="115"/>
      <c r="I42" s="116"/>
      <c r="J42" s="117"/>
    </row>
    <row r="43" spans="3:10" x14ac:dyDescent="0.2">
      <c r="C43" s="387">
        <f t="shared" ref="C43:I48" si="3">C23-N23</f>
        <v>0</v>
      </c>
      <c r="D43" s="387">
        <f t="shared" si="3"/>
        <v>0</v>
      </c>
      <c r="E43" s="388">
        <f t="shared" si="3"/>
        <v>0</v>
      </c>
      <c r="F43" s="387">
        <f t="shared" si="3"/>
        <v>0</v>
      </c>
      <c r="G43" s="388">
        <f t="shared" si="3"/>
        <v>0</v>
      </c>
      <c r="H43" s="387">
        <f t="shared" si="3"/>
        <v>0</v>
      </c>
      <c r="I43" s="387">
        <f t="shared" si="3"/>
        <v>0</v>
      </c>
      <c r="J43" s="389">
        <f t="shared" ref="J43:J49" si="4">J23-U23</f>
        <v>0</v>
      </c>
    </row>
    <row r="44" spans="3:10" x14ac:dyDescent="0.2">
      <c r="C44" s="387">
        <f t="shared" si="3"/>
        <v>0</v>
      </c>
      <c r="D44" s="387">
        <f t="shared" si="3"/>
        <v>0</v>
      </c>
      <c r="E44" s="388">
        <f t="shared" si="3"/>
        <v>0</v>
      </c>
      <c r="F44" s="387">
        <f t="shared" si="3"/>
        <v>0</v>
      </c>
      <c r="G44" s="388">
        <f t="shared" si="3"/>
        <v>0</v>
      </c>
      <c r="H44" s="387">
        <f t="shared" si="3"/>
        <v>0</v>
      </c>
      <c r="I44" s="387">
        <f t="shared" si="3"/>
        <v>0</v>
      </c>
      <c r="J44" s="389">
        <f t="shared" si="4"/>
        <v>0</v>
      </c>
    </row>
    <row r="45" spans="3:10" x14ac:dyDescent="0.2">
      <c r="C45" s="387">
        <f t="shared" si="3"/>
        <v>0</v>
      </c>
      <c r="D45" s="387">
        <f t="shared" si="3"/>
        <v>0</v>
      </c>
      <c r="E45" s="388">
        <f t="shared" si="3"/>
        <v>0</v>
      </c>
      <c r="F45" s="387">
        <f t="shared" si="3"/>
        <v>0</v>
      </c>
      <c r="G45" s="388">
        <f t="shared" si="3"/>
        <v>0</v>
      </c>
      <c r="H45" s="387">
        <f t="shared" si="3"/>
        <v>0</v>
      </c>
      <c r="I45" s="387">
        <f t="shared" si="3"/>
        <v>0</v>
      </c>
      <c r="J45" s="389">
        <f t="shared" si="4"/>
        <v>0</v>
      </c>
    </row>
    <row r="46" spans="3:10" x14ac:dyDescent="0.2">
      <c r="C46" s="387">
        <f t="shared" si="3"/>
        <v>0</v>
      </c>
      <c r="D46" s="387">
        <f t="shared" si="3"/>
        <v>0</v>
      </c>
      <c r="E46" s="388">
        <f t="shared" si="3"/>
        <v>0</v>
      </c>
      <c r="F46" s="387">
        <f t="shared" si="3"/>
        <v>0</v>
      </c>
      <c r="G46" s="388">
        <f t="shared" si="3"/>
        <v>0</v>
      </c>
      <c r="H46" s="387">
        <f t="shared" si="3"/>
        <v>0</v>
      </c>
      <c r="I46" s="387">
        <f t="shared" si="3"/>
        <v>0</v>
      </c>
      <c r="J46" s="389">
        <f t="shared" si="4"/>
        <v>0</v>
      </c>
    </row>
    <row r="47" spans="3:10" x14ac:dyDescent="0.2">
      <c r="C47" s="387">
        <f t="shared" si="3"/>
        <v>0</v>
      </c>
      <c r="D47" s="387">
        <f t="shared" si="3"/>
        <v>0</v>
      </c>
      <c r="E47" s="388">
        <f t="shared" si="3"/>
        <v>0</v>
      </c>
      <c r="F47" s="387">
        <f t="shared" si="3"/>
        <v>0</v>
      </c>
      <c r="G47" s="388">
        <f t="shared" si="3"/>
        <v>0</v>
      </c>
      <c r="H47" s="387">
        <f t="shared" si="3"/>
        <v>0</v>
      </c>
      <c r="I47" s="387">
        <f t="shared" si="3"/>
        <v>0</v>
      </c>
      <c r="J47" s="389">
        <f t="shared" si="4"/>
        <v>0</v>
      </c>
    </row>
    <row r="48" spans="3:10" x14ac:dyDescent="0.2">
      <c r="C48" s="387">
        <f t="shared" si="3"/>
        <v>0</v>
      </c>
      <c r="D48" s="387">
        <f t="shared" si="3"/>
        <v>0</v>
      </c>
      <c r="E48" s="388">
        <f t="shared" si="3"/>
        <v>0</v>
      </c>
      <c r="F48" s="387">
        <f t="shared" si="3"/>
        <v>0</v>
      </c>
      <c r="G48" s="388">
        <f t="shared" si="3"/>
        <v>0</v>
      </c>
      <c r="H48" s="387">
        <f t="shared" si="3"/>
        <v>0</v>
      </c>
      <c r="I48" s="387">
        <f t="shared" si="3"/>
        <v>0</v>
      </c>
      <c r="J48" s="389">
        <f t="shared" si="4"/>
        <v>0</v>
      </c>
    </row>
    <row r="49" spans="3:10" x14ac:dyDescent="0.2">
      <c r="C49" s="387">
        <f t="shared" ref="C49:I49" si="5">C29-N29</f>
        <v>0</v>
      </c>
      <c r="D49" s="387">
        <f t="shared" si="5"/>
        <v>0</v>
      </c>
      <c r="E49" s="388">
        <f t="shared" si="5"/>
        <v>0</v>
      </c>
      <c r="F49" s="387">
        <f t="shared" si="5"/>
        <v>0</v>
      </c>
      <c r="G49" s="388">
        <f t="shared" si="5"/>
        <v>0</v>
      </c>
      <c r="H49" s="387">
        <f t="shared" si="5"/>
        <v>0</v>
      </c>
      <c r="I49" s="387">
        <f t="shared" si="5"/>
        <v>0</v>
      </c>
      <c r="J49" s="389">
        <f t="shared" si="4"/>
        <v>0</v>
      </c>
    </row>
    <row r="50" spans="3:10" x14ac:dyDescent="0.2">
      <c r="C50" s="39"/>
      <c r="D50" s="52"/>
      <c r="E50" s="38"/>
      <c r="F50" s="52"/>
      <c r="G50" s="38"/>
      <c r="H50" s="52"/>
      <c r="I50" s="52"/>
      <c r="J50" s="40"/>
    </row>
  </sheetData>
  <mergeCells count="9">
    <mergeCell ref="R13:S13"/>
    <mergeCell ref="T13:U13"/>
    <mergeCell ref="E33:F33"/>
    <mergeCell ref="G33:H33"/>
    <mergeCell ref="I33:J33"/>
    <mergeCell ref="E13:F13"/>
    <mergeCell ref="G13:H13"/>
    <mergeCell ref="I13:J13"/>
    <mergeCell ref="P13:Q13"/>
  </mergeCells>
  <phoneticPr fontId="1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K25:T183"/>
  <sheetViews>
    <sheetView workbookViewId="0">
      <selection activeCell="B2" sqref="B2"/>
    </sheetView>
  </sheetViews>
  <sheetFormatPr defaultRowHeight="12.75" x14ac:dyDescent="0.2"/>
  <cols>
    <col min="13" max="13" width="10.85546875" customWidth="1"/>
  </cols>
  <sheetData>
    <row r="25" ht="13.15" customHeight="1" x14ac:dyDescent="0.2"/>
    <row r="171" spans="11:20" x14ac:dyDescent="0.2">
      <c r="K171" s="28"/>
      <c r="L171" s="28"/>
      <c r="Q171" s="29"/>
      <c r="R171" s="29"/>
      <c r="S171" s="29"/>
      <c r="T171" s="29"/>
    </row>
    <row r="172" spans="11:20" x14ac:dyDescent="0.2">
      <c r="K172" s="28"/>
      <c r="L172" s="28"/>
      <c r="Q172" s="29"/>
      <c r="R172" s="29"/>
      <c r="S172" s="29"/>
      <c r="T172" s="29"/>
    </row>
    <row r="173" spans="11:20" x14ac:dyDescent="0.2">
      <c r="K173" s="28"/>
      <c r="L173" s="28"/>
      <c r="Q173" s="29"/>
      <c r="R173" s="29"/>
      <c r="S173" s="29"/>
      <c r="T173" s="29"/>
    </row>
    <row r="174" spans="11:20" x14ac:dyDescent="0.2">
      <c r="K174" s="28"/>
      <c r="L174" s="28"/>
      <c r="Q174" s="29"/>
      <c r="R174" s="29"/>
      <c r="S174" s="29"/>
      <c r="T174" s="29"/>
    </row>
    <row r="175" spans="11:20" x14ac:dyDescent="0.2">
      <c r="K175" s="28"/>
      <c r="L175" s="28"/>
      <c r="Q175" s="29"/>
      <c r="R175" s="29"/>
      <c r="S175" s="29"/>
      <c r="T175" s="29"/>
    </row>
    <row r="176" spans="11:20" x14ac:dyDescent="0.2">
      <c r="K176" s="28"/>
      <c r="L176" s="28"/>
      <c r="Q176" s="29"/>
      <c r="R176" s="29"/>
      <c r="S176" s="29"/>
      <c r="T176" s="29"/>
    </row>
    <row r="177" spans="11:20" x14ac:dyDescent="0.2">
      <c r="K177" s="28"/>
      <c r="L177" s="28"/>
      <c r="Q177" s="29"/>
      <c r="R177" s="29"/>
      <c r="S177" s="29"/>
      <c r="T177" s="29"/>
    </row>
    <row r="178" spans="11:20" x14ac:dyDescent="0.2">
      <c r="K178" s="28"/>
      <c r="L178" s="28"/>
      <c r="Q178" s="29"/>
      <c r="R178" s="29"/>
      <c r="S178" s="29"/>
      <c r="T178" s="29"/>
    </row>
    <row r="179" spans="11:20" x14ac:dyDescent="0.2">
      <c r="K179" s="28"/>
      <c r="L179" s="28"/>
      <c r="Q179" s="29"/>
      <c r="R179" s="29"/>
      <c r="S179" s="29"/>
      <c r="T179" s="29"/>
    </row>
    <row r="180" spans="11:20" x14ac:dyDescent="0.2">
      <c r="Q180" s="29"/>
      <c r="R180" s="29"/>
      <c r="S180" s="29"/>
      <c r="T180" s="29"/>
    </row>
    <row r="181" spans="11:20" x14ac:dyDescent="0.2">
      <c r="Q181" s="29"/>
      <c r="R181" s="29"/>
      <c r="S181" s="29"/>
      <c r="T181" s="29"/>
    </row>
    <row r="182" spans="11:20" x14ac:dyDescent="0.2">
      <c r="Q182" s="29"/>
      <c r="R182" s="29"/>
      <c r="S182" s="29"/>
      <c r="T182" s="29"/>
    </row>
    <row r="183" spans="11:20" x14ac:dyDescent="0.2">
      <c r="Q183" s="29"/>
      <c r="R183" s="29"/>
      <c r="S183" s="29"/>
      <c r="T183" s="29"/>
    </row>
  </sheetData>
  <phoneticPr fontId="1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3" sqref="B3"/>
    </sheetView>
  </sheetViews>
  <sheetFormatPr defaultRowHeight="12.75" x14ac:dyDescent="0.2"/>
  <cols>
    <col min="1" max="1" width="10.140625" bestFit="1" customWidth="1"/>
  </cols>
  <sheetData>
    <row r="1" spans="1:2" x14ac:dyDescent="0.2">
      <c r="A1" s="254">
        <v>42635</v>
      </c>
      <c r="B1" t="s">
        <v>512</v>
      </c>
    </row>
    <row r="2" spans="1:2" x14ac:dyDescent="0.2">
      <c r="B2" t="s">
        <v>550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M142" sqref="M14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UserGuide</vt:lpstr>
      <vt:lpstr>Ambient Conditions</vt:lpstr>
      <vt:lpstr>5 A data</vt:lpstr>
      <vt:lpstr>5 A calc</vt:lpstr>
      <vt:lpstr>ForPython</vt:lpstr>
      <vt:lpstr>5 A Tables</vt:lpstr>
      <vt:lpstr>100%points</vt:lpstr>
      <vt:lpstr>Uncertainties</vt:lpstr>
      <vt:lpstr>TwoStageCT</vt:lpstr>
      <vt:lpstr>844400</vt:lpstr>
      <vt:lpstr>Arnold</vt:lpstr>
      <vt:lpstr>Changes</vt:lpstr>
      <vt:lpstr>V2.0 Validation</vt:lpstr>
      <vt:lpstr>Cf Previous results</vt:lpstr>
      <vt:lpstr>Notes</vt:lpstr>
      <vt:lpstr>Python_fits</vt:lpstr>
      <vt:lpstr>aux_CT_phase</vt:lpstr>
      <vt:lpstr>aux_CT_ratio</vt:lpstr>
      <vt:lpstr>B5A0VA</vt:lpstr>
      <vt:lpstr>B5A5.0VA</vt:lpstr>
      <vt:lpstr>BurdenUnc</vt:lpstr>
      <vt:lpstr>config_Im</vt:lpstr>
      <vt:lpstr>config_Re</vt:lpstr>
      <vt:lpstr>current_coef</vt:lpstr>
      <vt:lpstr>earthing_Im</vt:lpstr>
      <vt:lpstr>earthing_Re</vt:lpstr>
      <vt:lpstr>high_burden</vt:lpstr>
      <vt:lpstr>low__burden</vt:lpstr>
      <vt:lpstr>mutual_ind</vt:lpstr>
      <vt:lpstr>phase_factor</vt:lpstr>
      <vt:lpstr>ratio_factor</vt:lpstr>
      <vt:lpstr>slidewire_res</vt:lpstr>
      <vt:lpstr>TestSetPhaseCor</vt:lpstr>
      <vt:lpstr>TestSetRatioCor</vt:lpstr>
      <vt:lpstr>twentyfivepercent__burden</vt:lpstr>
    </vt:vector>
  </TitlesOfParts>
  <Company>Industrial Research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Corney</dc:creator>
  <cp:lastModifiedBy>Keith Jones</cp:lastModifiedBy>
  <cp:lastPrinted>2016-09-27T19:57:04Z</cp:lastPrinted>
  <dcterms:created xsi:type="dcterms:W3CDTF">2002-07-08T20:42:04Z</dcterms:created>
  <dcterms:modified xsi:type="dcterms:W3CDTF">2016-10-12T22:44:27Z</dcterms:modified>
</cp:coreProperties>
</file>