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ommercial\Working\Impedance\Babcock\S22013 HP 16380 Caps\PythonCalculations\"/>
    </mc:Choice>
  </mc:AlternateContent>
  <bookViews>
    <workbookView xWindow="-15" yWindow="-15" windowWidth="21120" windowHeight="9555" firstSheet="2" activeTab="7"/>
  </bookViews>
  <sheets>
    <sheet name="Commentary" sheetId="24" r:id="rId1"/>
    <sheet name="pyUBreadings" sheetId="21" r:id="rId2"/>
    <sheet name="pyUBresults" sheetId="22" r:id="rId3"/>
    <sheet name="AH27000A" sheetId="26" r:id="rId4"/>
    <sheet name="pyReport" sheetId="23" r:id="rId5"/>
    <sheet name="HP history" sheetId="27" r:id="rId6"/>
    <sheet name="ExcelCommentary" sheetId="12" r:id="rId7"/>
    <sheet name="Room Conditions" sheetId="25" r:id="rId8"/>
    <sheet name="Results" sheetId="4" r:id="rId9"/>
    <sheet name="Universal Bridge" sheetId="5" r:id="rId10"/>
    <sheet name="Uncertainty" sheetId="6" r:id="rId11"/>
    <sheet name="Report" sheetId="16" r:id="rId12"/>
    <sheet name="Conditions" sheetId="18" r:id="rId13"/>
    <sheet name="RoomLogger" sheetId="15" r:id="rId14"/>
    <sheet name="MuirheadHistory" sheetId="20" r:id="rId15"/>
    <sheet name="AH2700Results" sheetId="13" r:id="rId16"/>
    <sheet name="Range7" sheetId="14" r:id="rId17"/>
    <sheet name="GRhistory" sheetId="17" r:id="rId18"/>
  </sheets>
  <definedNames>
    <definedName name="alpha">Results!$D$8:$D$76</definedName>
    <definedName name="Andeen" comment="AH2700 measurements of loss">AH2700Results!$A$4:$I$43</definedName>
    <definedName name="beta">Results!$E$8:$E$76</definedName>
    <definedName name="C_1">'Universal Bridge'!$F$4</definedName>
    <definedName name="C_standard_uncertainty">Uncertainty!$C$24</definedName>
    <definedName name="C_unit_mult">'Universal Bridge'!$H$44:$I$60</definedName>
    <definedName name="correction_c">'Universal Bridge'!$G$12</definedName>
    <definedName name="corrections">'Universal Bridge'!$F$26:$H$39</definedName>
    <definedName name="Data">'Universal Bridge'!$L$2:$T$15</definedName>
    <definedName name="Date">Results!$A$6</definedName>
    <definedName name="differentzero">Results!$L:$L</definedName>
    <definedName name="frequency">Results!$J$8:$J$75</definedName>
    <definedName name="G_1">'Universal Bridge'!$F$8</definedName>
    <definedName name="G_2">'Universal Bridge'!$F$9</definedName>
    <definedName name="G_standard_uncertainty">Uncertainty!$C$47</definedName>
    <definedName name="G_unit_mult">'Universal Bridge'!$K$44:$L$60</definedName>
    <definedName name="hist_16">'HP history'!$A$109:$AK$115</definedName>
    <definedName name="history">#REF!</definedName>
    <definedName name="Inductance">Results!$F$9:$F$28</definedName>
    <definedName name="L_standard_uncertainty">Uncertainty!$C$24</definedName>
    <definedName name="L_v">Uncertainty!$F$24</definedName>
    <definedName name="label">Uncertainty!$B$9</definedName>
    <definedName name="multiplier">'Universal Bridge'!$F$42:$N$55</definedName>
    <definedName name="Nominal_Value">#REF!</definedName>
    <definedName name="Old_date">Results!$Q$6</definedName>
    <definedName name="Old_Inductance">Results!$N$7:$N$28</definedName>
    <definedName name="Old_Resistance">Results!$Q$7:$Q$28</definedName>
    <definedName name="Params">Uncertainty!$S$5:$AA$59</definedName>
    <definedName name="_xlnm.Print_Area" localSheetId="11">Report!$L$1:$AD$9</definedName>
    <definedName name="_xlnm.Print_Area" localSheetId="10">Uncertainty!$A$1:$I$82</definedName>
    <definedName name="pyvalues">pyUBresults!$Z$2:$AQ$28</definedName>
    <definedName name="R_4A">'Universal Bridge'!$F$5</definedName>
    <definedName name="R_4B">'Universal Bridge'!$F$6</definedName>
    <definedName name="R_4C">'Universal Bridge'!$F$7</definedName>
    <definedName name="R_standard_uncertainty">Uncertainty!$C$47</definedName>
    <definedName name="R_v">Uncertainty!$F$47</definedName>
    <definedName name="Range">Results!$C$8:$C$77</definedName>
    <definedName name="Rangex">Results!$B$9:$R$68</definedName>
    <definedName name="Record">'Universal Bridge'!$A$5:$C$22</definedName>
    <definedName name="Reports" comment="Old reports">GRhistory!$B$6:$AK$64</definedName>
    <definedName name="Resistance">Results!$H$9:$H$28</definedName>
    <definedName name="Results">Results!$B$7:$S$68</definedName>
    <definedName name="ub_uncertainty">Uncertainty!$AB$5:$AG$59</definedName>
    <definedName name="Uncertainty">Uncertainty!$T$5:$X$24</definedName>
    <definedName name="zeros">'Universal Bridge'!$Q$20:$S$42</definedName>
  </definedNames>
  <calcPr calcId="171027"/>
</workbook>
</file>

<file path=xl/calcChain.xml><?xml version="1.0" encoding="utf-8"?>
<calcChain xmlns="http://schemas.openxmlformats.org/spreadsheetml/2006/main">
  <c r="G4" i="25" l="1"/>
  <c r="G3" i="25"/>
  <c r="N23" i="4"/>
  <c r="E127" i="27" l="1"/>
  <c r="D127" i="27"/>
  <c r="C127" i="27"/>
  <c r="B127" i="27"/>
  <c r="AH107" i="27"/>
  <c r="C126" i="27" l="1"/>
  <c r="B126" i="27"/>
  <c r="C125" i="27"/>
  <c r="B125" i="27"/>
  <c r="C124" i="27"/>
  <c r="B124" i="27"/>
  <c r="C123" i="27"/>
  <c r="B123" i="27"/>
  <c r="C122" i="27"/>
  <c r="B122" i="27"/>
  <c r="C121" i="27"/>
  <c r="B121" i="27"/>
  <c r="C120" i="27"/>
  <c r="B120" i="27"/>
  <c r="AF115" i="27"/>
  <c r="C115" i="27"/>
  <c r="C114" i="27"/>
  <c r="C113" i="27"/>
  <c r="C112" i="27"/>
  <c r="C111" i="27"/>
  <c r="C110" i="27"/>
  <c r="C109" i="27"/>
  <c r="W22" i="27"/>
  <c r="P22" i="27"/>
  <c r="AG115" i="27"/>
  <c r="Q22" i="27"/>
  <c r="AD115" i="27"/>
  <c r="W21" i="27"/>
  <c r="AG114" i="27"/>
  <c r="AF114" i="27"/>
  <c r="AE114" i="27"/>
  <c r="P21" i="27"/>
  <c r="W20" i="27"/>
  <c r="AG113" i="27"/>
  <c r="AF113" i="27"/>
  <c r="AE113" i="27"/>
  <c r="AD113" i="27"/>
  <c r="W19" i="27"/>
  <c r="Q19" i="27"/>
  <c r="P19" i="27"/>
  <c r="AG112" i="27"/>
  <c r="AF112" i="27"/>
  <c r="AE112" i="27"/>
  <c r="AD112" i="27"/>
  <c r="W18" i="27"/>
  <c r="AG111" i="27"/>
  <c r="AF111" i="27"/>
  <c r="Q18" i="27"/>
  <c r="AD111" i="27"/>
  <c r="X17" i="27"/>
  <c r="Y17" i="27" s="1"/>
  <c r="W17" i="27"/>
  <c r="P17" i="27"/>
  <c r="AG110" i="27"/>
  <c r="AF110" i="27"/>
  <c r="AE110" i="27"/>
  <c r="AD110" i="27"/>
  <c r="W16" i="27"/>
  <c r="Q16" i="27"/>
  <c r="AG109" i="27"/>
  <c r="AF109" i="27"/>
  <c r="AE109" i="27"/>
  <c r="AD109" i="27"/>
  <c r="X21" i="27"/>
  <c r="T12" i="23"/>
  <c r="T13" i="23"/>
  <c r="T14" i="23"/>
  <c r="T7" i="23"/>
  <c r="T6" i="23"/>
  <c r="T5" i="23"/>
  <c r="T4" i="23"/>
  <c r="AK19" i="22"/>
  <c r="AK18" i="22"/>
  <c r="AK17" i="22"/>
  <c r="AK15" i="22"/>
  <c r="AK14" i="22"/>
  <c r="AK12" i="22"/>
  <c r="AK10" i="22"/>
  <c r="G10" i="26"/>
  <c r="G11" i="26"/>
  <c r="G12" i="26"/>
  <c r="G9" i="26"/>
  <c r="G6" i="26"/>
  <c r="G7" i="26"/>
  <c r="G5" i="26"/>
  <c r="P39" i="22"/>
  <c r="P40" i="22"/>
  <c r="P41" i="22"/>
  <c r="P42" i="22"/>
  <c r="P38" i="22"/>
  <c r="Q41" i="22"/>
  <c r="R41" i="22" s="1"/>
  <c r="S41" i="22" s="1"/>
  <c r="Q42" i="22"/>
  <c r="R42" i="22" s="1"/>
  <c r="S42" i="22" s="1"/>
  <c r="Q40" i="22"/>
  <c r="R40" i="22" s="1"/>
  <c r="S40" i="22" s="1"/>
  <c r="Q39" i="22"/>
  <c r="R39" i="22" s="1"/>
  <c r="S39" i="22" s="1"/>
  <c r="Q38" i="22"/>
  <c r="R38" i="22" s="1"/>
  <c r="S38" i="22" s="1"/>
  <c r="AD17" i="27" l="1"/>
  <c r="Y21" i="27"/>
  <c r="AD21" i="27" s="1"/>
  <c r="X16" i="27"/>
  <c r="Y16" i="27" s="1"/>
  <c r="Q17" i="27"/>
  <c r="X18" i="27"/>
  <c r="Y18" i="27" s="1"/>
  <c r="X20" i="27"/>
  <c r="Y20" i="27" s="1"/>
  <c r="Q21" i="27"/>
  <c r="X22" i="27"/>
  <c r="Y22" i="27" s="1"/>
  <c r="AD22" i="27" s="1"/>
  <c r="AE111" i="27"/>
  <c r="AE115" i="27"/>
  <c r="P16" i="27"/>
  <c r="P18" i="27"/>
  <c r="P20" i="27"/>
  <c r="X19" i="27"/>
  <c r="Y19" i="27" s="1"/>
  <c r="AD19" i="27" s="1"/>
  <c r="Q20" i="27"/>
  <c r="AD114" i="27"/>
  <c r="D120" i="27"/>
  <c r="D121" i="27"/>
  <c r="D122" i="27"/>
  <c r="D123" i="27"/>
  <c r="D124" i="27"/>
  <c r="D125" i="27"/>
  <c r="D126" i="27"/>
  <c r="E120" i="27"/>
  <c r="E121" i="27"/>
  <c r="E122" i="27"/>
  <c r="E123" i="27"/>
  <c r="E124" i="27"/>
  <c r="E125" i="27"/>
  <c r="E126" i="27"/>
  <c r="AJ3" i="22"/>
  <c r="AJ4" i="22"/>
  <c r="AJ5" i="22"/>
  <c r="AJ6" i="22"/>
  <c r="AJ7" i="22"/>
  <c r="AJ8" i="22"/>
  <c r="AJ9" i="22"/>
  <c r="AJ10" i="22"/>
  <c r="AJ11" i="22"/>
  <c r="AJ12" i="22"/>
  <c r="AJ13" i="22"/>
  <c r="AJ14" i="22"/>
  <c r="AJ15" i="22"/>
  <c r="AJ16" i="22"/>
  <c r="AJ17" i="22"/>
  <c r="AJ18" i="22"/>
  <c r="AJ19" i="22"/>
  <c r="AJ2" i="22"/>
  <c r="AI3" i="22"/>
  <c r="AI4" i="22"/>
  <c r="AI5" i="22"/>
  <c r="AI6" i="22"/>
  <c r="AI7" i="22"/>
  <c r="AI8" i="22"/>
  <c r="AI9" i="22"/>
  <c r="AI10" i="22"/>
  <c r="AI11" i="22"/>
  <c r="AI12" i="22"/>
  <c r="AI13" i="22"/>
  <c r="AI14" i="22"/>
  <c r="AI15" i="22"/>
  <c r="AI16" i="22"/>
  <c r="AI17" i="22"/>
  <c r="AI18" i="22"/>
  <c r="AI19" i="22"/>
  <c r="AI2" i="22"/>
  <c r="AH2" i="22"/>
  <c r="AH3" i="22"/>
  <c r="AH4" i="22"/>
  <c r="AH5" i="22"/>
  <c r="AH6" i="22"/>
  <c r="AH7" i="22"/>
  <c r="AH8" i="22"/>
  <c r="AH9" i="22"/>
  <c r="AH10" i="22"/>
  <c r="AH11" i="22"/>
  <c r="AH12" i="22"/>
  <c r="AH13" i="22"/>
  <c r="AH14" i="22"/>
  <c r="AH15" i="22"/>
  <c r="AH16" i="22"/>
  <c r="AH17" i="22"/>
  <c r="AH18" i="22"/>
  <c r="AH19" i="22"/>
  <c r="AB3" i="22"/>
  <c r="AC3" i="22"/>
  <c r="AB4" i="22"/>
  <c r="AC4" i="22"/>
  <c r="AB5" i="22"/>
  <c r="AC5" i="22"/>
  <c r="AB6" i="22"/>
  <c r="AC6" i="22"/>
  <c r="AB7" i="22"/>
  <c r="AC7" i="22"/>
  <c r="AB8" i="22"/>
  <c r="AC8" i="22"/>
  <c r="AB9" i="22"/>
  <c r="AC9" i="22"/>
  <c r="AB10" i="22"/>
  <c r="AC10" i="22"/>
  <c r="AB11" i="22"/>
  <c r="AC11" i="22"/>
  <c r="AB12" i="22"/>
  <c r="AC12" i="22"/>
  <c r="AB13" i="22"/>
  <c r="AC13" i="22"/>
  <c r="AB14" i="22"/>
  <c r="AC14" i="22"/>
  <c r="AB15" i="22"/>
  <c r="AC15" i="22"/>
  <c r="AB16" i="22"/>
  <c r="AC16" i="22"/>
  <c r="AB17" i="22"/>
  <c r="AC17" i="22"/>
  <c r="AB18" i="22"/>
  <c r="AC18" i="22"/>
  <c r="AB19" i="22"/>
  <c r="AC19" i="22"/>
  <c r="AC2" i="22"/>
  <c r="AB2" i="22"/>
  <c r="X2" i="22"/>
  <c r="Y2" i="22"/>
  <c r="X3" i="22"/>
  <c r="Y3" i="22"/>
  <c r="X4" i="22"/>
  <c r="Y4" i="22"/>
  <c r="X5" i="22"/>
  <c r="Y5" i="22"/>
  <c r="X6" i="22"/>
  <c r="Y6" i="22"/>
  <c r="X7" i="22"/>
  <c r="Y7" i="22"/>
  <c r="X8" i="22"/>
  <c r="Y8" i="22"/>
  <c r="X9" i="22"/>
  <c r="Y9" i="22"/>
  <c r="X10" i="22"/>
  <c r="Y10" i="22"/>
  <c r="X11" i="22"/>
  <c r="Y11" i="22"/>
  <c r="X12" i="22"/>
  <c r="Y12" i="22"/>
  <c r="X13" i="22"/>
  <c r="Y13" i="22"/>
  <c r="X14" i="22"/>
  <c r="Y14" i="22"/>
  <c r="X15" i="22"/>
  <c r="Y15" i="22"/>
  <c r="X16" i="22"/>
  <c r="Y16" i="22"/>
  <c r="X17" i="22"/>
  <c r="Y17" i="22"/>
  <c r="X18" i="22"/>
  <c r="Y18" i="22"/>
  <c r="Z18" i="22"/>
  <c r="AD18" i="22"/>
  <c r="AE18" i="22"/>
  <c r="AF18" i="22"/>
  <c r="AG18" i="22"/>
  <c r="X19" i="22"/>
  <c r="Y19" i="22"/>
  <c r="Z19" i="22"/>
  <c r="AD19" i="22"/>
  <c r="AE19" i="22"/>
  <c r="AF19" i="22"/>
  <c r="AG19" i="22"/>
  <c r="AD20" i="27" l="1"/>
  <c r="AD18" i="27"/>
  <c r="AD16" i="27"/>
  <c r="D25" i="21"/>
  <c r="D24" i="21"/>
  <c r="E23" i="21"/>
  <c r="D22" i="21"/>
  <c r="E21" i="21"/>
  <c r="D21" i="21"/>
  <c r="E20" i="21"/>
  <c r="D20" i="21"/>
  <c r="D19" i="21"/>
  <c r="E18" i="21"/>
  <c r="D18" i="21"/>
  <c r="E17" i="21"/>
  <c r="D17" i="21"/>
  <c r="E16" i="21"/>
  <c r="D16" i="21"/>
  <c r="E13" i="21"/>
  <c r="D12" i="21"/>
  <c r="E10" i="21"/>
  <c r="D9" i="21"/>
  <c r="B75" i="6"/>
  <c r="W12" i="6"/>
  <c r="V12" i="6"/>
  <c r="W11" i="6"/>
  <c r="W10" i="6"/>
  <c r="W9" i="6"/>
  <c r="W8" i="6"/>
  <c r="W7" i="6"/>
  <c r="V7" i="6"/>
  <c r="W6" i="6"/>
  <c r="V6" i="6"/>
  <c r="W5" i="6"/>
  <c r="V5" i="6"/>
  <c r="O11" i="16"/>
  <c r="N14" i="23" s="1"/>
  <c r="O10" i="16"/>
  <c r="N13" i="23" s="1"/>
  <c r="N11" i="16"/>
  <c r="M14" i="23" s="1"/>
  <c r="N10" i="16"/>
  <c r="M13" i="23" s="1"/>
  <c r="O13" i="16"/>
  <c r="P13" i="16"/>
  <c r="S13" i="16"/>
  <c r="P10" i="16"/>
  <c r="O13" i="23" s="1"/>
  <c r="Q10" i="16"/>
  <c r="P13" i="23" s="1"/>
  <c r="S10" i="16"/>
  <c r="R13" i="23" s="1"/>
  <c r="P11" i="16"/>
  <c r="O14" i="23" s="1"/>
  <c r="Q11" i="16"/>
  <c r="P14" i="23" s="1"/>
  <c r="S11" i="16"/>
  <c r="R14" i="23" s="1"/>
  <c r="S24" i="5"/>
  <c r="R24" i="5"/>
  <c r="S23" i="5"/>
  <c r="R23" i="5"/>
  <c r="S22" i="5"/>
  <c r="R22" i="5"/>
  <c r="S21" i="5"/>
  <c r="R21" i="5"/>
  <c r="S20" i="5"/>
  <c r="R20" i="5"/>
  <c r="B26" i="4"/>
  <c r="D25" i="4"/>
  <c r="B25" i="4"/>
  <c r="D24" i="4"/>
  <c r="B24" i="4"/>
  <c r="E23" i="4"/>
  <c r="B23" i="4"/>
  <c r="D22" i="4"/>
  <c r="B22" i="4"/>
  <c r="E21" i="4"/>
  <c r="D21" i="4"/>
  <c r="E20" i="4"/>
  <c r="D20" i="4"/>
  <c r="D19" i="4"/>
  <c r="E18" i="4"/>
  <c r="D18" i="4"/>
  <c r="E17" i="4"/>
  <c r="D17" i="4"/>
  <c r="E16" i="4"/>
  <c r="D16" i="4"/>
  <c r="E13" i="4"/>
  <c r="D12" i="4"/>
  <c r="E10" i="4"/>
  <c r="D9" i="4"/>
  <c r="K37" i="20" l="1"/>
  <c r="L37" i="20"/>
  <c r="M37" i="20"/>
  <c r="N37" i="20"/>
  <c r="K38" i="20"/>
  <c r="L38" i="20"/>
  <c r="M38" i="20"/>
  <c r="N38" i="20"/>
  <c r="K39" i="20"/>
  <c r="L39" i="20"/>
  <c r="M39" i="20"/>
  <c r="N39" i="20"/>
  <c r="J38" i="20"/>
  <c r="J39" i="20"/>
  <c r="J37" i="20"/>
  <c r="I40" i="20"/>
  <c r="I39" i="20"/>
  <c r="I38" i="20"/>
  <c r="I37" i="20"/>
  <c r="G39" i="20"/>
  <c r="G38" i="20"/>
  <c r="G37" i="20"/>
  <c r="E39" i="20"/>
  <c r="D39" i="20"/>
  <c r="C39" i="20"/>
  <c r="F39" i="20"/>
  <c r="F38" i="20"/>
  <c r="F37" i="20"/>
  <c r="E38" i="20"/>
  <c r="E37" i="20"/>
  <c r="D38" i="20"/>
  <c r="D37" i="20"/>
  <c r="C38" i="20"/>
  <c r="C37" i="20"/>
  <c r="B40" i="20"/>
  <c r="B39" i="20"/>
  <c r="B38" i="20"/>
  <c r="B37" i="20"/>
  <c r="G32" i="20"/>
  <c r="E32" i="20"/>
  <c r="G40" i="20" s="1"/>
  <c r="N40" i="20" s="1"/>
  <c r="I32" i="20"/>
  <c r="J32" i="20"/>
  <c r="K32" i="20"/>
  <c r="L32" i="20"/>
  <c r="C28" i="20"/>
  <c r="C36" i="20" s="1"/>
  <c r="C29" i="20"/>
  <c r="D36" i="20" s="1"/>
  <c r="C30" i="20"/>
  <c r="E36" i="20" s="1"/>
  <c r="C31" i="20"/>
  <c r="F36" i="20" s="1"/>
  <c r="C32" i="20"/>
  <c r="G36" i="20" s="1"/>
  <c r="D32" i="20"/>
  <c r="E4" i="25" l="1"/>
  <c r="E3" i="25"/>
  <c r="H3" i="25"/>
  <c r="N24" i="4"/>
  <c r="L31" i="20"/>
  <c r="L30" i="20"/>
  <c r="L29" i="20"/>
  <c r="L28" i="20"/>
  <c r="AG17" i="22"/>
  <c r="AF17" i="22"/>
  <c r="AE17" i="22"/>
  <c r="AD17" i="22"/>
  <c r="Z17" i="22"/>
  <c r="AG16" i="22"/>
  <c r="AF16" i="22"/>
  <c r="AE16" i="22"/>
  <c r="AD16" i="22"/>
  <c r="Z16" i="22"/>
  <c r="AG15" i="22"/>
  <c r="AF15" i="22"/>
  <c r="AE15" i="22"/>
  <c r="AD15" i="22"/>
  <c r="Z15" i="22"/>
  <c r="AG14" i="22"/>
  <c r="AF14" i="22"/>
  <c r="AE14" i="22"/>
  <c r="AD14" i="22"/>
  <c r="Z14" i="22"/>
  <c r="AG13" i="22"/>
  <c r="AF13" i="22"/>
  <c r="AE13" i="22"/>
  <c r="AD13" i="22"/>
  <c r="AG12" i="22"/>
  <c r="AF12" i="22"/>
  <c r="AE12" i="22"/>
  <c r="AD12" i="22"/>
  <c r="Z12" i="22"/>
  <c r="AG11" i="22"/>
  <c r="AF11" i="22"/>
  <c r="AE11" i="22"/>
  <c r="AD11" i="22"/>
  <c r="Z11" i="22"/>
  <c r="AG10" i="22"/>
  <c r="AF10" i="22"/>
  <c r="AE10" i="22"/>
  <c r="AD10" i="22"/>
  <c r="Z10" i="22"/>
  <c r="AG9" i="22"/>
  <c r="AF9" i="22"/>
  <c r="AE9" i="22"/>
  <c r="AD9" i="22"/>
  <c r="Z9" i="22"/>
  <c r="AG8" i="22"/>
  <c r="AF8" i="22"/>
  <c r="AE8" i="22"/>
  <c r="AD8" i="22"/>
  <c r="Z8" i="22"/>
  <c r="AG7" i="22"/>
  <c r="AF7" i="22"/>
  <c r="AE7" i="22"/>
  <c r="AD7" i="22"/>
  <c r="Z7" i="22"/>
  <c r="AG6" i="22"/>
  <c r="AF6" i="22"/>
  <c r="AE6" i="22"/>
  <c r="AD6" i="22"/>
  <c r="Z6" i="22"/>
  <c r="AG5" i="22"/>
  <c r="AF5" i="22"/>
  <c r="AE5" i="22"/>
  <c r="AD5" i="22"/>
  <c r="Z5" i="22"/>
  <c r="AG4" i="22"/>
  <c r="AF4" i="22"/>
  <c r="AE4" i="22"/>
  <c r="AD4" i="22"/>
  <c r="Z4" i="22"/>
  <c r="AG3" i="22"/>
  <c r="AF3" i="22"/>
  <c r="AE3" i="22"/>
  <c r="AD3" i="22"/>
  <c r="Z3" i="22"/>
  <c r="AG2" i="22"/>
  <c r="AF2" i="22"/>
  <c r="AE2" i="22"/>
  <c r="AD2" i="22"/>
  <c r="Z2" i="22"/>
  <c r="E14" i="23" l="1"/>
  <c r="H7" i="23"/>
  <c r="H4" i="23"/>
  <c r="E12" i="23"/>
  <c r="H5" i="23"/>
  <c r="H6" i="23"/>
  <c r="E13" i="23"/>
  <c r="J13" i="23"/>
  <c r="I12" i="23"/>
  <c r="M6" i="27" s="1"/>
  <c r="AK109" i="27" s="1"/>
  <c r="J5" i="23"/>
  <c r="N10" i="27" s="1"/>
  <c r="I4" i="23"/>
  <c r="M9" i="27" s="1"/>
  <c r="AK112" i="27" s="1"/>
  <c r="G12" i="23"/>
  <c r="K6" i="27" s="1"/>
  <c r="G4" i="23"/>
  <c r="K9" i="27" s="1"/>
  <c r="F7" i="23"/>
  <c r="J12" i="27" s="1"/>
  <c r="AI115" i="27" s="1"/>
  <c r="E6" i="23"/>
  <c r="I13" i="23"/>
  <c r="M7" i="27" s="1"/>
  <c r="AK110" i="27" s="1"/>
  <c r="H12" i="23"/>
  <c r="J6" i="23"/>
  <c r="N11" i="27" s="1"/>
  <c r="I5" i="23"/>
  <c r="M10" i="27" s="1"/>
  <c r="AK113" i="27" s="1"/>
  <c r="G7" i="23"/>
  <c r="K12" i="27" s="1"/>
  <c r="F14" i="23"/>
  <c r="F6" i="23"/>
  <c r="J11" i="27" s="1"/>
  <c r="AI114" i="27" s="1"/>
  <c r="E5" i="23"/>
  <c r="H13" i="23"/>
  <c r="J7" i="23"/>
  <c r="N12" i="27" s="1"/>
  <c r="I6" i="23"/>
  <c r="M11" i="27" s="1"/>
  <c r="AK114" i="27" s="1"/>
  <c r="G14" i="23"/>
  <c r="G6" i="23"/>
  <c r="K11" i="27" s="1"/>
  <c r="F13" i="23"/>
  <c r="F5" i="23"/>
  <c r="J10" i="27" s="1"/>
  <c r="AI113" i="27" s="1"/>
  <c r="E4" i="23"/>
  <c r="J12" i="23"/>
  <c r="N6" i="27" s="1"/>
  <c r="I7" i="23"/>
  <c r="M12" i="27" s="1"/>
  <c r="AK115" i="27" s="1"/>
  <c r="J14" i="23"/>
  <c r="I14" i="23"/>
  <c r="M8" i="27" s="1"/>
  <c r="AK111" i="27" s="1"/>
  <c r="H14" i="23"/>
  <c r="J4" i="23"/>
  <c r="N9" i="27" s="1"/>
  <c r="G13" i="23"/>
  <c r="G5" i="23"/>
  <c r="K10" i="27" s="1"/>
  <c r="F12" i="23"/>
  <c r="J6" i="27" s="1"/>
  <c r="AI109" i="27" s="1"/>
  <c r="F4" i="23"/>
  <c r="J9" i="27" s="1"/>
  <c r="AI112" i="27" s="1"/>
  <c r="E7" i="23"/>
  <c r="I10" i="27" l="1"/>
  <c r="AH113" i="27" s="1"/>
  <c r="I11" i="27"/>
  <c r="AH114" i="27" s="1"/>
  <c r="I7" i="27"/>
  <c r="AH110" i="27" s="1"/>
  <c r="U13" i="23"/>
  <c r="K7" i="27"/>
  <c r="W13" i="23"/>
  <c r="L8" i="27"/>
  <c r="AJ111" i="27" s="1"/>
  <c r="X14" i="23"/>
  <c r="L7" i="27"/>
  <c r="AJ110" i="27" s="1"/>
  <c r="X13" i="23"/>
  <c r="N7" i="27"/>
  <c r="Z13" i="23"/>
  <c r="I6" i="27"/>
  <c r="AH109" i="27" s="1"/>
  <c r="L9" i="27"/>
  <c r="AJ112" i="27" s="1"/>
  <c r="N8" i="27"/>
  <c r="Z14" i="23"/>
  <c r="C128" i="27"/>
  <c r="L11" i="27"/>
  <c r="AJ114" i="27" s="1"/>
  <c r="L12" i="27"/>
  <c r="AJ115" i="27" s="1"/>
  <c r="I9" i="27"/>
  <c r="AH112" i="27" s="1"/>
  <c r="K8" i="27"/>
  <c r="W14" i="23"/>
  <c r="I12" i="27"/>
  <c r="AH115" i="27" s="1"/>
  <c r="E128" i="27"/>
  <c r="J7" i="27"/>
  <c r="AI110" i="27" s="1"/>
  <c r="V13" i="23"/>
  <c r="J8" i="27"/>
  <c r="AI111" i="27" s="1"/>
  <c r="V14" i="23"/>
  <c r="L6" i="27"/>
  <c r="AJ109" i="27" s="1"/>
  <c r="L10" i="27"/>
  <c r="AJ113" i="27" s="1"/>
  <c r="U14" i="23"/>
  <c r="I8" i="27"/>
  <c r="AH111" i="27" s="1"/>
  <c r="G12" i="5"/>
  <c r="B128" i="27" l="1"/>
  <c r="D128" i="27"/>
  <c r="N5" i="4"/>
  <c r="N4" i="4"/>
  <c r="F25" i="15"/>
  <c r="E25" i="15"/>
  <c r="F24" i="15"/>
  <c r="E24" i="15"/>
  <c r="F4" i="18" l="1"/>
  <c r="D2" i="18"/>
  <c r="C2" i="18"/>
  <c r="G4" i="18"/>
  <c r="D4" i="18"/>
  <c r="C4" i="18"/>
  <c r="A7" i="16" l="1"/>
  <c r="A8" i="16"/>
  <c r="A9" i="16"/>
  <c r="H54" i="4" l="1"/>
  <c r="Q25" i="5"/>
  <c r="Q24" i="5"/>
  <c r="Q23" i="5"/>
  <c r="Q22" i="5"/>
  <c r="Q21" i="5"/>
  <c r="Q20" i="5"/>
  <c r="H22" i="4" s="1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N13" i="16" l="1"/>
  <c r="Q13" i="16"/>
  <c r="F22" i="4"/>
  <c r="F54" i="4"/>
  <c r="AW12" i="6"/>
  <c r="AW13" i="6"/>
  <c r="AW14" i="6"/>
  <c r="AW15" i="6"/>
  <c r="AW16" i="6"/>
  <c r="AW17" i="6"/>
  <c r="AW18" i="6"/>
  <c r="AW19" i="6"/>
  <c r="AW20" i="6"/>
  <c r="AW21" i="6"/>
  <c r="AW22" i="6"/>
  <c r="AW23" i="6"/>
  <c r="AW24" i="6"/>
  <c r="AW25" i="6"/>
  <c r="AW26" i="6"/>
  <c r="AW27" i="6"/>
  <c r="AW28" i="6"/>
  <c r="AW29" i="6"/>
  <c r="AW30" i="6"/>
  <c r="AW31" i="6"/>
  <c r="AW32" i="6"/>
  <c r="AW33" i="6"/>
  <c r="AW34" i="6"/>
  <c r="AW35" i="6"/>
  <c r="AW36" i="6"/>
  <c r="AW37" i="6"/>
  <c r="AW38" i="6"/>
  <c r="AW39" i="6"/>
  <c r="AW40" i="6"/>
  <c r="AW41" i="6"/>
  <c r="AW42" i="6"/>
  <c r="AW43" i="6"/>
  <c r="AW44" i="6"/>
  <c r="AW45" i="6"/>
  <c r="AW46" i="6"/>
  <c r="AW47" i="6"/>
  <c r="AW48" i="6"/>
  <c r="AW49" i="6"/>
  <c r="AW50" i="6"/>
  <c r="AW51" i="6"/>
  <c r="AW52" i="6"/>
  <c r="AW53" i="6"/>
  <c r="AW54" i="6"/>
  <c r="AW55" i="6"/>
  <c r="F75" i="17" l="1"/>
  <c r="E75" i="17"/>
  <c r="D75" i="17"/>
  <c r="C75" i="17"/>
  <c r="F74" i="17"/>
  <c r="E74" i="17"/>
  <c r="D74" i="17"/>
  <c r="C74" i="17"/>
  <c r="F73" i="17"/>
  <c r="E73" i="17"/>
  <c r="D73" i="17"/>
  <c r="C73" i="17"/>
  <c r="F72" i="17"/>
  <c r="E72" i="17"/>
  <c r="D72" i="17"/>
  <c r="C72" i="17"/>
  <c r="B75" i="17"/>
  <c r="B74" i="17"/>
  <c r="B73" i="17"/>
  <c r="B72" i="17"/>
  <c r="F48" i="17"/>
  <c r="E48" i="17"/>
  <c r="F47" i="17"/>
  <c r="E47" i="17"/>
  <c r="F46" i="17"/>
  <c r="E46" i="17"/>
  <c r="F45" i="17"/>
  <c r="E45" i="17"/>
  <c r="F44" i="17"/>
  <c r="E44" i="17"/>
  <c r="F43" i="17"/>
  <c r="E43" i="17"/>
  <c r="F42" i="17"/>
  <c r="E42" i="17"/>
  <c r="F41" i="17"/>
  <c r="E41" i="17"/>
  <c r="F40" i="17"/>
  <c r="E40" i="17"/>
  <c r="F39" i="17"/>
  <c r="E39" i="17"/>
  <c r="J42" i="13" l="1"/>
  <c r="J41" i="13"/>
  <c r="J38" i="13"/>
  <c r="J37" i="13"/>
  <c r="J36" i="13"/>
  <c r="J35" i="13"/>
  <c r="J34" i="13"/>
  <c r="H42" i="13"/>
  <c r="G42" i="13"/>
  <c r="G41" i="13"/>
  <c r="H41" i="13"/>
  <c r="H40" i="13"/>
  <c r="G40" i="13"/>
  <c r="G29" i="13"/>
  <c r="H29" i="13"/>
  <c r="G30" i="13"/>
  <c r="H30" i="13"/>
  <c r="G31" i="13"/>
  <c r="H31" i="13"/>
  <c r="G32" i="13"/>
  <c r="H32" i="13"/>
  <c r="G33" i="13"/>
  <c r="H33" i="13"/>
  <c r="I33" i="13" s="1"/>
  <c r="G34" i="13"/>
  <c r="H34" i="13"/>
  <c r="G35" i="13"/>
  <c r="H35" i="13"/>
  <c r="G36" i="13"/>
  <c r="H36" i="13"/>
  <c r="G37" i="13"/>
  <c r="H37" i="13"/>
  <c r="I37" i="13" s="1"/>
  <c r="G38" i="13"/>
  <c r="H38" i="13"/>
  <c r="P26" i="13"/>
  <c r="J13" i="13"/>
  <c r="J12" i="13"/>
  <c r="J11" i="13"/>
  <c r="J10" i="13"/>
  <c r="J9" i="13"/>
  <c r="J8" i="13"/>
  <c r="J7" i="13"/>
  <c r="J6" i="13"/>
  <c r="J5" i="13"/>
  <c r="J4" i="13"/>
  <c r="I1" i="13"/>
  <c r="E20" i="13" s="1"/>
  <c r="G5" i="13"/>
  <c r="H5" i="13"/>
  <c r="I5" i="13" s="1"/>
  <c r="G6" i="13"/>
  <c r="H6" i="13"/>
  <c r="I6" i="13" s="1"/>
  <c r="G7" i="13"/>
  <c r="H7" i="13"/>
  <c r="G8" i="13"/>
  <c r="H8" i="13"/>
  <c r="I8" i="13" s="1"/>
  <c r="G9" i="13"/>
  <c r="H9" i="13"/>
  <c r="I9" i="13" s="1"/>
  <c r="G10" i="13"/>
  <c r="H10" i="13"/>
  <c r="I10" i="13" s="1"/>
  <c r="G11" i="13"/>
  <c r="H11" i="13"/>
  <c r="G12" i="13"/>
  <c r="H12" i="13"/>
  <c r="I12" i="13" s="1"/>
  <c r="G13" i="13"/>
  <c r="H13" i="13"/>
  <c r="I13" i="13" s="1"/>
  <c r="G14" i="13"/>
  <c r="H14" i="13"/>
  <c r="H4" i="13"/>
  <c r="I4" i="13" s="1"/>
  <c r="G4" i="13"/>
  <c r="A6" i="16"/>
  <c r="A5" i="16"/>
  <c r="S9" i="16"/>
  <c r="S8" i="16"/>
  <c r="S7" i="16"/>
  <c r="S6" i="16"/>
  <c r="S5" i="16"/>
  <c r="P9" i="16"/>
  <c r="P8" i="16"/>
  <c r="P7" i="16"/>
  <c r="P6" i="16"/>
  <c r="P5" i="16"/>
  <c r="O9" i="16"/>
  <c r="O8" i="16"/>
  <c r="O7" i="16"/>
  <c r="O6" i="16"/>
  <c r="O5" i="16"/>
  <c r="N4" i="23" s="1"/>
  <c r="G56" i="4"/>
  <c r="I56" i="4"/>
  <c r="G57" i="4"/>
  <c r="I57" i="4"/>
  <c r="G58" i="4"/>
  <c r="I58" i="4"/>
  <c r="V4" i="23" l="1"/>
  <c r="E28" i="20"/>
  <c r="C40" i="20" s="1"/>
  <c r="J40" i="20" s="1"/>
  <c r="E8" i="16"/>
  <c r="O7" i="23"/>
  <c r="E5" i="16"/>
  <c r="O4" i="23"/>
  <c r="E9" i="16"/>
  <c r="O12" i="23"/>
  <c r="W12" i="23" s="1"/>
  <c r="E6" i="16"/>
  <c r="O5" i="23"/>
  <c r="H5" i="16"/>
  <c r="R4" i="23"/>
  <c r="H9" i="16"/>
  <c r="R12" i="23"/>
  <c r="Z12" i="23" s="1"/>
  <c r="D9" i="16"/>
  <c r="N12" i="23"/>
  <c r="V12" i="23" s="1"/>
  <c r="H7" i="16"/>
  <c r="R6" i="23"/>
  <c r="D6" i="16"/>
  <c r="N5" i="23"/>
  <c r="H8" i="16"/>
  <c r="R7" i="23"/>
  <c r="D7" i="16"/>
  <c r="N6" i="23"/>
  <c r="D8" i="16"/>
  <c r="N7" i="23"/>
  <c r="E7" i="16"/>
  <c r="O6" i="23"/>
  <c r="H6" i="16"/>
  <c r="R5" i="23"/>
  <c r="I7" i="13"/>
  <c r="M5" i="13"/>
  <c r="M13" i="13"/>
  <c r="I36" i="13"/>
  <c r="M36" i="13" s="1"/>
  <c r="I32" i="13"/>
  <c r="I40" i="13"/>
  <c r="M6" i="13"/>
  <c r="M10" i="13"/>
  <c r="I41" i="13"/>
  <c r="I11" i="13"/>
  <c r="M9" i="13"/>
  <c r="I34" i="13"/>
  <c r="M34" i="13" s="1"/>
  <c r="I30" i="13"/>
  <c r="I29" i="13"/>
  <c r="M7" i="13"/>
  <c r="M11" i="13"/>
  <c r="I35" i="13"/>
  <c r="I31" i="13"/>
  <c r="I38" i="13"/>
  <c r="M4" i="13"/>
  <c r="M14" i="13" s="1"/>
  <c r="M8" i="13"/>
  <c r="M12" i="13"/>
  <c r="D5" i="16"/>
  <c r="M38" i="13"/>
  <c r="M41" i="13"/>
  <c r="M35" i="13"/>
  <c r="M37" i="13"/>
  <c r="I42" i="13"/>
  <c r="N13" i="5"/>
  <c r="N14" i="5" s="1"/>
  <c r="O13" i="5"/>
  <c r="O14" i="5" s="1"/>
  <c r="P13" i="5"/>
  <c r="P14" i="5" s="1"/>
  <c r="Q13" i="5"/>
  <c r="Q14" i="5" s="1"/>
  <c r="R13" i="5"/>
  <c r="R14" i="5" s="1"/>
  <c r="S13" i="5"/>
  <c r="S14" i="5" s="1"/>
  <c r="T13" i="5"/>
  <c r="T14" i="5" s="1"/>
  <c r="L19" i="5"/>
  <c r="M13" i="5" s="1"/>
  <c r="Y13" i="5" s="1"/>
  <c r="G69" i="4"/>
  <c r="I69" i="4"/>
  <c r="Z5" i="23" l="1"/>
  <c r="K29" i="20"/>
  <c r="V7" i="23"/>
  <c r="E31" i="20"/>
  <c r="F40" i="20" s="1"/>
  <c r="M40" i="20" s="1"/>
  <c r="Z7" i="23"/>
  <c r="K31" i="20"/>
  <c r="Z6" i="23"/>
  <c r="K30" i="20"/>
  <c r="W5" i="23"/>
  <c r="G29" i="20"/>
  <c r="W4" i="23"/>
  <c r="G28" i="20"/>
  <c r="W6" i="23"/>
  <c r="G30" i="20"/>
  <c r="V6" i="23"/>
  <c r="E30" i="20"/>
  <c r="E40" i="20" s="1"/>
  <c r="L40" i="20" s="1"/>
  <c r="V5" i="23"/>
  <c r="E29" i="20"/>
  <c r="D40" i="20" s="1"/>
  <c r="K40" i="20" s="1"/>
  <c r="Z4" i="23"/>
  <c r="K28" i="20"/>
  <c r="W7" i="23"/>
  <c r="G31" i="20"/>
  <c r="M42" i="13"/>
  <c r="D9" i="14" l="1"/>
  <c r="Y3" i="5" l="1"/>
  <c r="Y4" i="5"/>
  <c r="Y5" i="5"/>
  <c r="Y6" i="5"/>
  <c r="Y7" i="5"/>
  <c r="Y8" i="5"/>
  <c r="Y9" i="5"/>
  <c r="Y10" i="5"/>
  <c r="Y11" i="5"/>
  <c r="Y12" i="5"/>
  <c r="AE3" i="5"/>
  <c r="AE4" i="5"/>
  <c r="AE5" i="5"/>
  <c r="AE6" i="5"/>
  <c r="AE7" i="5"/>
  <c r="AE8" i="5"/>
  <c r="AE9" i="5"/>
  <c r="AE10" i="5"/>
  <c r="AE11" i="5"/>
  <c r="AE12" i="5"/>
  <c r="C40" i="6"/>
  <c r="F6" i="5"/>
  <c r="F9" i="5"/>
  <c r="F4" i="5"/>
  <c r="F7" i="5"/>
  <c r="F5" i="5"/>
  <c r="AW6" i="6"/>
  <c r="AW7" i="6"/>
  <c r="AW8" i="6"/>
  <c r="AW9" i="6"/>
  <c r="AW10" i="6"/>
  <c r="AW11" i="6"/>
  <c r="AW5" i="6"/>
  <c r="F8" i="5"/>
  <c r="X19" i="5"/>
  <c r="W19" i="5"/>
  <c r="G10" i="4"/>
  <c r="G22" i="4"/>
  <c r="G25" i="4"/>
  <c r="E14" i="6"/>
  <c r="E75" i="6"/>
  <c r="F75" i="6" s="1"/>
  <c r="E74" i="6"/>
  <c r="F74" i="6"/>
  <c r="C74" i="6"/>
  <c r="I10" i="4"/>
  <c r="I22" i="4"/>
  <c r="I25" i="4"/>
  <c r="E40" i="6"/>
  <c r="F40" i="6"/>
  <c r="E38" i="6"/>
  <c r="F38" i="6"/>
  <c r="E61" i="6"/>
  <c r="E60" i="6"/>
  <c r="E59" i="6"/>
  <c r="F59" i="6"/>
  <c r="C59" i="6"/>
  <c r="E45" i="6"/>
  <c r="F45" i="6" s="1"/>
  <c r="C45" i="6"/>
  <c r="E44" i="6"/>
  <c r="F44" i="6"/>
  <c r="C44" i="6"/>
  <c r="E43" i="6"/>
  <c r="E42" i="6"/>
  <c r="E41" i="6"/>
  <c r="E39" i="6"/>
  <c r="C38" i="6"/>
  <c r="E22" i="6"/>
  <c r="F22" i="6"/>
  <c r="C22" i="6"/>
  <c r="E21" i="6"/>
  <c r="E19" i="6"/>
  <c r="E18" i="6"/>
  <c r="E17" i="6"/>
  <c r="E16" i="6"/>
  <c r="E15" i="6"/>
  <c r="F15" i="6"/>
  <c r="C15" i="6"/>
  <c r="I68" i="4"/>
  <c r="G68" i="4"/>
  <c r="I67" i="4"/>
  <c r="G67" i="4"/>
  <c r="I66" i="4"/>
  <c r="G66" i="4"/>
  <c r="I65" i="4"/>
  <c r="G65" i="4"/>
  <c r="I64" i="4"/>
  <c r="G64" i="4"/>
  <c r="I63" i="4"/>
  <c r="G63" i="4"/>
  <c r="I62" i="4"/>
  <c r="G62" i="4"/>
  <c r="I61" i="4"/>
  <c r="G61" i="4"/>
  <c r="I60" i="4"/>
  <c r="G60" i="4"/>
  <c r="I59" i="4"/>
  <c r="G59" i="4"/>
  <c r="I55" i="4"/>
  <c r="G55" i="4"/>
  <c r="I54" i="4"/>
  <c r="G54" i="4"/>
  <c r="I53" i="4"/>
  <c r="G53" i="4"/>
  <c r="I52" i="4"/>
  <c r="G52" i="4"/>
  <c r="I51" i="4"/>
  <c r="G51" i="4"/>
  <c r="I50" i="4"/>
  <c r="G50" i="4"/>
  <c r="I49" i="4"/>
  <c r="G49" i="4"/>
  <c r="I48" i="4"/>
  <c r="G48" i="4"/>
  <c r="I47" i="4"/>
  <c r="G47" i="4"/>
  <c r="I46" i="4"/>
  <c r="G46" i="4"/>
  <c r="I45" i="4"/>
  <c r="G45" i="4"/>
  <c r="I44" i="4"/>
  <c r="G44" i="4"/>
  <c r="I43" i="4"/>
  <c r="G43" i="4"/>
  <c r="I42" i="4"/>
  <c r="G42" i="4"/>
  <c r="I41" i="4"/>
  <c r="G41" i="4"/>
  <c r="I40" i="4"/>
  <c r="G40" i="4"/>
  <c r="I39" i="4"/>
  <c r="G39" i="4"/>
  <c r="I38" i="4"/>
  <c r="G38" i="4"/>
  <c r="I37" i="4"/>
  <c r="G37" i="4"/>
  <c r="I36" i="4"/>
  <c r="G36" i="4"/>
  <c r="I35" i="4"/>
  <c r="G35" i="4"/>
  <c r="I34" i="4"/>
  <c r="G34" i="4"/>
  <c r="I33" i="4"/>
  <c r="G33" i="4"/>
  <c r="I32" i="4"/>
  <c r="G32" i="4"/>
  <c r="I31" i="4"/>
  <c r="G31" i="4"/>
  <c r="I30" i="4"/>
  <c r="G30" i="4"/>
  <c r="I29" i="4"/>
  <c r="G29" i="4"/>
  <c r="I28" i="4"/>
  <c r="G28" i="4"/>
  <c r="I27" i="4"/>
  <c r="G27" i="4"/>
  <c r="I26" i="4"/>
  <c r="G26" i="4"/>
  <c r="I24" i="4"/>
  <c r="G24" i="4"/>
  <c r="I23" i="4"/>
  <c r="G23" i="4"/>
  <c r="I21" i="4"/>
  <c r="G21" i="4"/>
  <c r="I20" i="4"/>
  <c r="G20" i="4"/>
  <c r="I19" i="4"/>
  <c r="G19" i="4"/>
  <c r="I18" i="4"/>
  <c r="G18" i="4"/>
  <c r="I17" i="4"/>
  <c r="G17" i="4"/>
  <c r="I16" i="4"/>
  <c r="G16" i="4"/>
  <c r="I15" i="4"/>
  <c r="G15" i="4"/>
  <c r="I14" i="4"/>
  <c r="G14" i="4"/>
  <c r="I13" i="4"/>
  <c r="G13" i="4"/>
  <c r="I12" i="4"/>
  <c r="G12" i="4"/>
  <c r="I11" i="4"/>
  <c r="G11" i="4"/>
  <c r="I9" i="4"/>
  <c r="G9" i="4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G9" i="5"/>
  <c r="G8" i="5"/>
  <c r="G7" i="5"/>
  <c r="G6" i="5"/>
  <c r="G5" i="5"/>
  <c r="G4" i="5"/>
  <c r="P3" i="5"/>
  <c r="AB3" i="5" s="1"/>
  <c r="R2" i="5"/>
  <c r="AD5" i="5" s="1"/>
  <c r="Q2" i="5"/>
  <c r="AC2" i="5" s="1"/>
  <c r="P2" i="5"/>
  <c r="AB7" i="5" s="1"/>
  <c r="O2" i="5"/>
  <c r="AA4" i="5" s="1"/>
  <c r="N2" i="5"/>
  <c r="Z5" i="5" s="1"/>
  <c r="M2" i="5"/>
  <c r="Y2" i="5" s="1"/>
  <c r="G33" i="5" l="1"/>
  <c r="G37" i="5"/>
  <c r="G34" i="5"/>
  <c r="G35" i="5"/>
  <c r="G36" i="5"/>
  <c r="G38" i="5"/>
  <c r="G39" i="5"/>
  <c r="AD12" i="5"/>
  <c r="Z12" i="5"/>
  <c r="AA11" i="5"/>
  <c r="AB10" i="5"/>
  <c r="AC9" i="5"/>
  <c r="AD8" i="5"/>
  <c r="Z8" i="5"/>
  <c r="AA7" i="5"/>
  <c r="AB6" i="5"/>
  <c r="AC5" i="5"/>
  <c r="AD4" i="5"/>
  <c r="Z4" i="5"/>
  <c r="AA3" i="5"/>
  <c r="AB2" i="5"/>
  <c r="AC12" i="5"/>
  <c r="AD11" i="5"/>
  <c r="Z11" i="5"/>
  <c r="AA10" i="5"/>
  <c r="AB9" i="5"/>
  <c r="AC8" i="5"/>
  <c r="AD7" i="5"/>
  <c r="Z7" i="5"/>
  <c r="AA6" i="5"/>
  <c r="AB5" i="5"/>
  <c r="AC4" i="5"/>
  <c r="AD3" i="5"/>
  <c r="Z3" i="5"/>
  <c r="AA2" i="5"/>
  <c r="AB12" i="5"/>
  <c r="AC11" i="5"/>
  <c r="AD10" i="5"/>
  <c r="Z10" i="5"/>
  <c r="AA9" i="5"/>
  <c r="AB8" i="5"/>
  <c r="AC7" i="5"/>
  <c r="AD6" i="5"/>
  <c r="Z6" i="5"/>
  <c r="AA5" i="5"/>
  <c r="AB4" i="5"/>
  <c r="AC3" i="5"/>
  <c r="AD2" i="5"/>
  <c r="Z2" i="5"/>
  <c r="AA12" i="5"/>
  <c r="AB11" i="5"/>
  <c r="AC10" i="5"/>
  <c r="AD9" i="5"/>
  <c r="Z9" i="5"/>
  <c r="AA8" i="5"/>
  <c r="AC6" i="5"/>
  <c r="AH45" i="6"/>
  <c r="AM45" i="6" s="1"/>
  <c r="H65" i="6"/>
  <c r="G31" i="5"/>
  <c r="H36" i="5"/>
  <c r="K54" i="4"/>
  <c r="H32" i="5"/>
  <c r="H38" i="5"/>
  <c r="G29" i="5"/>
  <c r="G32" i="5"/>
  <c r="G27" i="5"/>
  <c r="H37" i="5"/>
  <c r="H35" i="5"/>
  <c r="H27" i="5"/>
  <c r="H26" i="5"/>
  <c r="H33" i="5"/>
  <c r="H39" i="5"/>
  <c r="G26" i="5"/>
  <c r="H29" i="5"/>
  <c r="G30" i="5"/>
  <c r="H31" i="5"/>
  <c r="H28" i="5"/>
  <c r="H34" i="5"/>
  <c r="H30" i="5"/>
  <c r="G28" i="5"/>
  <c r="AO26" i="6"/>
  <c r="AO5" i="6"/>
  <c r="AH10" i="6"/>
  <c r="AN10" i="6" s="1"/>
  <c r="AO9" i="6"/>
  <c r="AH7" i="6"/>
  <c r="AN7" i="6" s="1"/>
  <c r="AH9" i="6"/>
  <c r="AK9" i="6" s="1"/>
  <c r="AH5" i="6"/>
  <c r="AK5" i="6" s="1"/>
  <c r="AH41" i="6"/>
  <c r="AM41" i="6" s="1"/>
  <c r="AO59" i="6"/>
  <c r="AO8" i="6"/>
  <c r="D34" i="6"/>
  <c r="B60" i="6" s="1"/>
  <c r="F60" i="6" s="1"/>
  <c r="AH6" i="6"/>
  <c r="AM6" i="6" s="1"/>
  <c r="B21" i="6"/>
  <c r="C21" i="6" s="1"/>
  <c r="AO30" i="6"/>
  <c r="AH49" i="6"/>
  <c r="AJ49" i="6" s="1"/>
  <c r="AO10" i="6"/>
  <c r="D11" i="6"/>
  <c r="B37" i="6" s="1"/>
  <c r="AO7" i="6"/>
  <c r="G80" i="6"/>
  <c r="AO34" i="6"/>
  <c r="AL54" i="6"/>
  <c r="AH11" i="6"/>
  <c r="AK11" i="6" s="1"/>
  <c r="AO6" i="6"/>
  <c r="AO11" i="6"/>
  <c r="AH8" i="6"/>
  <c r="AK8" i="6" s="1"/>
  <c r="AO22" i="6"/>
  <c r="G66" i="6"/>
  <c r="AO47" i="6"/>
  <c r="AL56" i="6"/>
  <c r="AH57" i="6"/>
  <c r="AN57" i="6" s="1"/>
  <c r="AO24" i="6"/>
  <c r="AO28" i="6"/>
  <c r="AO32" i="6"/>
  <c r="AO36" i="6"/>
  <c r="AO42" i="6"/>
  <c r="AH47" i="6"/>
  <c r="AK47" i="6" s="1"/>
  <c r="AH51" i="6"/>
  <c r="AK51" i="6" s="1"/>
  <c r="AO56" i="6"/>
  <c r="AI35" i="6"/>
  <c r="AH40" i="6"/>
  <c r="AM40" i="6" s="1"/>
  <c r="AO51" i="6"/>
  <c r="AI58" i="6"/>
  <c r="AO20" i="6"/>
  <c r="AO41" i="6"/>
  <c r="AO44" i="6"/>
  <c r="AO45" i="6"/>
  <c r="AO49" i="6"/>
  <c r="AL53" i="6"/>
  <c r="AO15" i="6"/>
  <c r="AO18" i="6"/>
  <c r="AO19" i="6"/>
  <c r="AO23" i="6"/>
  <c r="AO25" i="6"/>
  <c r="AO27" i="6"/>
  <c r="AO29" i="6"/>
  <c r="AO31" i="6"/>
  <c r="AO33" i="6"/>
  <c r="AO35" i="6"/>
  <c r="AO37" i="6"/>
  <c r="AO46" i="6"/>
  <c r="AO48" i="6"/>
  <c r="AO50" i="6"/>
  <c r="AO52" i="6"/>
  <c r="AH54" i="6"/>
  <c r="AK54" i="6" s="1"/>
  <c r="AO57" i="6"/>
  <c r="AI57" i="6"/>
  <c r="AH52" i="6"/>
  <c r="AN52" i="6" s="1"/>
  <c r="AH17" i="6"/>
  <c r="AM17" i="6" s="1"/>
  <c r="AH18" i="6"/>
  <c r="AN18" i="6" s="1"/>
  <c r="AH39" i="6"/>
  <c r="AM39" i="6" s="1"/>
  <c r="AH46" i="6"/>
  <c r="AH48" i="6"/>
  <c r="AK48" i="6" s="1"/>
  <c r="AH50" i="6"/>
  <c r="AN50" i="6" s="1"/>
  <c r="AL52" i="6"/>
  <c r="AL58" i="6"/>
  <c r="AI56" i="6"/>
  <c r="AI59" i="6"/>
  <c r="AH59" i="6"/>
  <c r="AN59" i="6" s="1"/>
  <c r="AO12" i="6"/>
  <c r="AO13" i="6"/>
  <c r="AO14" i="6"/>
  <c r="AH15" i="6"/>
  <c r="AM15" i="6" s="1"/>
  <c r="AO16" i="6"/>
  <c r="AH19" i="6"/>
  <c r="AM19" i="6" s="1"/>
  <c r="AH20" i="6"/>
  <c r="AN20" i="6" s="1"/>
  <c r="AO21" i="6"/>
  <c r="AH22" i="6"/>
  <c r="AM22" i="6" s="1"/>
  <c r="AH23" i="6"/>
  <c r="AK23" i="6" s="1"/>
  <c r="AH24" i="6"/>
  <c r="AJ24" i="6" s="1"/>
  <c r="AH25" i="6"/>
  <c r="AK25" i="6" s="1"/>
  <c r="AH26" i="6"/>
  <c r="AM26" i="6" s="1"/>
  <c r="AH27" i="6"/>
  <c r="AM27" i="6" s="1"/>
  <c r="AH28" i="6"/>
  <c r="AM28" i="6" s="1"/>
  <c r="AH29" i="6"/>
  <c r="AJ29" i="6" s="1"/>
  <c r="AH30" i="6"/>
  <c r="AM30" i="6" s="1"/>
  <c r="AH31" i="6"/>
  <c r="AM31" i="6" s="1"/>
  <c r="AH32" i="6"/>
  <c r="AN32" i="6" s="1"/>
  <c r="AH33" i="6"/>
  <c r="AM33" i="6" s="1"/>
  <c r="AH34" i="6"/>
  <c r="AM34" i="6" s="1"/>
  <c r="AH35" i="6"/>
  <c r="AM35" i="6" s="1"/>
  <c r="AH36" i="6"/>
  <c r="AK36" i="6" s="1"/>
  <c r="AH37" i="6"/>
  <c r="AM37" i="6" s="1"/>
  <c r="AO38" i="6"/>
  <c r="AH42" i="6"/>
  <c r="AM42" i="6" s="1"/>
  <c r="AO43" i="6"/>
  <c r="AH44" i="6"/>
  <c r="AK44" i="6" s="1"/>
  <c r="AL45" i="6"/>
  <c r="AL46" i="6"/>
  <c r="AL47" i="6"/>
  <c r="AL48" i="6"/>
  <c r="AL49" i="6"/>
  <c r="AL50" i="6"/>
  <c r="AL51" i="6"/>
  <c r="AI53" i="6"/>
  <c r="AI54" i="6"/>
  <c r="AO55" i="6"/>
  <c r="AH56" i="6"/>
  <c r="AK56" i="6" s="1"/>
  <c r="AO58" i="6"/>
  <c r="AL59" i="6"/>
  <c r="AH58" i="6"/>
  <c r="AJ58" i="6" s="1"/>
  <c r="AH53" i="6"/>
  <c r="AK53" i="6" s="1"/>
  <c r="AH12" i="6"/>
  <c r="AK12" i="6" s="1"/>
  <c r="AH13" i="6"/>
  <c r="AJ13" i="6" s="1"/>
  <c r="AH14" i="6"/>
  <c r="AJ14" i="6" s="1"/>
  <c r="AH16" i="6"/>
  <c r="AM16" i="6" s="1"/>
  <c r="AO17" i="6"/>
  <c r="AH21" i="6"/>
  <c r="AJ21" i="6" s="1"/>
  <c r="AL35" i="6"/>
  <c r="AH38" i="6"/>
  <c r="AJ38" i="6" s="1"/>
  <c r="AO39" i="6"/>
  <c r="AO40" i="6"/>
  <c r="AH43" i="6"/>
  <c r="AJ43" i="6" s="1"/>
  <c r="AI45" i="6"/>
  <c r="AI46" i="6"/>
  <c r="AI47" i="6"/>
  <c r="AI48" i="6"/>
  <c r="AI49" i="6"/>
  <c r="AI50" i="6"/>
  <c r="AI51" i="6"/>
  <c r="AI52" i="6"/>
  <c r="AO53" i="6"/>
  <c r="AO54" i="6"/>
  <c r="AH55" i="6"/>
  <c r="AK55" i="6" s="1"/>
  <c r="AL57" i="6"/>
  <c r="C75" i="6"/>
  <c r="AK45" i="6" l="1"/>
  <c r="AJ45" i="6"/>
  <c r="AS45" i="6" s="1"/>
  <c r="AN45" i="6"/>
  <c r="H40" i="4"/>
  <c r="H36" i="4"/>
  <c r="AL28" i="6" s="1"/>
  <c r="H32" i="4"/>
  <c r="H16" i="4"/>
  <c r="H39" i="4"/>
  <c r="AL31" i="6" s="1"/>
  <c r="H35" i="4"/>
  <c r="AL27" i="6" s="1"/>
  <c r="H42" i="4"/>
  <c r="H38" i="4"/>
  <c r="AL30" i="6" s="1"/>
  <c r="H34" i="4"/>
  <c r="H37" i="4"/>
  <c r="H17" i="4"/>
  <c r="H33" i="4"/>
  <c r="AL25" i="6" s="1"/>
  <c r="H41" i="4"/>
  <c r="H28" i="4"/>
  <c r="AL41" i="6" s="1"/>
  <c r="H24" i="4"/>
  <c r="AL37" i="6" s="1"/>
  <c r="H31" i="4"/>
  <c r="AL44" i="6" s="1"/>
  <c r="H27" i="4"/>
  <c r="H23" i="4"/>
  <c r="AL36" i="6" s="1"/>
  <c r="H15" i="4"/>
  <c r="H30" i="4"/>
  <c r="AL43" i="6" s="1"/>
  <c r="H26" i="4"/>
  <c r="AL39" i="6" s="1"/>
  <c r="H14" i="4"/>
  <c r="AL6" i="6" s="1"/>
  <c r="H25" i="4"/>
  <c r="AL38" i="6" s="1"/>
  <c r="H29" i="4"/>
  <c r="F28" i="4"/>
  <c r="F24" i="4"/>
  <c r="AI37" i="6" s="1"/>
  <c r="F31" i="4"/>
  <c r="F27" i="4"/>
  <c r="F23" i="4"/>
  <c r="F15" i="4"/>
  <c r="F30" i="4"/>
  <c r="AI43" i="6" s="1"/>
  <c r="AQ43" i="6" s="1"/>
  <c r="F26" i="4"/>
  <c r="AI39" i="6" s="1"/>
  <c r="F25" i="4"/>
  <c r="F14" i="4"/>
  <c r="F29" i="4"/>
  <c r="H12" i="4"/>
  <c r="H13" i="4"/>
  <c r="H68" i="4"/>
  <c r="H64" i="4"/>
  <c r="AL10" i="6" s="1"/>
  <c r="H60" i="4"/>
  <c r="H56" i="4"/>
  <c r="H52" i="4"/>
  <c r="AL23" i="6" s="1"/>
  <c r="H48" i="4"/>
  <c r="H44" i="4"/>
  <c r="H20" i="4"/>
  <c r="H67" i="4"/>
  <c r="H63" i="4"/>
  <c r="H59" i="4"/>
  <c r="H55" i="4"/>
  <c r="AL55" i="6" s="1"/>
  <c r="H51" i="4"/>
  <c r="AL22" i="6" s="1"/>
  <c r="H47" i="4"/>
  <c r="H43" i="4"/>
  <c r="H19" i="4"/>
  <c r="H11" i="4"/>
  <c r="H66" i="4"/>
  <c r="H62" i="4"/>
  <c r="H58" i="4"/>
  <c r="H50" i="4"/>
  <c r="H46" i="4"/>
  <c r="AL17" i="6" s="1"/>
  <c r="H18" i="4"/>
  <c r="AL8" i="6" s="1"/>
  <c r="H10" i="4"/>
  <c r="H65" i="4"/>
  <c r="H53" i="4"/>
  <c r="AL24" i="6" s="1"/>
  <c r="H45" i="4"/>
  <c r="AL16" i="6" s="1"/>
  <c r="H69" i="4"/>
  <c r="H9" i="4"/>
  <c r="H61" i="4"/>
  <c r="H49" i="4"/>
  <c r="AL20" i="6" s="1"/>
  <c r="H21" i="4"/>
  <c r="H57" i="4"/>
  <c r="F40" i="4"/>
  <c r="F36" i="4"/>
  <c r="F32" i="4"/>
  <c r="F16" i="4"/>
  <c r="F39" i="4"/>
  <c r="F35" i="4"/>
  <c r="F42" i="4"/>
  <c r="F38" i="4"/>
  <c r="F34" i="4"/>
  <c r="F41" i="4"/>
  <c r="F37" i="4"/>
  <c r="AI29" i="6" s="1"/>
  <c r="AQ29" i="6" s="1"/>
  <c r="F33" i="4"/>
  <c r="F17" i="4"/>
  <c r="F68" i="4"/>
  <c r="F64" i="4"/>
  <c r="F60" i="4"/>
  <c r="F56" i="4"/>
  <c r="F52" i="4"/>
  <c r="F48" i="4"/>
  <c r="AI19" i="6" s="1"/>
  <c r="F44" i="4"/>
  <c r="AI15" i="6" s="1"/>
  <c r="F20" i="4"/>
  <c r="F9" i="4"/>
  <c r="F67" i="4"/>
  <c r="F63" i="4"/>
  <c r="F59" i="4"/>
  <c r="F55" i="4"/>
  <c r="F51" i="4"/>
  <c r="AI22" i="6" s="1"/>
  <c r="F47" i="4"/>
  <c r="F43" i="4"/>
  <c r="F19" i="4"/>
  <c r="F11" i="4"/>
  <c r="F66" i="4"/>
  <c r="F62" i="4"/>
  <c r="F58" i="4"/>
  <c r="F50" i="4"/>
  <c r="F46" i="4"/>
  <c r="F18" i="4"/>
  <c r="F69" i="4"/>
  <c r="F53" i="4"/>
  <c r="F49" i="4"/>
  <c r="F21" i="4"/>
  <c r="F57" i="4"/>
  <c r="F65" i="4"/>
  <c r="F61" i="4"/>
  <c r="F10" i="4"/>
  <c r="F45" i="4"/>
  <c r="F12" i="4"/>
  <c r="F13" i="4"/>
  <c r="M65" i="6"/>
  <c r="L65" i="6"/>
  <c r="B61" i="6" s="1"/>
  <c r="J65" i="6"/>
  <c r="AL29" i="6"/>
  <c r="AL32" i="6"/>
  <c r="AI34" i="6"/>
  <c r="AL26" i="6"/>
  <c r="AL33" i="6"/>
  <c r="AL42" i="6"/>
  <c r="AL15" i="6"/>
  <c r="AL40" i="6"/>
  <c r="AL13" i="6"/>
  <c r="AS49" i="6"/>
  <c r="AI28" i="6"/>
  <c r="AI33" i="6"/>
  <c r="AI26" i="6"/>
  <c r="AI25" i="6"/>
  <c r="AQ49" i="6"/>
  <c r="B73" i="6"/>
  <c r="F73" i="6" s="1"/>
  <c r="F37" i="6"/>
  <c r="AI40" i="6"/>
  <c r="AI36" i="6"/>
  <c r="K22" i="4"/>
  <c r="AL14" i="6"/>
  <c r="AN5" i="6"/>
  <c r="AK10" i="6"/>
  <c r="AJ7" i="6"/>
  <c r="AK7" i="6"/>
  <c r="B14" i="6"/>
  <c r="F14" i="6" s="1"/>
  <c r="B18" i="6"/>
  <c r="F18" i="6" s="1"/>
  <c r="AM7" i="6"/>
  <c r="AJ41" i="6"/>
  <c r="F21" i="6"/>
  <c r="AJ10" i="6"/>
  <c r="AM10" i="6"/>
  <c r="AM5" i="6"/>
  <c r="B17" i="6"/>
  <c r="C17" i="6" s="1"/>
  <c r="AJ5" i="6"/>
  <c r="B16" i="6"/>
  <c r="F16" i="6" s="1"/>
  <c r="B19" i="6"/>
  <c r="C19" i="6" s="1"/>
  <c r="AN9" i="6"/>
  <c r="AM9" i="6"/>
  <c r="AJ9" i="6"/>
  <c r="B20" i="6"/>
  <c r="C20" i="6" s="1"/>
  <c r="AN41" i="6"/>
  <c r="AM8" i="6"/>
  <c r="B41" i="6"/>
  <c r="F41" i="6" s="1"/>
  <c r="AK41" i="6"/>
  <c r="AJ8" i="6"/>
  <c r="B42" i="6"/>
  <c r="F42" i="6" s="1"/>
  <c r="B43" i="6"/>
  <c r="C43" i="6" s="1"/>
  <c r="AN6" i="6"/>
  <c r="B39" i="6"/>
  <c r="F39" i="6" s="1"/>
  <c r="AN8" i="6"/>
  <c r="AN49" i="6"/>
  <c r="AJ6" i="6"/>
  <c r="AJ11" i="6"/>
  <c r="AM49" i="6"/>
  <c r="AG49" i="6" s="1"/>
  <c r="AN11" i="6"/>
  <c r="AM11" i="6"/>
  <c r="AK49" i="6"/>
  <c r="AK6" i="6"/>
  <c r="AN30" i="6"/>
  <c r="AN16" i="6"/>
  <c r="AJ51" i="6"/>
  <c r="AS51" i="6" s="1"/>
  <c r="AM12" i="6"/>
  <c r="AK34" i="6"/>
  <c r="AN26" i="6"/>
  <c r="AJ54" i="6"/>
  <c r="AQ54" i="6" s="1"/>
  <c r="AN51" i="6"/>
  <c r="AN22" i="6"/>
  <c r="AJ26" i="6"/>
  <c r="AM51" i="6"/>
  <c r="AG51" i="6" s="1"/>
  <c r="AK30" i="6"/>
  <c r="AK27" i="6"/>
  <c r="AN56" i="6"/>
  <c r="AJ50" i="6"/>
  <c r="AS50" i="6" s="1"/>
  <c r="AJ28" i="6"/>
  <c r="AK57" i="6"/>
  <c r="AK31" i="6"/>
  <c r="AM57" i="6"/>
  <c r="AM23" i="6"/>
  <c r="AJ40" i="6"/>
  <c r="AN31" i="6"/>
  <c r="AN12" i="6"/>
  <c r="AM20" i="6"/>
  <c r="AM25" i="6"/>
  <c r="AN55" i="6"/>
  <c r="AK43" i="6"/>
  <c r="AM29" i="6"/>
  <c r="AM50" i="6"/>
  <c r="AM52" i="6"/>
  <c r="AM43" i="6"/>
  <c r="AM24" i="6"/>
  <c r="AK18" i="6"/>
  <c r="AJ52" i="6"/>
  <c r="AQ52" i="6" s="1"/>
  <c r="AN47" i="6"/>
  <c r="AK33" i="6"/>
  <c r="AK52" i="6"/>
  <c r="AK50" i="6"/>
  <c r="AK32" i="6"/>
  <c r="AJ47" i="6"/>
  <c r="AS47" i="6" s="1"/>
  <c r="AM47" i="6"/>
  <c r="AJ57" i="6"/>
  <c r="AJ32" i="6"/>
  <c r="AK38" i="6"/>
  <c r="AJ48" i="6"/>
  <c r="AS48" i="6" s="1"/>
  <c r="AM13" i="6"/>
  <c r="AN23" i="6"/>
  <c r="AK40" i="6"/>
  <c r="AM55" i="6"/>
  <c r="AN13" i="6"/>
  <c r="AN17" i="6"/>
  <c r="AM44" i="6"/>
  <c r="AM48" i="6"/>
  <c r="AM18" i="6"/>
  <c r="AN28" i="6"/>
  <c r="AN14" i="6"/>
  <c r="AJ36" i="6"/>
  <c r="AM32" i="6"/>
  <c r="AJ18" i="6"/>
  <c r="AN48" i="6"/>
  <c r="AM58" i="6"/>
  <c r="AN19" i="6"/>
  <c r="AN40" i="6"/>
  <c r="AJ17" i="6"/>
  <c r="AJ56" i="6"/>
  <c r="AN46" i="6"/>
  <c r="AJ46" i="6"/>
  <c r="AQ46" i="6" s="1"/>
  <c r="AJ12" i="6"/>
  <c r="AN27" i="6"/>
  <c r="AK35" i="6"/>
  <c r="AK19" i="6"/>
  <c r="AJ27" i="6"/>
  <c r="AJ59" i="6"/>
  <c r="AK22" i="6"/>
  <c r="AK26" i="6"/>
  <c r="AJ19" i="6"/>
  <c r="AM54" i="6"/>
  <c r="AJ39" i="6"/>
  <c r="AK46" i="6"/>
  <c r="AJ55" i="6"/>
  <c r="AJ31" i="6"/>
  <c r="AN35" i="6"/>
  <c r="AJ35" i="6"/>
  <c r="AG35" i="6" s="1"/>
  <c r="AK42" i="6"/>
  <c r="AN42" i="6"/>
  <c r="AJ15" i="6"/>
  <c r="AK39" i="6"/>
  <c r="AM46" i="6"/>
  <c r="AN43" i="6"/>
  <c r="AK16" i="6"/>
  <c r="AK59" i="6"/>
  <c r="AN34" i="6"/>
  <c r="AJ16" i="6"/>
  <c r="AK15" i="6"/>
  <c r="AN15" i="6"/>
  <c r="AJ22" i="6"/>
  <c r="AN39" i="6"/>
  <c r="AN54" i="6"/>
  <c r="AM59" i="6"/>
  <c r="AK17" i="6"/>
  <c r="AJ42" i="6"/>
  <c r="AJ23" i="6"/>
  <c r="AJ30" i="6"/>
  <c r="AJ34" i="6"/>
  <c r="AM56" i="6"/>
  <c r="AJ33" i="6"/>
  <c r="AM53" i="6"/>
  <c r="AM14" i="6"/>
  <c r="AK14" i="6"/>
  <c r="AJ53" i="6"/>
  <c r="AS53" i="6" s="1"/>
  <c r="AK24" i="6"/>
  <c r="AK29" i="6"/>
  <c r="AK58" i="6"/>
  <c r="AK13" i="6"/>
  <c r="AN58" i="6"/>
  <c r="AK20" i="6"/>
  <c r="AN36" i="6"/>
  <c r="AJ25" i="6"/>
  <c r="AJ37" i="6"/>
  <c r="AN29" i="6"/>
  <c r="AN25" i="6"/>
  <c r="AM36" i="6"/>
  <c r="AN37" i="6"/>
  <c r="AN33" i="6"/>
  <c r="AJ20" i="6"/>
  <c r="AJ44" i="6"/>
  <c r="AK37" i="6"/>
  <c r="AN24" i="6"/>
  <c r="AM38" i="6"/>
  <c r="AK28" i="6"/>
  <c r="AK21" i="6"/>
  <c r="AN53" i="6"/>
  <c r="AN38" i="6"/>
  <c r="AM21" i="6"/>
  <c r="AN21" i="6"/>
  <c r="AN44" i="6"/>
  <c r="C60" i="6"/>
  <c r="AG45" i="6" l="1"/>
  <c r="AT45" i="6" s="1"/>
  <c r="AQ45" i="6"/>
  <c r="AU45" i="6" s="1"/>
  <c r="AV45" i="6" s="1"/>
  <c r="K11" i="4"/>
  <c r="B88" i="6"/>
  <c r="K40" i="4"/>
  <c r="N6" i="16"/>
  <c r="K39" i="4"/>
  <c r="AL9" i="6"/>
  <c r="K41" i="4"/>
  <c r="K12" i="4"/>
  <c r="Q5" i="16" s="1"/>
  <c r="K10" i="4"/>
  <c r="K42" i="4"/>
  <c r="K32" i="4"/>
  <c r="AI8" i="6"/>
  <c r="AS8" i="6" s="1"/>
  <c r="AL7" i="6"/>
  <c r="AL5" i="6"/>
  <c r="AI9" i="6"/>
  <c r="AQ9" i="6" s="1"/>
  <c r="K59" i="4"/>
  <c r="K57" i="4"/>
  <c r="K65" i="4"/>
  <c r="AG37" i="6"/>
  <c r="AX37" i="6" s="1"/>
  <c r="K36" i="4"/>
  <c r="AI32" i="6"/>
  <c r="AQ32" i="6" s="1"/>
  <c r="AR32" i="6" s="1"/>
  <c r="AL34" i="6"/>
  <c r="AI31" i="6"/>
  <c r="AG31" i="6" s="1"/>
  <c r="AX31" i="6" s="1"/>
  <c r="K69" i="4"/>
  <c r="K56" i="4"/>
  <c r="AI30" i="6"/>
  <c r="AG30" i="6" s="1"/>
  <c r="AL11" i="6"/>
  <c r="K24" i="4"/>
  <c r="AS29" i="6"/>
  <c r="AI21" i="6"/>
  <c r="AQ21" i="6" s="1"/>
  <c r="AU21" i="6" s="1"/>
  <c r="AV21" i="6" s="1"/>
  <c r="K26" i="4"/>
  <c r="AG22" i="6"/>
  <c r="K6" i="13" s="1"/>
  <c r="L6" i="13" s="1"/>
  <c r="AG29" i="6"/>
  <c r="AX29" i="6" s="1"/>
  <c r="K51" i="4"/>
  <c r="K33" i="4"/>
  <c r="AI27" i="6"/>
  <c r="AG27" i="6" s="1"/>
  <c r="K58" i="4"/>
  <c r="K37" i="4"/>
  <c r="K38" i="4"/>
  <c r="AG43" i="6"/>
  <c r="AS43" i="6"/>
  <c r="AG34" i="6"/>
  <c r="AX34" i="6" s="1"/>
  <c r="AG19" i="6"/>
  <c r="K9" i="13" s="1"/>
  <c r="L9" i="13" s="1"/>
  <c r="AG28" i="6"/>
  <c r="AG33" i="6"/>
  <c r="K64" i="4"/>
  <c r="K35" i="4"/>
  <c r="K34" i="4"/>
  <c r="K30" i="4"/>
  <c r="AG39" i="6"/>
  <c r="AG26" i="6"/>
  <c r="K17" i="4"/>
  <c r="AI10" i="6"/>
  <c r="AG10" i="6" s="1"/>
  <c r="K34" i="13" s="1"/>
  <c r="L34" i="13" s="1"/>
  <c r="AQ25" i="6"/>
  <c r="AR25" i="6" s="1"/>
  <c r="AG15" i="6"/>
  <c r="AX15" i="6" s="1"/>
  <c r="AI18" i="6"/>
  <c r="AQ18" i="6" s="1"/>
  <c r="AI6" i="6"/>
  <c r="AQ6" i="6" s="1"/>
  <c r="AG40" i="6"/>
  <c r="K28" i="4"/>
  <c r="AI41" i="6"/>
  <c r="AG41" i="6" s="1"/>
  <c r="AX41" i="6" s="1"/>
  <c r="K67" i="4"/>
  <c r="AI13" i="6"/>
  <c r="AG13" i="6" s="1"/>
  <c r="AX13" i="6" s="1"/>
  <c r="K43" i="4"/>
  <c r="K50" i="4"/>
  <c r="AL21" i="6"/>
  <c r="AQ36" i="6"/>
  <c r="AR36" i="6" s="1"/>
  <c r="AI55" i="6"/>
  <c r="AS55" i="6" s="1"/>
  <c r="K61" i="4"/>
  <c r="AI7" i="6"/>
  <c r="AS7" i="6" s="1"/>
  <c r="K48" i="4"/>
  <c r="AL19" i="6"/>
  <c r="K47" i="4"/>
  <c r="AL18" i="6"/>
  <c r="AI42" i="6"/>
  <c r="AG42" i="6" s="1"/>
  <c r="K55" i="4"/>
  <c r="AI16" i="6"/>
  <c r="AS16" i="6" s="1"/>
  <c r="AI23" i="6"/>
  <c r="AG23" i="6" s="1"/>
  <c r="I65" i="6"/>
  <c r="AI12" i="6"/>
  <c r="AQ12" i="6" s="1"/>
  <c r="N5" i="16"/>
  <c r="AI5" i="6"/>
  <c r="AG5" i="6" s="1"/>
  <c r="AI11" i="6"/>
  <c r="AS11" i="6" s="1"/>
  <c r="AI44" i="6"/>
  <c r="AG44" i="6" s="1"/>
  <c r="AI38" i="6"/>
  <c r="K49" i="4"/>
  <c r="AI20" i="6"/>
  <c r="AQ20" i="6" s="1"/>
  <c r="AU20" i="6" s="1"/>
  <c r="AV20" i="6" s="1"/>
  <c r="K53" i="4"/>
  <c r="AI24" i="6"/>
  <c r="AI14" i="6"/>
  <c r="AG14" i="6" s="1"/>
  <c r="K65" i="6"/>
  <c r="AL12" i="6"/>
  <c r="AI17" i="6"/>
  <c r="AS17" i="6" s="1"/>
  <c r="K60" i="4"/>
  <c r="AQ48" i="6"/>
  <c r="AU48" i="6" s="1"/>
  <c r="AV48" i="6" s="1"/>
  <c r="AS54" i="6"/>
  <c r="AS40" i="6"/>
  <c r="AS36" i="6"/>
  <c r="AS46" i="6"/>
  <c r="AQ50" i="6"/>
  <c r="AR50" i="6" s="1"/>
  <c r="AQ40" i="6"/>
  <c r="AU40" i="6" s="1"/>
  <c r="AV40" i="6" s="1"/>
  <c r="AS35" i="6"/>
  <c r="AT35" i="6" s="1"/>
  <c r="AT51" i="6"/>
  <c r="AU52" i="6"/>
  <c r="AV52" i="6" s="1"/>
  <c r="AR52" i="6"/>
  <c r="AU43" i="6"/>
  <c r="AV43" i="6" s="1"/>
  <c r="AR43" i="6"/>
  <c r="AQ26" i="6"/>
  <c r="AU49" i="6"/>
  <c r="AV49" i="6" s="1"/>
  <c r="AR49" i="6"/>
  <c r="AS34" i="6"/>
  <c r="AQ53" i="6"/>
  <c r="AS22" i="6"/>
  <c r="AQ39" i="6"/>
  <c r="AQ15" i="6"/>
  <c r="AS52" i="6"/>
  <c r="AQ51" i="6"/>
  <c r="AQ34" i="6"/>
  <c r="AQ47" i="6"/>
  <c r="AS25" i="6"/>
  <c r="AQ35" i="6"/>
  <c r="AS19" i="6"/>
  <c r="AU29" i="6"/>
  <c r="AV29" i="6" s="1"/>
  <c r="AR29" i="6"/>
  <c r="AQ22" i="6"/>
  <c r="AS15" i="6"/>
  <c r="AU46" i="6"/>
  <c r="AV46" i="6" s="1"/>
  <c r="AR46" i="6"/>
  <c r="AU54" i="6"/>
  <c r="AV54" i="6" s="1"/>
  <c r="AR54" i="6"/>
  <c r="AX35" i="6"/>
  <c r="AX51" i="6"/>
  <c r="AX49" i="6"/>
  <c r="AQ37" i="6"/>
  <c r="AS39" i="6"/>
  <c r="AS33" i="6"/>
  <c r="AQ28" i="6"/>
  <c r="AS37" i="6"/>
  <c r="AQ33" i="6"/>
  <c r="AS26" i="6"/>
  <c r="AT49" i="6"/>
  <c r="AQ19" i="6"/>
  <c r="AS28" i="6"/>
  <c r="AG48" i="6"/>
  <c r="AT48" i="6" s="1"/>
  <c r="AG36" i="6"/>
  <c r="AG53" i="6"/>
  <c r="AG47" i="6"/>
  <c r="C73" i="6"/>
  <c r="AG52" i="6"/>
  <c r="AG46" i="6"/>
  <c r="AG54" i="6"/>
  <c r="AG50" i="6"/>
  <c r="AG25" i="6"/>
  <c r="K45" i="4"/>
  <c r="K25" i="4"/>
  <c r="K29" i="4"/>
  <c r="K18" i="4"/>
  <c r="Q8" i="16" s="1"/>
  <c r="P7" i="23" s="1"/>
  <c r="K31" i="4"/>
  <c r="K23" i="4"/>
  <c r="N7" i="16"/>
  <c r="K66" i="4"/>
  <c r="K52" i="4"/>
  <c r="K14" i="4"/>
  <c r="Q6" i="16" s="1"/>
  <c r="P5" i="23" s="1"/>
  <c r="K27" i="4"/>
  <c r="K46" i="4"/>
  <c r="K9" i="4"/>
  <c r="K20" i="4"/>
  <c r="Q9" i="16" s="1"/>
  <c r="P12" i="23" s="1"/>
  <c r="X12" i="23" s="1"/>
  <c r="K21" i="4"/>
  <c r="K16" i="4"/>
  <c r="Q7" i="16" s="1"/>
  <c r="P6" i="23" s="1"/>
  <c r="K19" i="4"/>
  <c r="N9" i="16"/>
  <c r="K63" i="4"/>
  <c r="K13" i="4"/>
  <c r="K68" i="4"/>
  <c r="K15" i="4"/>
  <c r="N8" i="16"/>
  <c r="K62" i="4"/>
  <c r="K44" i="4"/>
  <c r="C18" i="6"/>
  <c r="C14" i="6"/>
  <c r="F19" i="6"/>
  <c r="F17" i="6"/>
  <c r="C16" i="6"/>
  <c r="C42" i="6"/>
  <c r="C37" i="6"/>
  <c r="F20" i="6"/>
  <c r="F43" i="6"/>
  <c r="F46" i="6" s="1"/>
  <c r="C41" i="6"/>
  <c r="C39" i="6"/>
  <c r="AX45" i="6" l="1"/>
  <c r="I30" i="20"/>
  <c r="X6" i="23"/>
  <c r="C8" i="16"/>
  <c r="M7" i="23"/>
  <c r="C5" i="16"/>
  <c r="M4" i="23"/>
  <c r="F5" i="16"/>
  <c r="P4" i="23"/>
  <c r="C6" i="16"/>
  <c r="M5" i="23"/>
  <c r="I31" i="20"/>
  <c r="X7" i="23"/>
  <c r="C7" i="16"/>
  <c r="M6" i="23"/>
  <c r="C9" i="16"/>
  <c r="M12" i="23"/>
  <c r="U12" i="23" s="1"/>
  <c r="I29" i="20"/>
  <c r="X5" i="23"/>
  <c r="U6" i="16"/>
  <c r="AG9" i="6"/>
  <c r="R9" i="16" s="1"/>
  <c r="AR45" i="6"/>
  <c r="AG8" i="6"/>
  <c r="J29" i="13"/>
  <c r="M29" i="13" s="1"/>
  <c r="AQ8" i="6"/>
  <c r="AR8" i="6" s="1"/>
  <c r="AS9" i="6"/>
  <c r="F9" i="16"/>
  <c r="J33" i="13"/>
  <c r="M33" i="13" s="1"/>
  <c r="F6" i="16"/>
  <c r="J30" i="13"/>
  <c r="M30" i="13" s="1"/>
  <c r="F7" i="16"/>
  <c r="J31" i="13"/>
  <c r="M31" i="13" s="1"/>
  <c r="F8" i="16"/>
  <c r="J32" i="13"/>
  <c r="M32" i="13" s="1"/>
  <c r="AS32" i="6"/>
  <c r="AQ23" i="6"/>
  <c r="AU23" i="6" s="1"/>
  <c r="AV23" i="6" s="1"/>
  <c r="AG21" i="6"/>
  <c r="AX21" i="6" s="1"/>
  <c r="AG32" i="6"/>
  <c r="AQ27" i="6"/>
  <c r="AR27" i="6" s="1"/>
  <c r="AT37" i="6"/>
  <c r="AS31" i="6"/>
  <c r="AT31" i="6" s="1"/>
  <c r="AQ7" i="6"/>
  <c r="AU7" i="6" s="1"/>
  <c r="AV7" i="6" s="1"/>
  <c r="J40" i="13"/>
  <c r="M40" i="13" s="1"/>
  <c r="AQ31" i="6"/>
  <c r="AR31" i="6" s="1"/>
  <c r="AS18" i="6"/>
  <c r="AQ30" i="6"/>
  <c r="AR30" i="6" s="1"/>
  <c r="AT29" i="6"/>
  <c r="AX22" i="6"/>
  <c r="AX30" i="6"/>
  <c r="AS27" i="6"/>
  <c r="AT27" i="6" s="1"/>
  <c r="AR21" i="6"/>
  <c r="AT22" i="6"/>
  <c r="AS30" i="6"/>
  <c r="AT30" i="6" s="1"/>
  <c r="AS21" i="6"/>
  <c r="K7" i="13"/>
  <c r="L7" i="13" s="1"/>
  <c r="AT43" i="6"/>
  <c r="AT28" i="6"/>
  <c r="AX43" i="6"/>
  <c r="AX19" i="6"/>
  <c r="AT34" i="6"/>
  <c r="AT19" i="6"/>
  <c r="AX28" i="6"/>
  <c r="AX33" i="6"/>
  <c r="AT33" i="6"/>
  <c r="AU32" i="6"/>
  <c r="AV32" i="6" s="1"/>
  <c r="AX39" i="6"/>
  <c r="AT39" i="6"/>
  <c r="AT26" i="6"/>
  <c r="AX26" i="6"/>
  <c r="AS6" i="6"/>
  <c r="AS10" i="6"/>
  <c r="AT10" i="6" s="1"/>
  <c r="AG6" i="6"/>
  <c r="AQ10" i="6"/>
  <c r="AR10" i="6" s="1"/>
  <c r="AG7" i="6"/>
  <c r="K13" i="13"/>
  <c r="L13" i="13" s="1"/>
  <c r="AU25" i="6"/>
  <c r="AV25" i="6" s="1"/>
  <c r="AT15" i="6"/>
  <c r="AG18" i="6"/>
  <c r="AX18" i="6" s="1"/>
  <c r="AU50" i="6"/>
  <c r="AV50" i="6" s="1"/>
  <c r="AX27" i="6"/>
  <c r="AG11" i="6"/>
  <c r="K35" i="13" s="1"/>
  <c r="L35" i="13" s="1"/>
  <c r="AX40" i="6"/>
  <c r="AR48" i="6"/>
  <c r="AQ42" i="6"/>
  <c r="AR42" i="6" s="1"/>
  <c r="AS42" i="6"/>
  <c r="AT42" i="6" s="1"/>
  <c r="AS41" i="6"/>
  <c r="AT41" i="6" s="1"/>
  <c r="AQ5" i="6"/>
  <c r="AU5" i="6" s="1"/>
  <c r="AV5" i="6" s="1"/>
  <c r="U5" i="16"/>
  <c r="AS44" i="6"/>
  <c r="AT44" i="6" s="1"/>
  <c r="AT40" i="6"/>
  <c r="AX42" i="6"/>
  <c r="AS23" i="6"/>
  <c r="AT23" i="6" s="1"/>
  <c r="AQ11" i="6"/>
  <c r="AU11" i="6" s="1"/>
  <c r="AV11" i="6" s="1"/>
  <c r="AG12" i="6"/>
  <c r="AQ55" i="6"/>
  <c r="AR55" i="6" s="1"/>
  <c r="AR40" i="6"/>
  <c r="AU36" i="6"/>
  <c r="AV36" i="6" s="1"/>
  <c r="AQ41" i="6"/>
  <c r="AR41" i="6" s="1"/>
  <c r="AS12" i="6"/>
  <c r="AS20" i="6"/>
  <c r="AT36" i="6"/>
  <c r="AG20" i="6"/>
  <c r="K8" i="13" s="1"/>
  <c r="L8" i="13" s="1"/>
  <c r="AG55" i="6"/>
  <c r="K42" i="13" s="1"/>
  <c r="L42" i="13" s="1"/>
  <c r="AQ44" i="6"/>
  <c r="AG17" i="6"/>
  <c r="AX17" i="6" s="1"/>
  <c r="AS5" i="6"/>
  <c r="AT5" i="6" s="1"/>
  <c r="AQ16" i="6"/>
  <c r="AU16" i="6" s="1"/>
  <c r="AV16" i="6" s="1"/>
  <c r="AQ17" i="6"/>
  <c r="C61" i="6"/>
  <c r="F61" i="6"/>
  <c r="AG16" i="6"/>
  <c r="AT16" i="6" s="1"/>
  <c r="AS14" i="6"/>
  <c r="AT14" i="6" s="1"/>
  <c r="AQ14" i="6"/>
  <c r="AS24" i="6"/>
  <c r="AQ24" i="6"/>
  <c r="AG24" i="6"/>
  <c r="AQ38" i="6"/>
  <c r="AS38" i="6"/>
  <c r="AG38" i="6"/>
  <c r="AS13" i="6"/>
  <c r="AT13" i="6" s="1"/>
  <c r="AQ13" i="6"/>
  <c r="AR20" i="6"/>
  <c r="AX50" i="6"/>
  <c r="AU19" i="6"/>
  <c r="AV19" i="6" s="1"/>
  <c r="AR19" i="6"/>
  <c r="AU28" i="6"/>
  <c r="AV28" i="6" s="1"/>
  <c r="AR28" i="6"/>
  <c r="AU35" i="6"/>
  <c r="AV35" i="6" s="1"/>
  <c r="AR35" i="6"/>
  <c r="AU51" i="6"/>
  <c r="AV51" i="6" s="1"/>
  <c r="AR51" i="6"/>
  <c r="AU15" i="6"/>
  <c r="AV15" i="6" s="1"/>
  <c r="AR15" i="6"/>
  <c r="AU53" i="6"/>
  <c r="AV53" i="6" s="1"/>
  <c r="AR53" i="6"/>
  <c r="AT50" i="6"/>
  <c r="AX14" i="6"/>
  <c r="AX54" i="6"/>
  <c r="AX44" i="6"/>
  <c r="AU37" i="6"/>
  <c r="AV37" i="6" s="1"/>
  <c r="AR37" i="6"/>
  <c r="AT25" i="6"/>
  <c r="AT52" i="6"/>
  <c r="AT54" i="6"/>
  <c r="AU12" i="6"/>
  <c r="AV12" i="6" s="1"/>
  <c r="AR12" i="6"/>
  <c r="AX46" i="6"/>
  <c r="AX47" i="6"/>
  <c r="AX53" i="6"/>
  <c r="AX48" i="6"/>
  <c r="AU33" i="6"/>
  <c r="AV33" i="6" s="1"/>
  <c r="AR33" i="6"/>
  <c r="AU47" i="6"/>
  <c r="AV47" i="6" s="1"/>
  <c r="AR47" i="6"/>
  <c r="AU39" i="6"/>
  <c r="AV39" i="6" s="1"/>
  <c r="AR39" i="6"/>
  <c r="AT46" i="6"/>
  <c r="AU26" i="6"/>
  <c r="AV26" i="6" s="1"/>
  <c r="AR26" i="6"/>
  <c r="K40" i="13"/>
  <c r="AX25" i="6"/>
  <c r="K5" i="13"/>
  <c r="L5" i="13" s="1"/>
  <c r="AX23" i="6"/>
  <c r="AX52" i="6"/>
  <c r="AX36" i="6"/>
  <c r="AU22" i="6"/>
  <c r="AV22" i="6" s="1"/>
  <c r="AR22" i="6"/>
  <c r="AU34" i="6"/>
  <c r="AV34" i="6" s="1"/>
  <c r="AR34" i="6"/>
  <c r="AU18" i="6"/>
  <c r="AV18" i="6" s="1"/>
  <c r="AR18" i="6"/>
  <c r="AT53" i="6"/>
  <c r="AT47" i="6"/>
  <c r="AX5" i="6"/>
  <c r="U8" i="16"/>
  <c r="K37" i="13"/>
  <c r="L37" i="13" s="1"/>
  <c r="K38" i="13"/>
  <c r="L38" i="13" s="1"/>
  <c r="U9" i="16"/>
  <c r="U7" i="16"/>
  <c r="F23" i="6"/>
  <c r="C46" i="6"/>
  <c r="C47" i="6" s="1"/>
  <c r="B58" i="6" s="1"/>
  <c r="C58" i="6" s="1"/>
  <c r="C23" i="6"/>
  <c r="C24" i="6" s="1"/>
  <c r="B72" i="6" s="1"/>
  <c r="C72" i="6" s="1"/>
  <c r="C76" i="6" s="1"/>
  <c r="C77" i="6" s="1"/>
  <c r="AU9" i="6"/>
  <c r="AV9" i="6" s="1"/>
  <c r="AR9" i="6"/>
  <c r="AU6" i="6"/>
  <c r="AV6" i="6" s="1"/>
  <c r="AR6" i="6"/>
  <c r="AX10" i="6"/>
  <c r="D30" i="20" l="1"/>
  <c r="U6" i="23"/>
  <c r="D29" i="20"/>
  <c r="U5" i="23"/>
  <c r="I28" i="20"/>
  <c r="X4" i="23"/>
  <c r="D31" i="20"/>
  <c r="U7" i="23"/>
  <c r="D28" i="20"/>
  <c r="U4" i="23"/>
  <c r="K33" i="13"/>
  <c r="L33" i="13" s="1"/>
  <c r="Q12" i="23"/>
  <c r="Y12" i="23" s="1"/>
  <c r="AX12" i="6"/>
  <c r="R13" i="16"/>
  <c r="R8" i="16"/>
  <c r="R6" i="16"/>
  <c r="R10" i="16"/>
  <c r="Q13" i="23" s="1"/>
  <c r="Y13" i="23" s="1"/>
  <c r="R5" i="16"/>
  <c r="Q4" i="23" s="1"/>
  <c r="R7" i="16"/>
  <c r="R11" i="16"/>
  <c r="Q14" i="23" s="1"/>
  <c r="Y14" i="23" s="1"/>
  <c r="AX9" i="6"/>
  <c r="V9" i="16"/>
  <c r="G9" i="16"/>
  <c r="AT9" i="6"/>
  <c r="AT8" i="6"/>
  <c r="AX8" i="6"/>
  <c r="V8" i="16"/>
  <c r="AU8" i="6"/>
  <c r="AV8" i="6" s="1"/>
  <c r="AT32" i="6"/>
  <c r="AR23" i="6"/>
  <c r="AR7" i="6"/>
  <c r="AT21" i="6"/>
  <c r="AU31" i="6"/>
  <c r="AV31" i="6" s="1"/>
  <c r="AX32" i="6"/>
  <c r="AU27" i="6"/>
  <c r="AV27" i="6" s="1"/>
  <c r="AU30" i="6"/>
  <c r="AV30" i="6" s="1"/>
  <c r="L40" i="13"/>
  <c r="AX11" i="6"/>
  <c r="AT6" i="6"/>
  <c r="AX6" i="6"/>
  <c r="AT11" i="6"/>
  <c r="AU10" i="6"/>
  <c r="AV10" i="6" s="1"/>
  <c r="AX7" i="6"/>
  <c r="AT7" i="6"/>
  <c r="K41" i="13"/>
  <c r="L41" i="13" s="1"/>
  <c r="AT20" i="6"/>
  <c r="AT18" i="6"/>
  <c r="K10" i="13"/>
  <c r="L10" i="13" s="1"/>
  <c r="AU55" i="6"/>
  <c r="AV55" i="6" s="1"/>
  <c r="AR16" i="6"/>
  <c r="AU42" i="6"/>
  <c r="AV42" i="6" s="1"/>
  <c r="AR11" i="6"/>
  <c r="AR5" i="6"/>
  <c r="AU41" i="6"/>
  <c r="AV41" i="6" s="1"/>
  <c r="AT55" i="6"/>
  <c r="AX55" i="6"/>
  <c r="AX20" i="6"/>
  <c r="AT12" i="6"/>
  <c r="K11" i="13"/>
  <c r="L11" i="13" s="1"/>
  <c r="K36" i="13"/>
  <c r="L36" i="13" s="1"/>
  <c r="AT17" i="6"/>
  <c r="C62" i="6"/>
  <c r="C63" i="6" s="1"/>
  <c r="AR13" i="6"/>
  <c r="AU13" i="6"/>
  <c r="AV13" i="6" s="1"/>
  <c r="AU38" i="6"/>
  <c r="AV38" i="6" s="1"/>
  <c r="AR38" i="6"/>
  <c r="AR17" i="6"/>
  <c r="AU17" i="6"/>
  <c r="AV17" i="6" s="1"/>
  <c r="AR44" i="6"/>
  <c r="AU44" i="6"/>
  <c r="AV44" i="6" s="1"/>
  <c r="AX24" i="6"/>
  <c r="AX38" i="6"/>
  <c r="AU24" i="6"/>
  <c r="AV24" i="6" s="1"/>
  <c r="AR24" i="6"/>
  <c r="AT38" i="6"/>
  <c r="AT24" i="6"/>
  <c r="AR14" i="6"/>
  <c r="AU14" i="6"/>
  <c r="AV14" i="6" s="1"/>
  <c r="AX16" i="6"/>
  <c r="F24" i="6"/>
  <c r="E72" i="6" s="1"/>
  <c r="F72" i="6" s="1"/>
  <c r="F76" i="6" s="1"/>
  <c r="F77" i="6" s="1"/>
  <c r="F78" i="6" s="1"/>
  <c r="AD4" i="6" s="1"/>
  <c r="F47" i="6"/>
  <c r="E58" i="6" s="1"/>
  <c r="F58" i="6" s="1"/>
  <c r="F62" i="6" s="1"/>
  <c r="Y4" i="23" l="1"/>
  <c r="J28" i="20"/>
  <c r="K30" i="13"/>
  <c r="L30" i="13" s="1"/>
  <c r="Q5" i="23"/>
  <c r="K31" i="13"/>
  <c r="L31" i="13" s="1"/>
  <c r="Q6" i="23"/>
  <c r="K32" i="13"/>
  <c r="L32" i="13" s="1"/>
  <c r="Q7" i="23"/>
  <c r="V7" i="16"/>
  <c r="G8" i="16"/>
  <c r="G7" i="16"/>
  <c r="V6" i="16"/>
  <c r="G6" i="16"/>
  <c r="K29" i="13"/>
  <c r="L29" i="13" s="1"/>
  <c r="G5" i="16"/>
  <c r="V5" i="16"/>
  <c r="F63" i="6"/>
  <c r="F64" i="6" s="1"/>
  <c r="AF4" i="6" s="1"/>
  <c r="K12" i="13"/>
  <c r="L12" i="13" s="1"/>
  <c r="K4" i="13"/>
  <c r="L4" i="13" s="1"/>
  <c r="F25" i="6"/>
  <c r="F26" i="6" s="1"/>
  <c r="F48" i="6"/>
  <c r="F49" i="6" s="1"/>
  <c r="F79" i="6"/>
  <c r="F80" i="6" s="1"/>
  <c r="AC4" i="6" s="1"/>
  <c r="Y7" i="23" l="1"/>
  <c r="J31" i="20"/>
  <c r="Y6" i="23"/>
  <c r="J30" i="20"/>
  <c r="Y5" i="23"/>
  <c r="J29" i="20"/>
  <c r="F65" i="6"/>
  <c r="F66" i="6" s="1"/>
  <c r="AE4" i="6" s="1"/>
</calcChain>
</file>

<file path=xl/comments1.xml><?xml version="1.0" encoding="utf-8"?>
<comments xmlns="http://schemas.openxmlformats.org/spreadsheetml/2006/main">
  <authors>
    <author>k.jones</author>
  </authors>
  <commentList>
    <comment ref="X112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in report for all four low value caps.</t>
        </r>
      </text>
    </comment>
  </commentList>
</comments>
</file>

<file path=xl/comments2.xml><?xml version="1.0" encoding="utf-8"?>
<comments xmlns="http://schemas.openxmlformats.org/spreadsheetml/2006/main">
  <authors>
    <author>Andrew Corney</author>
    <author>k.jones</author>
  </authors>
  <commentList>
    <comment ref="M9" authorId="0" shapeId="0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N9" authorId="0" shapeId="0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O9" authorId="0" shapeId="0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P9" authorId="0" shapeId="0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Q9" authorId="0" shapeId="0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R9" authorId="0" shapeId="0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V18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AH2700A check of 1 M at 1.5915 k.  AI VII, p.42</t>
        </r>
      </text>
    </comment>
    <comment ref="M41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The n/f or m/f factor for CMC calculation.</t>
        </r>
      </text>
    </comment>
    <comment ref="L47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just 1.0 in source template</t>
        </r>
      </text>
    </comment>
  </commentList>
</comments>
</file>

<file path=xl/comments3.xml><?xml version="1.0" encoding="utf-8"?>
<comments xmlns="http://schemas.openxmlformats.org/spreadsheetml/2006/main">
  <authors>
    <author>k.jones</author>
    <author>t.stewart</author>
    <author>Keith Jones</author>
  </authors>
  <commentList>
    <comment ref="W8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30% of HP quoted TC for uncertainty</t>
        </r>
      </text>
    </comment>
    <comment ref="B18" authorId="1" shapeId="0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Assume 0.5 degree as have below?
KJ: agreed and modified</t>
        </r>
      </text>
    </comment>
    <comment ref="B20" authorId="1" shapeId="0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5 or 16 ppm??  Latest comment and MSLT.E023.005 suggests 5 ppm.
</t>
        </r>
        <r>
          <rPr>
            <b/>
            <sz val="8"/>
            <color indexed="81"/>
            <rFont val="Tahoma"/>
            <family val="2"/>
          </rPr>
          <t>KJ: agree 5 in 2011 but in
2014, safer to stay with 16</t>
        </r>
      </text>
    </comment>
    <comment ref="B21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Sensitivity falls with f, 1 ppm at 2 kHz</t>
        </r>
      </text>
    </comment>
    <comment ref="B37" authorId="1" shapeId="0">
      <text>
        <r>
          <rPr>
            <sz val="8"/>
            <color indexed="81"/>
            <rFont val="Tahoma"/>
            <family val="2"/>
          </rPr>
          <t xml:space="preserve">t.stewart:
5 or 16 ppm??  Latest comment and MSLT.E023.005 suggests 5 ppm.
</t>
        </r>
        <r>
          <rPr>
            <b/>
            <sz val="8"/>
            <color indexed="81"/>
            <rFont val="Tahoma"/>
            <family val="2"/>
          </rPr>
          <t>KJ: agree 5 in 2011 but revert to 16 in 2014</t>
        </r>
      </text>
    </comment>
    <comment ref="L37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Revert after new CMCs developed and accepted.</t>
        </r>
      </text>
    </comment>
    <comment ref="D38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changed from 50 to 30 %, has impact on dof.</t>
        </r>
      </text>
    </comment>
    <comment ref="B40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say 1/f noise of 1 ppm at 100 Hz</t>
        </r>
      </text>
    </comment>
    <comment ref="D40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set to 1%, 30% compatible with CMC calculation</t>
        </r>
      </text>
    </comment>
    <comment ref="L40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10 in last dial is more consistent with CMCs.</t>
        </r>
      </text>
    </comment>
    <comment ref="B41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with x10 but!!! the dial setting takes care of the fact that there are 7 dials!!!!</t>
        </r>
      </text>
    </comment>
    <comment ref="B57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done in % for the Muirhead inductors.</t>
        </r>
      </text>
    </comment>
    <comment ref="B59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until rest of calculation is correct.</t>
        </r>
      </text>
    </comment>
    <comment ref="B60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2nd order formula is rss of alpha*u_t and u_t*u_alpha.</t>
        </r>
      </text>
    </comment>
    <comment ref="B61" authorId="2" shapeId="0">
      <text>
        <r>
          <rPr>
            <b/>
            <sz val="9"/>
            <color indexed="81"/>
            <rFont val="Tahoma"/>
            <family val="2"/>
          </rPr>
          <t>Keith Jones:</t>
        </r>
        <r>
          <rPr>
            <sz val="9"/>
            <color indexed="81"/>
            <rFont val="Tahoma"/>
            <family val="2"/>
          </rPr>
          <t xml:space="preserve">
series R not an issue with four term pair definition</t>
        </r>
      </text>
    </comment>
    <comment ref="B63" authorId="1" shapeId="0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Should it be "u combined (%)" ??
KJ: agree %</t>
        </r>
      </text>
    </comment>
    <comment ref="B72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% for Muirheads</t>
        </r>
      </text>
    </comment>
    <comment ref="B73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2nd order formula is rss of alpha*u_t and u_t*u_alpha.</t>
        </r>
      </text>
    </comment>
    <comment ref="B74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for now</t>
        </r>
      </text>
    </comment>
    <comment ref="B75" authorId="2" shapeId="0">
      <text>
        <r>
          <rPr>
            <b/>
            <sz val="9"/>
            <color indexed="81"/>
            <rFont val="Tahoma"/>
            <family val="2"/>
          </rPr>
          <t>Keith Jones:</t>
        </r>
        <r>
          <rPr>
            <sz val="9"/>
            <color indexed="81"/>
            <rFont val="Tahoma"/>
            <family val="2"/>
          </rPr>
          <t xml:space="preserve">
1 pF is 1000 counts on range 6Y.</t>
        </r>
      </text>
    </comment>
  </commentList>
</comments>
</file>

<file path=xl/sharedStrings.xml><?xml version="1.0" encoding="utf-8"?>
<sst xmlns="http://schemas.openxmlformats.org/spreadsheetml/2006/main" count="1723" uniqueCount="684">
  <si>
    <t>C</t>
  </si>
  <si>
    <t>nS</t>
  </si>
  <si>
    <t>E1</t>
  </si>
  <si>
    <t>E2</t>
  </si>
  <si>
    <t>E3</t>
  </si>
  <si>
    <t>D1</t>
  </si>
  <si>
    <t>UNCERTAINTY</t>
  </si>
  <si>
    <t>Information for calculating expanded uncertainties</t>
  </si>
  <si>
    <t>GEUM uncertainty calculation template</t>
  </si>
  <si>
    <t>k-factor from degrees of freedom</t>
  </si>
  <si>
    <t>a</t>
  </si>
  <si>
    <t>b</t>
  </si>
  <si>
    <t xml:space="preserve">The 95% level of confidence expanded uncertainties are calculated using the Welch-Satterthwaite </t>
  </si>
  <si>
    <t>c</t>
  </si>
  <si>
    <t xml:space="preserve">formula to combine standard uncertainties.   The individual degrees of freedom are derived either </t>
  </si>
  <si>
    <t>d</t>
  </si>
  <si>
    <t>Label</t>
  </si>
  <si>
    <t>k</t>
  </si>
  <si>
    <t xml:space="preserve">from the number of measurements used to derive the uncertainty or an estimate </t>
  </si>
  <si>
    <t>of the percentage uncertainty in the uncertainty.</t>
  </si>
  <si>
    <t>k=a+b/v+c/v^2+d/v^3</t>
  </si>
  <si>
    <t>Standard</t>
  </si>
  <si>
    <t>Source of uncertainty</t>
  </si>
  <si>
    <t>Uncertainties</t>
  </si>
  <si>
    <t xml:space="preserve">Degrees of </t>
  </si>
  <si>
    <t>Variances</t>
  </si>
  <si>
    <t>% Accuracy</t>
  </si>
  <si>
    <t>Freedom, v</t>
  </si>
  <si>
    <t>u^4/v</t>
  </si>
  <si>
    <t>Sum of variance</t>
  </si>
  <si>
    <t>Sum of u^4/v</t>
  </si>
  <si>
    <t>effective v</t>
  </si>
  <si>
    <t>Assumptions</t>
  </si>
  <si>
    <t>Range</t>
  </si>
  <si>
    <t>Capacitance</t>
  </si>
  <si>
    <t>Conductance</t>
  </si>
  <si>
    <t>GR1000B</t>
  </si>
  <si>
    <t>6Y</t>
  </si>
  <si>
    <t>3Y</t>
  </si>
  <si>
    <t>A1</t>
  </si>
  <si>
    <t>B10</t>
  </si>
  <si>
    <t>C1</t>
  </si>
  <si>
    <t>5Y</t>
  </si>
  <si>
    <t>C10</t>
  </si>
  <si>
    <t>7Y</t>
  </si>
  <si>
    <t>This table is the usual form for calculating spreadsheet corrections</t>
  </si>
  <si>
    <t>Date</t>
  </si>
  <si>
    <t>R4A</t>
  </si>
  <si>
    <t>R4B</t>
  </si>
  <si>
    <t>R4C</t>
  </si>
  <si>
    <t>G1</t>
  </si>
  <si>
    <t>G2</t>
  </si>
  <si>
    <t xml:space="preserve">Component </t>
  </si>
  <si>
    <t>Value</t>
  </si>
  <si>
    <t>1.6 kHz</t>
  </si>
  <si>
    <t>(ppm)</t>
  </si>
  <si>
    <t>DC for resistors</t>
  </si>
  <si>
    <t>Record</t>
  </si>
  <si>
    <t>Comments</t>
  </si>
  <si>
    <t>C_1</t>
  </si>
  <si>
    <t>PEL Meas V</t>
  </si>
  <si>
    <t>Check Y&amp;Z ranges 6 &amp; 4 @ 400 Hz</t>
  </si>
  <si>
    <t>R_4A</t>
  </si>
  <si>
    <t>Universal Bridge II</t>
  </si>
  <si>
    <t>Full calibration of standards and of all dial ratios and performance checks.</t>
  </si>
  <si>
    <t>R_4B</t>
  </si>
  <si>
    <t>completion of above</t>
  </si>
  <si>
    <t>R_4C</t>
  </si>
  <si>
    <t>UB II</t>
  </si>
  <si>
    <t>component values measured</t>
  </si>
  <si>
    <t>G_1</t>
  </si>
  <si>
    <t>G_2</t>
  </si>
  <si>
    <t>Zeros</t>
  </si>
  <si>
    <t>problem with '6' dial, repaired!</t>
  </si>
  <si>
    <t>AI III</t>
  </si>
  <si>
    <r>
      <t xml:space="preserve">problem with 0.01 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F on range 5Y, lack of DC path for current pump, AVOID</t>
    </r>
  </si>
  <si>
    <r>
      <t>Z3=(R4/G2)(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</si>
  <si>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t>bridge calibration</t>
  </si>
  <si>
    <t>where Z3=R+jwC</t>
  </si>
  <si>
    <r>
      <t>Y4=(G3/G2)(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</si>
  <si>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r>
      <t>where Y4=G+j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</t>
    </r>
  </si>
  <si>
    <t>R4A is used for ranges 5 to 1 inclusive</t>
  </si>
  <si>
    <t>R4B is used on range 6 only</t>
  </si>
  <si>
    <t>R4C is used on range 7 only</t>
  </si>
  <si>
    <r>
      <t>a</t>
    </r>
    <r>
      <rPr>
        <b/>
        <sz val="10"/>
        <rFont val="Arial"/>
        <family val="2"/>
      </rPr>
      <t xml:space="preserve"> correction</t>
    </r>
  </si>
  <si>
    <r>
      <t>b</t>
    </r>
    <r>
      <rPr>
        <b/>
        <sz val="10"/>
        <rFont val="Arial"/>
        <family val="2"/>
      </rPr>
      <t xml:space="preserve"> correction</t>
    </r>
  </si>
  <si>
    <t>1Z</t>
  </si>
  <si>
    <t>2Z</t>
  </si>
  <si>
    <t>3Z</t>
  </si>
  <si>
    <t>4Z</t>
  </si>
  <si>
    <t>5Z</t>
  </si>
  <si>
    <t>6Z</t>
  </si>
  <si>
    <t>7Z</t>
  </si>
  <si>
    <t>1Y</t>
  </si>
  <si>
    <t>2Y</t>
  </si>
  <si>
    <t>4Y</t>
  </si>
  <si>
    <t>Unit Multiplier</t>
  </si>
  <si>
    <t>Multiplier (C&amp;L)</t>
  </si>
  <si>
    <t>Unit Name</t>
  </si>
  <si>
    <t>Multiplier (G&amp;R)</t>
  </si>
  <si>
    <r>
      <t>m</t>
    </r>
    <r>
      <rPr>
        <sz val="12"/>
        <rFont val="Symbol"/>
        <family val="1"/>
        <charset val="2"/>
      </rPr>
      <t>W</t>
    </r>
  </si>
  <si>
    <t>W</t>
  </si>
  <si>
    <t>ohm</t>
  </si>
  <si>
    <t>H</t>
  </si>
  <si>
    <r>
      <t>k</t>
    </r>
    <r>
      <rPr>
        <sz val="12"/>
        <rFont val="Symbol"/>
        <family val="1"/>
        <charset val="2"/>
      </rPr>
      <t>W</t>
    </r>
  </si>
  <si>
    <t>mS</t>
  </si>
  <si>
    <t>nF</t>
  </si>
  <si>
    <t>pF</t>
  </si>
  <si>
    <t>Model for uncertainty calculation.</t>
  </si>
  <si>
    <t>Loss angle</t>
  </si>
  <si>
    <t>Base on formula for Universal bridge....ie assign an uncertainty to each term.</t>
  </si>
  <si>
    <t xml:space="preserve">ac/dc error of standards </t>
  </si>
  <si>
    <t>5ppm considered two sigma limit, essentially relying on dc values of resistors</t>
  </si>
  <si>
    <t>dial linearity</t>
  </si>
  <si>
    <t>1 ppm of full scale</t>
  </si>
  <si>
    <t>amplifier/ratio</t>
  </si>
  <si>
    <t>temperature coefficient of resistors</t>
  </si>
  <si>
    <t>depends on matching of Vishay components</t>
  </si>
  <si>
    <t>temperature coefficient of capacitor</t>
  </si>
  <si>
    <t>2 ppm per degree for capacitor</t>
  </si>
  <si>
    <t>component stability</t>
  </si>
  <si>
    <t>resolution</t>
  </si>
  <si>
    <t>this might be range and frequency dependent</t>
  </si>
  <si>
    <t>expanded u (counts)</t>
  </si>
  <si>
    <t>2/ Phase angle assumed small, ie no dial interaction.</t>
  </si>
  <si>
    <r>
      <t>3/ Con</t>
    </r>
    <r>
      <rPr>
        <sz val="10"/>
        <rFont val="Arial"/>
        <family val="2"/>
      </rPr>
      <t>sist</t>
    </r>
    <r>
      <rPr>
        <sz val="10"/>
        <rFont val="Arial"/>
        <family val="2"/>
      </rPr>
      <t xml:space="preserve">ent with 1984 </t>
    </r>
    <r>
      <rPr>
        <sz val="10"/>
        <rFont val="Arial"/>
        <family val="2"/>
      </rPr>
      <t>calibration</t>
    </r>
    <r>
      <rPr>
        <sz val="10"/>
        <rFont val="Arial"/>
        <family val="2"/>
      </rPr>
      <t>, the IEEE paper and recent complement checks</t>
    </r>
  </si>
  <si>
    <t>-</t>
  </si>
  <si>
    <t>based on standard deviation of 1984 determinations, 160 counts (16 ppm) for C at full scale</t>
  </si>
  <si>
    <t>stability of resistors only</t>
  </si>
  <si>
    <t>ubridge uncertainty</t>
  </si>
  <si>
    <t>temperature coefficient</t>
  </si>
  <si>
    <t xml:space="preserve">Expanded </t>
  </si>
  <si>
    <t>uncertainty</t>
  </si>
  <si>
    <t>bridge calibration, using HP3458 as transfer instrument</t>
  </si>
  <si>
    <t>change</t>
  </si>
  <si>
    <t>(milliradian)</t>
  </si>
  <si>
    <t>UBII</t>
  </si>
  <si>
    <t>bridge calibration, using HP3458 as transfer instrument: Range 5Y problem fixed</t>
  </si>
  <si>
    <t>bridge calibration, using HP3458 as transfer instrument: Range 5Y problem REALLY fixed</t>
  </si>
  <si>
    <t>remeasure capacitor, same dc resistance values as for 22/01/04</t>
  </si>
  <si>
    <t>correction_c</t>
  </si>
  <si>
    <t>Latest comment</t>
  </si>
  <si>
    <t>Increase from 2 to 5 ppm to account for short-term instability of 1000 pF capacitor</t>
  </si>
  <si>
    <t>G</t>
  </si>
  <si>
    <t>Frequency</t>
  </si>
  <si>
    <t>Hz</t>
  </si>
  <si>
    <t>loss angle</t>
  </si>
  <si>
    <t>milliradians</t>
  </si>
  <si>
    <t>GR1000A</t>
  </si>
  <si>
    <t>bridge calibration, following MSLT.E.023.004.  Uncertainties have increased.</t>
  </si>
  <si>
    <t>Client</t>
  </si>
  <si>
    <t>Job number</t>
  </si>
  <si>
    <t>S Number</t>
  </si>
  <si>
    <t>Template for decade and individual capacitors measured on Universal Bridge</t>
  </si>
  <si>
    <t>Checked by:</t>
  </si>
  <si>
    <t>uC</t>
  </si>
  <si>
    <t>delta</t>
  </si>
  <si>
    <t>Start with S21580a</t>
  </si>
  <si>
    <t>Copy 'Universal Bridge' from most recent S21814 for RLC standards.</t>
  </si>
  <si>
    <t>Update history page for easier plotting.</t>
  </si>
  <si>
    <t>New UB calibrations need to be entered in Data block and accessed through the Date</t>
  </si>
  <si>
    <t>&lt;10</t>
  </si>
  <si>
    <t>except for range  4, up to 44?</t>
  </si>
  <si>
    <t>assume negligible c,d</t>
  </si>
  <si>
    <t>(G3=1/R4*)</t>
  </si>
  <si>
    <t>UBIII</t>
  </si>
  <si>
    <t>bridge calibration, following MSLT.E.023.004/5.  Uncertainties have increased slightly from 2005.</t>
  </si>
  <si>
    <t>Symbol font versions</t>
  </si>
  <si>
    <t>Plain version</t>
  </si>
  <si>
    <t>CMC n for L</t>
  </si>
  <si>
    <t>CMC m for R</t>
  </si>
  <si>
    <t>microH</t>
  </si>
  <si>
    <t>milliohm</t>
  </si>
  <si>
    <r>
      <t>m</t>
    </r>
    <r>
      <rPr>
        <sz val="12"/>
        <rFont val="Palatino"/>
        <family val="1"/>
      </rPr>
      <t>H</t>
    </r>
  </si>
  <si>
    <t>milliH</t>
  </si>
  <si>
    <t>mH</t>
  </si>
  <si>
    <t>kilohm</t>
  </si>
  <si>
    <t>microF</t>
  </si>
  <si>
    <t>milliS</t>
  </si>
  <si>
    <r>
      <t>m</t>
    </r>
    <r>
      <rPr>
        <sz val="12"/>
        <rFont val="Palatino"/>
        <family val="1"/>
      </rPr>
      <t>F</t>
    </r>
  </si>
  <si>
    <t>microS</t>
  </si>
  <si>
    <r>
      <t>m</t>
    </r>
    <r>
      <rPr>
        <sz val="12"/>
        <rFont val="Palatino"/>
        <family val="1"/>
      </rPr>
      <t>S</t>
    </r>
  </si>
  <si>
    <t>Carefully redefine critical block names.</t>
  </si>
  <si>
    <t>Item</t>
  </si>
  <si>
    <t>10 pF</t>
  </si>
  <si>
    <t>1 pF</t>
  </si>
  <si>
    <t>Alter label structure on Results page, could try to use vlookup to find range zeros on UniversalBridge sheet?</t>
  </si>
  <si>
    <t>Parameters dependent on component</t>
  </si>
  <si>
    <t>This is a data table with B9 as the column input cell.</t>
  </si>
  <si>
    <t>CMC</t>
  </si>
  <si>
    <t>IANZ</t>
  </si>
  <si>
    <t>This must be re-calculated with new data sets.</t>
  </si>
  <si>
    <t>The component label is the key variable for the table</t>
  </si>
  <si>
    <t>R alpha</t>
  </si>
  <si>
    <t>u_R alpha</t>
  </si>
  <si>
    <t>L/C alpha</t>
  </si>
  <si>
    <t>u_L/C alpha</t>
  </si>
  <si>
    <t>Aux L</t>
  </si>
  <si>
    <t>Aux R</t>
  </si>
  <si>
    <t>L/C uncertainty</t>
  </si>
  <si>
    <t>L/C</t>
  </si>
  <si>
    <t>mult</t>
  </si>
  <si>
    <t>n</t>
  </si>
  <si>
    <t>R/G</t>
  </si>
  <si>
    <t>m</t>
  </si>
  <si>
    <t>f</t>
  </si>
  <si>
    <t>CMC/U</t>
  </si>
  <si>
    <t>Component label</t>
  </si>
  <si>
    <t>Universal bridge reactance uncertainty</t>
  </si>
  <si>
    <t>for</t>
  </si>
  <si>
    <t xml:space="preserve"> u (counts)</t>
  </si>
  <si>
    <t>based on scatter of results in 1984, increased in 2004 and 2005</t>
  </si>
  <si>
    <t xml:space="preserve">Previous value was 7 ppm, now increased to 17 ppm to acount for errors on RHS of bridge.  </t>
  </si>
  <si>
    <t>some doubt on stability of capacitor in particular, increased in 2004</t>
  </si>
  <si>
    <t>16 ppm of resistance dial setting, see comment for resistance, reduced to 5 ppm after 2004 cal</t>
  </si>
  <si>
    <t>Link to conductance setting, previously just 2 counts</t>
  </si>
  <si>
    <t>Previous was 2, use latest value from MSLT.E.023.005, 200/f</t>
  </si>
  <si>
    <t>u combined (counts)</t>
  </si>
  <si>
    <t>1/ For all frequencies.  Additional noise typical at 50 Hz needs to be added</t>
  </si>
  <si>
    <t>4/ Updated following 2004/5 UB calibration, see AUDIREGC</t>
  </si>
  <si>
    <t>Universal bridge resistance uncertainty</t>
  </si>
  <si>
    <t>conductance dial setting</t>
  </si>
  <si>
    <t>all references to the conductance dial are now to cell D34 (previously separate lookups back to results page)</t>
  </si>
  <si>
    <t>Previous was 16, use latest value of 5 from MSLT.E.023.005</t>
  </si>
  <si>
    <t xml:space="preserve">Previous value was 2, now decreased to 1 ppm following MSLT.E023.005 </t>
  </si>
  <si>
    <t>this might be dependent on frequency and range, included below, increased from 0 to 1 in 2006, now 2000/f</t>
  </si>
  <si>
    <t>based on scatter of results in 1984, increased following 2004 and 2005 calibration</t>
  </si>
  <si>
    <t xml:space="preserve">Previous value was 1, now increased to 2 ppm following MSLT.E023.005 </t>
  </si>
  <si>
    <t>1/ This scatter is consistent with Thompson's phase standards.</t>
  </si>
  <si>
    <t>2/ Updated following 200/54 UB calibration see AUDIREGC</t>
  </si>
  <si>
    <t>ubridge count uncertainty</t>
  </si>
  <si>
    <t>3 month drift in resistance</t>
  </si>
  <si>
    <t xml:space="preserve">assume u_t = 0.5 degree </t>
  </si>
  <si>
    <t>C uncert = (0.2/f +22C) pF with C in microF, f in Hz</t>
  </si>
  <si>
    <t>1/</t>
  </si>
  <si>
    <t>3 month drift of standard</t>
  </si>
  <si>
    <t>u combined (count)</t>
  </si>
  <si>
    <t>expanded u (count)</t>
  </si>
  <si>
    <t>Replace uncertainty sheet with the uncertainty sheet from S21814</t>
  </si>
  <si>
    <t>R/G uncertainty</t>
  </si>
  <si>
    <t>G to delta</t>
  </si>
  <si>
    <t>AH2700A</t>
  </si>
  <si>
    <t>ppm</t>
  </si>
  <si>
    <t>L/C dial setting</t>
  </si>
  <si>
    <t>G/R error due to phase error in L/C</t>
  </si>
  <si>
    <t>L/C error due to phase error in R/G</t>
  </si>
  <si>
    <t>mrad</t>
  </si>
  <si>
    <t>Alter treatment of range 7Y and 6Y by applying corrections as at bottom of Results sheet</t>
  </si>
  <si>
    <t>Modify Report to pick up corrected results</t>
  </si>
  <si>
    <t>delta uncert = 0.000027+0.00027/C</t>
  </si>
  <si>
    <t>C uncert = 0.2/f+22C</t>
  </si>
  <si>
    <t>Now return to 16 to stay consistent with CMCS</t>
  </si>
  <si>
    <t>Increase to 5 for 2011 measurements.</t>
  </si>
  <si>
    <t>Start with S21815.xls</t>
  </si>
  <si>
    <t>As S21815.xls</t>
  </si>
  <si>
    <t>As S21942.xlsx</t>
  </si>
  <si>
    <t>bridge calibration, following MSLT.E.023.006.  Uncertainties unchanged from 2009.</t>
  </si>
  <si>
    <t>Enter Ubridge calibration data of 7/7/14</t>
  </si>
  <si>
    <t>Add graph history of UB cal constants,  just for interest.</t>
  </si>
  <si>
    <t>Delays in calibrating the UB (and repairing the permutable) are the reason for having the standards so long, and hence measuring them twice.</t>
  </si>
  <si>
    <t>Range 7 results remain a problem for loss angle measurements, see 'Range7' worksheet.</t>
  </si>
  <si>
    <t>Range 7 was a design afterthought on the Universal Bridge and is expected to perform less well than the other ranges.</t>
  </si>
  <si>
    <t>Consider the 2014 calibration of the UB that has, for the first time, included a 1 M Vishay in the calibration.</t>
  </si>
  <si>
    <t>We have no resistance phase standard for range 7.</t>
  </si>
  <si>
    <t>At 1.6 kHz the G and R ac-dc differences look OK at -10.5 and 0.3 ppm respectively (using the same 'c' correction as for all other ranges, see 'Resistors' page).</t>
  </si>
  <si>
    <t>The 1 M Vishay gives a reading of -35 mH, which is much larger than the intrinsic &lt;0.08 uH, but consistent with a mere 0.035 pF in parallel with the 1 M resistor</t>
  </si>
  <si>
    <t>GR100 is measured ('L and C' sheet) to have a 144 urad loss angle.</t>
  </si>
  <si>
    <t>AH2700 measures</t>
  </si>
  <si>
    <t>urad for GR100 (see p.23 of UB III)</t>
  </si>
  <si>
    <t>Calc cap  suggests</t>
  </si>
  <si>
    <t>urad for GR100 (see Y:\Ongoing\Farad\CalcCap\Cap2014\Simple_buildup_July2014.xls)</t>
  </si>
  <si>
    <t>Item 1 gives basic confidence of ratio performance.</t>
  </si>
  <si>
    <t>Item 2 is inconclusive.</t>
  </si>
  <si>
    <t>Items 3 to 5 suggest a correction is required for phase on Range 7Y of the UB.</t>
  </si>
  <si>
    <t>AH2700</t>
  </si>
  <si>
    <t>Unfortunately the difference in loss angles measured by the UB in July and August exceed the estimated uncertainty.</t>
  </si>
  <si>
    <t>It is possible that the phase of the UB's 1 M internal standard was changed during the July calibration (physical knock?)</t>
  </si>
  <si>
    <t>Universal Bridge</t>
  </si>
  <si>
    <t>Therefore it seems prudent to rely on the AH2700 for the loss angle of capacitors below 1 nF.</t>
  </si>
  <si>
    <t>See AH2700 manual page C-6 (appendix C), 'Accuracy of D vs. Frequency' graph</t>
  </si>
  <si>
    <t>100 pF/ 1 nF</t>
  </si>
  <si>
    <t>6 urad</t>
  </si>
  <si>
    <t>4 urad</t>
  </si>
  <si>
    <t>3 urad</t>
  </si>
  <si>
    <t>D accuracy</t>
  </si>
  <si>
    <t>These are a factor of 10 or more better than our UB based CMCs.</t>
  </si>
  <si>
    <t>Therefore use AH2700 results, but UB uncertainties (for CMC compliance).</t>
  </si>
  <si>
    <t>Therefore for reporting loss angle for the 1, 10 and 100 pF capacitors, use AH2700 results with UB uncertainties (for CMC compliance).</t>
  </si>
  <si>
    <t>As there is doubt about the 1 June loss angle measurements, only the 12 August results are reported</t>
  </si>
  <si>
    <t>As S21959</t>
  </si>
  <si>
    <t>Start with S21942b.xls as an up to date UB calculator for capacitance and loss angle</t>
  </si>
  <si>
    <t xml:space="preserve">Reference S21745_v3.xls for structure of previous calibration of the Olex capacitance box </t>
  </si>
  <si>
    <t>S21959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</si>
  <si>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</si>
  <si>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</si>
  <si>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</si>
  <si>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</si>
  <si>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</si>
  <si>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</si>
  <si>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</si>
  <si>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</si>
  <si>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</si>
  <si>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</si>
  <si>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</si>
  <si>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</si>
  <si>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</si>
  <si>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</si>
  <si>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</si>
  <si>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</si>
  <si>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</si>
  <si>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</si>
  <si>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C2</t>
  </si>
  <si>
    <t>C3</t>
  </si>
  <si>
    <t>C4</t>
  </si>
  <si>
    <t>C5</t>
  </si>
  <si>
    <t>C6</t>
  </si>
  <si>
    <t>C7</t>
  </si>
  <si>
    <t>C8</t>
  </si>
  <si>
    <t>C9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</si>
  <si>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</si>
  <si>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</si>
  <si>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</si>
  <si>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</si>
  <si>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</si>
  <si>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</si>
  <si>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</si>
  <si>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</si>
  <si>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</si>
  <si>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E0</t>
  </si>
  <si>
    <t>E4</t>
  </si>
  <si>
    <t>E5</t>
  </si>
  <si>
    <t>E6</t>
  </si>
  <si>
    <t>E7</t>
  </si>
  <si>
    <t>E8</t>
  </si>
  <si>
    <t>E9</t>
  </si>
  <si>
    <t>E10</t>
  </si>
  <si>
    <t>Modify labels in results, labelling box with dials A to E (slightly different from S21745)</t>
  </si>
  <si>
    <t>Update Zeros table in 'Universal Bridge' to pick up correct zeros from 'Results' page</t>
  </si>
  <si>
    <t>Note that E0 and D0 will likely have had a dial movement and so would not be identical</t>
  </si>
  <si>
    <t>Use trick of labelling with a slightly different frequency!!</t>
  </si>
  <si>
    <t>Dial</t>
  </si>
  <si>
    <t>Setting</t>
  </si>
  <si>
    <t>1pF</t>
  </si>
  <si>
    <t>DIV</t>
  </si>
  <si>
    <t>'100'</t>
  </si>
  <si>
    <t>100pF</t>
  </si>
  <si>
    <t>STEPS</t>
  </si>
  <si>
    <t>X</t>
  </si>
  <si>
    <t>1000pF</t>
  </si>
  <si>
    <t>0.01mF</t>
  </si>
  <si>
    <t>0.1mF</t>
  </si>
  <si>
    <t>All dials</t>
  </si>
  <si>
    <t>dial code</t>
  </si>
  <si>
    <t>E06Y</t>
  </si>
  <si>
    <t>E16Y</t>
  </si>
  <si>
    <t>E26Y</t>
  </si>
  <si>
    <t>E36Y</t>
  </si>
  <si>
    <t>E46Y</t>
  </si>
  <si>
    <t>E56Y</t>
  </si>
  <si>
    <t>E66Y</t>
  </si>
  <si>
    <t>E76Y</t>
  </si>
  <si>
    <t>E86Y</t>
  </si>
  <si>
    <t>E96Y</t>
  </si>
  <si>
    <t>E106Y</t>
  </si>
  <si>
    <t>D16Y</t>
  </si>
  <si>
    <t>D26Y</t>
  </si>
  <si>
    <t>D36Y</t>
  </si>
  <si>
    <t>D46Y</t>
  </si>
  <si>
    <t>D56Y</t>
  </si>
  <si>
    <t>D66Y</t>
  </si>
  <si>
    <t>D76Y</t>
  </si>
  <si>
    <t>D86Y</t>
  </si>
  <si>
    <t>D96Y</t>
  </si>
  <si>
    <t>D106Y</t>
  </si>
  <si>
    <t>Build report page afresh, copying format from S21745.</t>
  </si>
  <si>
    <t>UB1000 jump</t>
  </si>
  <si>
    <t>AH2700 readings</t>
  </si>
  <si>
    <t>increase</t>
  </si>
  <si>
    <t>New value for UB1000 inserted in 'Unversal Bridge' sheet. Result of likely step change, see p.33 of UBIII</t>
  </si>
  <si>
    <t>shift in C1, likely due to shifting of UB to power lab while air con ducting being worked on.</t>
  </si>
  <si>
    <t>coaxial zero</t>
  </si>
  <si>
    <t>Difference as En</t>
  </si>
  <si>
    <t>Connection definition</t>
  </si>
  <si>
    <t>Use 'connection definition' uncertainty as in S21745.</t>
  </si>
  <si>
    <t>Set capacitance temperature coefficient uncertainty as 70 ppm one sigma, based on manufacture's claim that coefficient is -140 ppm.</t>
  </si>
  <si>
    <t>series resistance</t>
  </si>
  <si>
    <t>a series R will map to a conductance, worst case 10 milliohm in series, G = (wC)^2*R</t>
  </si>
  <si>
    <t>range</t>
  </si>
  <si>
    <t>cap</t>
  </si>
  <si>
    <t>Cmult</t>
  </si>
  <si>
    <t>Gmult</t>
  </si>
  <si>
    <t>unit mult</t>
  </si>
  <si>
    <t>Formatted version</t>
  </si>
  <si>
    <t>Formula for series resistance mapping as conductance brought into uncertainty from S21745</t>
  </si>
  <si>
    <t>.Dial</t>
  </si>
  <si>
    <t>t</t>
  </si>
  <si>
    <t>delta C</t>
  </si>
  <si>
    <t>delta G</t>
  </si>
  <si>
    <t>deg celsius</t>
  </si>
  <si>
    <t>report</t>
  </si>
  <si>
    <t>uncert</t>
  </si>
  <si>
    <t>En</t>
  </si>
  <si>
    <t>Note</t>
  </si>
  <si>
    <t>The dials each use 4 capacitors with values 1, 2, 2 and 5.</t>
  </si>
  <si>
    <t>1+2</t>
  </si>
  <si>
    <t>2+2</t>
  </si>
  <si>
    <t>1</t>
  </si>
  <si>
    <t>2</t>
  </si>
  <si>
    <t>1+2+2</t>
  </si>
  <si>
    <t>1+5</t>
  </si>
  <si>
    <t>2+5</t>
  </si>
  <si>
    <t>1+2+5</t>
  </si>
  <si>
    <t>2+2+5</t>
  </si>
  <si>
    <t>1+2+2+5</t>
  </si>
  <si>
    <t>All dial settings that include the single 100 pF cap (highlighted in red) have an 'excess' G of about 0.2 nS</t>
  </si>
  <si>
    <t>So might have once had 0.05 nS for the 100 pF (additional to box zero), but now have 0.3 nS.</t>
  </si>
  <si>
    <t>ohms additional leakage across the capacitor could account for the change.</t>
  </si>
  <si>
    <t>100 pF dial</t>
  </si>
  <si>
    <t>UB1000 measurement from p.33 of UBIII</t>
  </si>
  <si>
    <t>The UB calculation does not assume a 50 urad phase for UB1000</t>
  </si>
  <si>
    <t>Long leads might compromise the AH2700A measurement of UB1000 loss angle.</t>
  </si>
  <si>
    <t>AH2700-report</t>
  </si>
  <si>
    <t>AH2700Results carries the AH2700 measurements of the 100 pF/step and 1pF/div dial.</t>
  </si>
  <si>
    <t>1pF DIV</t>
  </si>
  <si>
    <t>1000 pF step</t>
  </si>
  <si>
    <t>100 pF step</t>
  </si>
  <si>
    <t>Cu jig</t>
  </si>
  <si>
    <t>zero if AH used for report</t>
  </si>
  <si>
    <t>Report page now selectively uses AH2700 results for phase angle for 100 pF dial down.</t>
  </si>
  <si>
    <t>Update RoomLogger sheet from Planck1 logging system.</t>
  </si>
  <si>
    <t>.01mF</t>
  </si>
  <si>
    <t>2004 report</t>
  </si>
  <si>
    <r>
      <t>0.01</t>
    </r>
    <r>
      <rPr>
        <sz val="10"/>
        <rFont val="Symbol"/>
        <family val="1"/>
        <charset val="2"/>
      </rPr>
      <t>m</t>
    </r>
    <r>
      <rPr>
        <sz val="10"/>
        <rFont val="Times New Roman"/>
        <family val="1"/>
      </rPr>
      <t>F</t>
    </r>
  </si>
  <si>
    <r>
      <t>0.1</t>
    </r>
    <r>
      <rPr>
        <sz val="10"/>
        <rFont val="Symbol"/>
        <family val="1"/>
        <charset val="2"/>
      </rPr>
      <t>m</t>
    </r>
    <r>
      <rPr>
        <sz val="10"/>
        <rFont val="Times New Roman"/>
        <family val="1"/>
      </rPr>
      <t>F</t>
    </r>
  </si>
  <si>
    <t>2009 report</t>
  </si>
  <si>
    <t>S21745</t>
  </si>
  <si>
    <t>E36040128</t>
  </si>
  <si>
    <t>S21567</t>
  </si>
  <si>
    <t>E7140017</t>
  </si>
  <si>
    <t>S21341</t>
  </si>
  <si>
    <t>E73015</t>
  </si>
  <si>
    <t>1999 report</t>
  </si>
  <si>
    <t>0.01µF</t>
  </si>
  <si>
    <t>0.1µF</t>
  </si>
  <si>
    <t>2015 report</t>
  </si>
  <si>
    <t>E96040236</t>
  </si>
  <si>
    <t>D</t>
  </si>
  <si>
    <t>uD</t>
  </si>
  <si>
    <t>GRhistory page now set up to display history graph for each setting by entering the dial label in the highlighted box.</t>
  </si>
  <si>
    <t>Conditions page just summarises temp and humidity.</t>
  </si>
  <si>
    <t>temperature</t>
  </si>
  <si>
    <t>RH</t>
  </si>
  <si>
    <t>Starting with S21959final</t>
  </si>
  <si>
    <t>Note there is no need to invoke AH2700 for mesurements on Muirhead caps (500 pF to 1 microF)</t>
  </si>
  <si>
    <t>Babcock</t>
  </si>
  <si>
    <t>Look to match notation of previous S21759_post_check.xls in 2010 where possible.</t>
  </si>
  <si>
    <t>Range Label</t>
  </si>
  <si>
    <t>differentzero</t>
  </si>
  <si>
    <t>Differentzero</t>
  </si>
  <si>
    <t>C1 jumped?</t>
  </si>
  <si>
    <t>C1 settled</t>
  </si>
  <si>
    <t>KJLabDiary1</t>
  </si>
  <si>
    <t>C1 appears to have recovered</t>
  </si>
  <si>
    <t>Modify (again) the labels for zero pickup in 'Universal Bridge' page. Now use 'differentzero' column to differentiate rather than previous fiddling with frequency.</t>
  </si>
  <si>
    <t>New value for UB1000 inserted in 'Unversal Bridge' sheet. Result of likely step change, see p.239 of KJ lab diary 1</t>
  </si>
  <si>
    <t>Serial</t>
  </si>
  <si>
    <t>Number</t>
  </si>
  <si>
    <t>Nominal</t>
  </si>
  <si>
    <t>Serial
Number</t>
  </si>
  <si>
    <t>Loss
Angle
(mrad)</t>
  </si>
  <si>
    <t>Capacitance
(nF)</t>
  </si>
  <si>
    <t>Expanded
Uncertainty
(nF)</t>
  </si>
  <si>
    <t>Expanded
Uncertainty
(mrad)</t>
  </si>
  <si>
    <t>Formatting of result table modified to put all values in nF and to comply with decimal point alignment and minimalist use of lines</t>
  </si>
  <si>
    <t>Review uncertainty specific to Muirhead specifications.</t>
  </si>
  <si>
    <t>Conductance uncertainty for Muirhead capacitors</t>
  </si>
  <si>
    <t>Reactance uncertainty for Muirhead capacitors</t>
  </si>
  <si>
    <t>assume 0.5 deg at one sigma and look up the temp coefficient, 50 ppm for the temp coefficient (ref. Kibble &amp;Rayner p. 61)</t>
  </si>
  <si>
    <t>0.1 pF for all capacitors at 2 sigma level, see AI V 1/11/95</t>
  </si>
  <si>
    <t>Connection definition changed to 0.1 pF/2, as in S21759 (but note that S21759 was still using % rather than counts).</t>
  </si>
  <si>
    <t>As S21986MuirheadCaps2016</t>
  </si>
  <si>
    <t>Loss Angle</t>
  </si>
  <si>
    <t>Uncertainty</t>
  </si>
  <si>
    <t>1.0 mF</t>
  </si>
  <si>
    <t>0.1 mF</t>
  </si>
  <si>
    <t>0.01 mF</t>
  </si>
  <si>
    <t>0.001 mF</t>
  </si>
  <si>
    <t>0.0005 mF</t>
  </si>
  <si>
    <t>2/3/2010 results</t>
  </si>
  <si>
    <t>S21759</t>
  </si>
  <si>
    <t>S21438</t>
  </si>
  <si>
    <t>Nominal Value</t>
  </si>
  <si>
    <t>Coverage</t>
  </si>
  <si>
    <t>Factor</t>
  </si>
  <si>
    <t>(milliradians)</t>
  </si>
  <si>
    <t>1 mF</t>
  </si>
  <si>
    <t>100 nF</t>
  </si>
  <si>
    <t>10 nF</t>
  </si>
  <si>
    <t>1 nF</t>
  </si>
  <si>
    <t>500 pF</t>
  </si>
  <si>
    <t>mF</t>
  </si>
  <si>
    <t>GMH5I readout</t>
  </si>
  <si>
    <t>All GMH5I readings</t>
  </si>
  <si>
    <t>Room</t>
  </si>
  <si>
    <t>Temp</t>
  </si>
  <si>
    <t>Nominal
Value
(µF)</t>
  </si>
  <si>
    <t>S22012</t>
  </si>
  <si>
    <t xml:space="preserve"> Value</t>
  </si>
  <si>
    <t>S21283</t>
  </si>
  <si>
    <t>S21584</t>
  </si>
  <si>
    <t>Nominal value</t>
  </si>
  <si>
    <t>Expanded 
uncertainty</t>
  </si>
  <si>
    <t>Coverage
factor</t>
  </si>
  <si>
    <t>Loss angle
(milliradians)</t>
  </si>
  <si>
    <t>Expanded 
uncertainty
(milliradians)</t>
  </si>
  <si>
    <t>100nF</t>
  </si>
  <si>
    <t>10nF</t>
  </si>
  <si>
    <t>1nF</t>
  </si>
  <si>
    <t>500pF</t>
  </si>
  <si>
    <t>1mF</t>
  </si>
  <si>
    <t>partial calibration</t>
  </si>
  <si>
    <t>Partial recalibration</t>
  </si>
  <si>
    <t>Template for capacitors</t>
  </si>
  <si>
    <t>Capacitors</t>
  </si>
  <si>
    <t>1 sigma uncertainties from specifications</t>
  </si>
  <si>
    <t>Data from lab book</t>
  </si>
  <si>
    <t>Data from specifications and other sources</t>
  </si>
  <si>
    <t>Nominal Frequency</t>
  </si>
  <si>
    <t>xdial</t>
  </si>
  <si>
    <t>rdial</t>
  </si>
  <si>
    <t>Temperature</t>
  </si>
  <si>
    <t>u</t>
  </si>
  <si>
    <t>df</t>
  </si>
  <si>
    <t>Temp coeff C</t>
  </si>
  <si>
    <t>Temp coeff R</t>
  </si>
  <si>
    <t>Other</t>
  </si>
  <si>
    <r>
      <rPr>
        <sz val="10"/>
        <rFont val="Calibri"/>
        <family val="2"/>
      </rPr>
      <t>°</t>
    </r>
    <r>
      <rPr>
        <sz val="10"/>
        <rFont val="Arial"/>
        <family val="2"/>
      </rPr>
      <t>C</t>
    </r>
  </si>
  <si>
    <t>1.6k</t>
  </si>
  <si>
    <t>coax zero</t>
  </si>
  <si>
    <t>xDial</t>
  </si>
  <si>
    <t>rDial</t>
  </si>
  <si>
    <t>frequency</t>
  </si>
  <si>
    <t>utemp</t>
  </si>
  <si>
    <t>dftemp</t>
  </si>
  <si>
    <t>alphax</t>
  </si>
  <si>
    <t>ualphax</t>
  </si>
  <si>
    <t>dfalphax</t>
  </si>
  <si>
    <t>alphar</t>
  </si>
  <si>
    <t>ualphar</t>
  </si>
  <si>
    <t>dfalphr</t>
  </si>
  <si>
    <t>x</t>
  </si>
  <si>
    <t>ux</t>
  </si>
  <si>
    <t>kx</t>
  </si>
  <si>
    <t>r</t>
  </si>
  <si>
    <t>ur</t>
  </si>
  <si>
    <t>kr</t>
  </si>
  <si>
    <t>cmcx</t>
  </si>
  <si>
    <t>cmcr</t>
  </si>
  <si>
    <t>ux/cmcx</t>
  </si>
  <si>
    <t>ur/cmcr</t>
  </si>
  <si>
    <t>label</t>
  </si>
  <si>
    <t>S</t>
  </si>
  <si>
    <t>Differences</t>
  </si>
  <si>
    <t>Nominal Value
(µF)</t>
  </si>
  <si>
    <t>Loss Angle
(mrad)</t>
  </si>
  <si>
    <t>Expanded Uncertainty
(mrad)</t>
  </si>
  <si>
    <t>As S21960</t>
  </si>
  <si>
    <t>Start with S1959final (for capacitance) as most up to date UB corrections etc.</t>
  </si>
  <si>
    <t>Look to S21784checkedTJS for report formatting for the Muirhead inductors.</t>
  </si>
  <si>
    <t>Results page has inductance data entered with suitable labels for processing.</t>
  </si>
  <si>
    <t>Universal Bridge page points to the relevant zeros in the Results page for these decade inductors.</t>
  </si>
  <si>
    <t>Insert Lreport page based on S21784 report format.</t>
  </si>
  <si>
    <t>Change uncertainty to point to ub_uncertainty block.</t>
  </si>
  <si>
    <t>Use the new labels consistent with the Results page</t>
  </si>
  <si>
    <t>Add Lhistory page to capture trends</t>
  </si>
  <si>
    <t>Uncertainty, row 61 effect of series resistance on loss angle of a capacitor</t>
  </si>
  <si>
    <t>Enter copper temperature coefficient in the parameters block</t>
  </si>
  <si>
    <t>Did not add 3 month change as an uncertainty (c.f.S21784). Assume client will monitor history/stability.</t>
  </si>
  <si>
    <t>Add CMC for inductors block at far right of Uncertainty page.</t>
  </si>
  <si>
    <t>Capacitor worksheets grouped away from inductor worksheets.</t>
  </si>
  <si>
    <t>As S1997</t>
  </si>
  <si>
    <t>Transition to python analysis</t>
  </si>
  <si>
    <t>Note that the item names 'coax zero' and 'coax open' are reserved names.</t>
  </si>
  <si>
    <t>There should be a zero/open for each range and nominal frequency that is used.</t>
  </si>
  <si>
    <t>The zero or open dial readings are calculated as an immittance to be subtracted from the measured immittances.</t>
  </si>
  <si>
    <t>In some cases there will be alternative zeros specific to the UUT that are subtracted instead.</t>
  </si>
  <si>
    <t>An essentially standalone python calculation takes data from 'pyUBreadings' to 'pyUBresults' from which a report is made in 'pyReport'.</t>
  </si>
  <si>
    <t>py4284readings' contains results from the HP4284 as a cross-check, but not contributing directly to the report.</t>
  </si>
  <si>
    <t>At the same time the data has also been copied into 'excelResults' and this has been processed, with minor updates, to give the report in 'Lreport'.</t>
  </si>
  <si>
    <t>This uses UB constants and calculation in the 'Universal Bridge' sheet, with uncertainties calculated in the 'Uncertainty' sheet.</t>
  </si>
  <si>
    <t>As S22012</t>
  </si>
  <si>
    <t>For the Babcock Muirhead capacitors.</t>
  </si>
  <si>
    <t>Post processing to cope with loss angle calculations and a 0.1 pF definition uncertainty.</t>
  </si>
  <si>
    <t>This has been merged with S21986 for the cross-check with previous Excel calculations (see 'ExcelCommentary').</t>
  </si>
  <si>
    <t>from GMH</t>
  </si>
  <si>
    <t>RH correction</t>
  </si>
  <si>
    <t>from Y:\Quality\TECHPROC\E058-Lab Air Cond\loggercalibration_2017.xls</t>
  </si>
  <si>
    <t>% difference from start</t>
  </si>
  <si>
    <t>S22013</t>
  </si>
  <si>
    <t>Babcock HP16380</t>
  </si>
  <si>
    <t>1 microF</t>
  </si>
  <si>
    <t>0.1 microF</t>
  </si>
  <si>
    <t>0.01 microF</t>
  </si>
  <si>
    <t>1000 pF</t>
  </si>
  <si>
    <t>AH11C</t>
  </si>
  <si>
    <t>100 pF</t>
  </si>
  <si>
    <t>AH11A</t>
  </si>
  <si>
    <t>1000 pF6Y</t>
  </si>
  <si>
    <t>100 pF7Y</t>
  </si>
  <si>
    <t>10 pF7Y</t>
  </si>
  <si>
    <t>1 pF7Y</t>
  </si>
  <si>
    <t>1 microF3Y</t>
  </si>
  <si>
    <t>0.1 microF4Y</t>
  </si>
  <si>
    <t>0.01 microF5Y</t>
  </si>
  <si>
    <t>100 pF6Y</t>
  </si>
  <si>
    <t>set to zero for 4 terminal-pair definition</t>
  </si>
  <si>
    <t>Enter, say, 5 ppm as 5e-6</t>
  </si>
  <si>
    <t>1000 pF1.6k</t>
  </si>
  <si>
    <t>100 pF1.6k</t>
  </si>
  <si>
    <t>10 pF1.6k</t>
  </si>
  <si>
    <t>1 pF1.6k</t>
  </si>
  <si>
    <t>1 microF1.6k</t>
  </si>
  <si>
    <t>0.1 microF1.6k</t>
  </si>
  <si>
    <t>0.01 microF1.6k</t>
  </si>
  <si>
    <t>multiplier for C</t>
  </si>
  <si>
    <t>tand(mrad)</t>
  </si>
  <si>
    <t>u tan delta</t>
  </si>
  <si>
    <t>Capacitance
(pF)</t>
  </si>
  <si>
    <t>Expanded Uncertainty
(pF)</t>
  </si>
  <si>
    <t>correct for 0 mrad on AH</t>
  </si>
  <si>
    <t>Measurements were also made with the AH2700 at 1591.5 Hz</t>
  </si>
  <si>
    <t>page 70 of AIVII</t>
  </si>
  <si>
    <t>tand</t>
  </si>
  <si>
    <t>AH2700A tand</t>
  </si>
  <si>
    <t>Python</t>
  </si>
  <si>
    <t>Nominal Value
(pF)</t>
  </si>
  <si>
    <t>Capacitance
(µF)</t>
  </si>
  <si>
    <t>Expanded Uncertainty
(µF)</t>
  </si>
  <si>
    <t>Excel</t>
  </si>
  <si>
    <t>HISTORY</t>
  </si>
  <si>
    <t>ACC</t>
  </si>
  <si>
    <t>Instructions</t>
  </si>
  <si>
    <t>Select rows 24:33 and carry out "Insert Rows".  Copy cells in green block  A14:N22 and "Paste" to cells A24:N32. Copy cells in blue block and "Paste Special, Values" to green block A14:N22.</t>
  </si>
  <si>
    <r>
      <t>(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F) or (pF)</t>
    </r>
  </si>
  <si>
    <t>unc ppm</t>
  </si>
  <si>
    <t>Lookup Label</t>
  </si>
  <si>
    <t>Previous</t>
  </si>
  <si>
    <t>Current</t>
  </si>
  <si>
    <t>Days</t>
  </si>
  <si>
    <t>3 month change, ppm</t>
  </si>
  <si>
    <t>HP 16387A 1 µF</t>
  </si>
  <si>
    <t>HP 16386A 0.1 µF</t>
  </si>
  <si>
    <t>HP 16385A 0.01 µF</t>
  </si>
  <si>
    <t>HP 16384A 1000 pF</t>
  </si>
  <si>
    <t>HP 16383A 100 pF</t>
  </si>
  <si>
    <t>HP 16382A 10 pF</t>
  </si>
  <si>
    <t>HP 16381A 1 pF</t>
  </si>
  <si>
    <t>S21815</t>
  </si>
  <si>
    <t>(mF) or (pF)</t>
  </si>
  <si>
    <t>S21580</t>
  </si>
  <si>
    <t>S21385</t>
  </si>
  <si>
    <t>Component</t>
  </si>
  <si>
    <t>15/8/2000</t>
  </si>
  <si>
    <t>True C</t>
  </si>
  <si>
    <t>True G</t>
  </si>
  <si>
    <t>tan _</t>
  </si>
  <si>
    <t>µF</t>
  </si>
  <si>
    <t>µS</t>
  </si>
  <si>
    <t>Results 27 November 1997</t>
  </si>
  <si>
    <t>Capcitance</t>
  </si>
  <si>
    <t>Results 17 October 1995</t>
  </si>
  <si>
    <t>Results 5 August 1993</t>
  </si>
  <si>
    <t>Job</t>
  </si>
  <si>
    <t>Report S No.</t>
  </si>
  <si>
    <t>udelta</t>
  </si>
  <si>
    <t>S21942</t>
  </si>
  <si>
    <t>As S22013</t>
  </si>
  <si>
    <t>For the Babcock HP16380 sets.</t>
  </si>
  <si>
    <t>Adjust Excel uncertainty for 16380 temperature coefficients and to remove series resistance effect.</t>
  </si>
  <si>
    <t>Minor change to Python results to mix in AH2700A loss angle results.</t>
  </si>
  <si>
    <t>Python table points to pyUbesults as in S21997, i.e. no need for a special Python post processing.</t>
  </si>
  <si>
    <t>HP history updated.</t>
  </si>
  <si>
    <t>Higher python loss angle uncertainty due to including uncertainty from the zero, whereas Excel just subtracts the zero reading with no uncertainty.</t>
  </si>
  <si>
    <t>Temperature in pyUBresults forced to 20. This avoids Python trying to correct the roughly 21 degree results back to 20, but leaves the correct uncertainty.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</si>
</sst>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1">
    <numFmt numFmtId="164" formatCode="0.00000"/>
    <numFmt numFmtId="165" formatCode="0.000000"/>
    <numFmt numFmtId="166" formatCode="0E+00"/>
    <numFmt numFmtId="167" formatCode="0.000"/>
    <numFmt numFmtId="168" formatCode="0.0000"/>
    <numFmt numFmtId="169" formatCode="0.0E+00"/>
    <numFmt numFmtId="170" formatCode="General_)"/>
    <numFmt numFmtId="171" formatCode="dd/mmm/yy_)"/>
    <numFmt numFmtId="172" formatCode="0.0"/>
    <numFmt numFmtId="173" formatCode="0.000000_)"/>
    <numFmt numFmtId="174" formatCode="0.0_)"/>
    <numFmt numFmtId="175" formatCode="0.0E+00_)"/>
    <numFmt numFmtId="176" formatCode="0_)"/>
    <numFmt numFmtId="177" formatCode="0.00_)"/>
    <numFmt numFmtId="178" formatCode="0.000_)"/>
    <numFmt numFmtId="179" formatCode="0.00E+00_)"/>
    <numFmt numFmtId="180" formatCode="0.0000_)"/>
    <numFmt numFmtId="181" formatCode="0.00000_)"/>
    <numFmt numFmtId="182" formatCode="0.E+00"/>
    <numFmt numFmtId="183" formatCode="0.0.E+00"/>
    <numFmt numFmtId="184" formatCode="#0.0000\ \ \ \ "/>
    <numFmt numFmtId="185" formatCode="#0.000\ \ \ \ \ \ "/>
    <numFmt numFmtId="186" formatCode="#0.00\ \ \ \ \ \ \ \ "/>
    <numFmt numFmtId="187" formatCode="#0.0\ \ \ \ \ \ \ \ \ \ "/>
    <numFmt numFmtId="188" formatCode="#0.000\ \ \ \ \ \ \ \ \ \ \ \ "/>
    <numFmt numFmtId="189" formatCode="#0.0000\ \ \ \ \ \ \ \ \ \ "/>
    <numFmt numFmtId="190" formatCode="#0.00000\ \ \ \ \ \ \ \ "/>
    <numFmt numFmtId="191" formatCode="0.00000E+00"/>
    <numFmt numFmtId="192" formatCode="0.0000000"/>
    <numFmt numFmtId="193" formatCode="#0.000\ \ \ \ \ \ \ \ \ \ "/>
    <numFmt numFmtId="194" formatCode="0.00\ \ \ \ \ \ \ "/>
    <numFmt numFmtId="195" formatCode="#0.0000\ \ \ \ \ \ \ \ "/>
    <numFmt numFmtId="196" formatCode="0.000\ \ \ \ \ "/>
    <numFmt numFmtId="197" formatCode="#0.00000\ \ \ \ \ \ "/>
    <numFmt numFmtId="198" formatCode="#0.0\ \ \ \ "/>
    <numFmt numFmtId="199" formatCode="#0.0\ \ \ \ \ "/>
    <numFmt numFmtId="200" formatCode="0.000000\ \ \ "/>
    <numFmt numFmtId="201" formatCode="#0.00\ \ "/>
    <numFmt numFmtId="202" formatCode="#0.00\ \ \ "/>
    <numFmt numFmtId="203" formatCode="0.000000\ \ \ \ "/>
    <numFmt numFmtId="204" formatCode="0.00000000"/>
    <numFmt numFmtId="205" formatCode="0.000000E+00"/>
    <numFmt numFmtId="206" formatCode="#0"/>
    <numFmt numFmtId="207" formatCode="#0.000000\ \ \ \ \ \ "/>
    <numFmt numFmtId="208" formatCode="#0.0000000\ \ \ \ "/>
    <numFmt numFmtId="209" formatCode="#0.00000000\ \ "/>
    <numFmt numFmtId="210" formatCode="#0\ \ \ \ \ \ "/>
    <numFmt numFmtId="211" formatCode="#0.0\ \ \ "/>
    <numFmt numFmtId="212" formatCode="#0.00\ "/>
    <numFmt numFmtId="213" formatCode="0.0\ \ \ \ \ \ \ \ \ "/>
    <numFmt numFmtId="214" formatCode="dd\-mmm\-yy"/>
  </numFmts>
  <fonts count="37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Symbol"/>
      <family val="1"/>
      <charset val="2"/>
    </font>
    <font>
      <b/>
      <sz val="10"/>
      <name val="Arial"/>
      <family val="2"/>
    </font>
    <font>
      <b/>
      <sz val="10"/>
      <name val="Symbol"/>
      <family val="1"/>
      <charset val="2"/>
    </font>
    <font>
      <sz val="12"/>
      <name val="Symbol"/>
      <family val="1"/>
      <charset val="2"/>
    </font>
    <font>
      <sz val="12"/>
      <name val="Palatino"/>
      <family val="1"/>
    </font>
    <font>
      <sz val="10"/>
      <name val="Arial"/>
      <family val="2"/>
    </font>
    <font>
      <b/>
      <sz val="10"/>
      <name val="Helv"/>
    </font>
    <font>
      <b/>
      <sz val="12"/>
      <name val="Helv"/>
    </font>
    <font>
      <b/>
      <sz val="10"/>
      <color indexed="14"/>
      <name val="Helv"/>
    </font>
    <font>
      <b/>
      <sz val="10"/>
      <color indexed="8"/>
      <name val="Helv"/>
    </font>
    <font>
      <sz val="10"/>
      <color indexed="12"/>
      <name val="Helv"/>
    </font>
    <font>
      <sz val="10"/>
      <color indexed="14"/>
      <name val="Helv"/>
    </font>
    <font>
      <sz val="10"/>
      <name val="Palatino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10"/>
      <color indexed="33"/>
      <name val="Helv"/>
    </font>
    <font>
      <sz val="10"/>
      <color indexed="14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0"/>
      <name val="Palatino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sz val="1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2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 applyBorder="0"/>
    <xf numFmtId="0" fontId="3" fillId="0" borderId="0" applyNumberFormat="0" applyFill="0" applyBorder="0" applyAlignment="0" applyProtection="0"/>
    <xf numFmtId="0" fontId="2" fillId="0" borderId="0" applyBorder="0"/>
    <xf numFmtId="0" fontId="2" fillId="0" borderId="0" applyBorder="0"/>
  </cellStyleXfs>
  <cellXfs count="53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Border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1" fontId="5" fillId="0" borderId="0" xfId="0" applyNumberFormat="1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/>
    <xf numFmtId="0" fontId="7" fillId="0" borderId="0" xfId="0" applyFont="1"/>
    <xf numFmtId="0" fontId="8" fillId="0" borderId="0" xfId="0" applyFont="1"/>
    <xf numFmtId="0" fontId="3" fillId="0" borderId="0" xfId="0" applyFont="1" applyBorder="1" applyAlignment="1">
      <alignment horizontal="center"/>
    </xf>
    <xf numFmtId="170" fontId="10" fillId="0" borderId="0" xfId="0" applyNumberFormat="1" applyFont="1" applyAlignment="1" applyProtection="1">
      <alignment horizontal="left"/>
    </xf>
    <xf numFmtId="170" fontId="11" fillId="0" borderId="0" xfId="0" applyNumberFormat="1" applyFont="1" applyAlignment="1" applyProtection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171" fontId="0" fillId="0" borderId="0" xfId="0" applyNumberFormat="1" applyProtection="1"/>
    <xf numFmtId="169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Protection="1"/>
    <xf numFmtId="167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2" borderId="0" xfId="0" applyFont="1" applyFill="1"/>
    <xf numFmtId="173" fontId="1" fillId="2" borderId="0" xfId="0" applyNumberFormat="1" applyFont="1" applyFill="1" applyProtection="1"/>
    <xf numFmtId="170" fontId="11" fillId="3" borderId="9" xfId="0" applyNumberFormat="1" applyFont="1" applyFill="1" applyBorder="1" applyAlignment="1" applyProtection="1">
      <alignment horizontal="left"/>
    </xf>
    <xf numFmtId="173" fontId="0" fillId="3" borderId="10" xfId="0" applyNumberFormat="1" applyFill="1" applyBorder="1" applyProtection="1"/>
    <xf numFmtId="170" fontId="0" fillId="3" borderId="10" xfId="0" applyNumberFormat="1" applyFill="1" applyBorder="1" applyProtection="1"/>
    <xf numFmtId="170" fontId="0" fillId="3" borderId="11" xfId="0" applyNumberFormat="1" applyFill="1" applyBorder="1" applyProtection="1"/>
    <xf numFmtId="170" fontId="10" fillId="0" borderId="0" xfId="0" applyNumberFormat="1" applyFont="1" applyProtection="1"/>
    <xf numFmtId="173" fontId="10" fillId="0" borderId="0" xfId="0" applyNumberFormat="1" applyFont="1" applyAlignment="1" applyProtection="1">
      <alignment horizontal="center"/>
    </xf>
    <xf numFmtId="170" fontId="10" fillId="0" borderId="0" xfId="0" applyNumberFormat="1" applyFont="1" applyAlignment="1" applyProtection="1">
      <alignment horizontal="center"/>
    </xf>
    <xf numFmtId="170" fontId="13" fillId="0" borderId="0" xfId="0" applyNumberFormat="1" applyFont="1" applyAlignment="1" applyProtection="1">
      <alignment horizontal="center"/>
    </xf>
    <xf numFmtId="170" fontId="11" fillId="0" borderId="0" xfId="0" applyNumberFormat="1" applyFont="1" applyProtection="1"/>
    <xf numFmtId="170" fontId="14" fillId="0" borderId="0" xfId="0" applyNumberFormat="1" applyFont="1" applyAlignment="1" applyProtection="1">
      <alignment horizontal="left"/>
    </xf>
    <xf numFmtId="172" fontId="15" fillId="0" borderId="0" xfId="0" applyNumberFormat="1" applyFont="1" applyProtection="1"/>
    <xf numFmtId="175" fontId="0" fillId="0" borderId="0" xfId="0" applyNumberFormat="1" applyProtection="1"/>
    <xf numFmtId="170" fontId="0" fillId="0" borderId="0" xfId="0" applyNumberFormat="1" applyProtection="1"/>
    <xf numFmtId="176" fontId="0" fillId="0" borderId="0" xfId="0" applyNumberFormat="1" applyProtection="1"/>
    <xf numFmtId="174" fontId="0" fillId="0" borderId="0" xfId="0" applyNumberFormat="1" applyProtection="1"/>
    <xf numFmtId="170" fontId="14" fillId="0" borderId="0" xfId="0" applyNumberFormat="1" applyFont="1" applyProtection="1"/>
    <xf numFmtId="170" fontId="0" fillId="0" borderId="0" xfId="0" applyNumberFormat="1" applyAlignment="1" applyProtection="1">
      <alignment horizontal="right"/>
    </xf>
    <xf numFmtId="173" fontId="10" fillId="0" borderId="0" xfId="0" applyNumberFormat="1" applyFont="1" applyAlignment="1" applyProtection="1">
      <alignment horizontal="left"/>
    </xf>
    <xf numFmtId="170" fontId="10" fillId="0" borderId="12" xfId="0" applyNumberFormat="1" applyFont="1" applyBorder="1" applyAlignment="1" applyProtection="1">
      <alignment horizontal="center"/>
    </xf>
    <xf numFmtId="170" fontId="10" fillId="0" borderId="13" xfId="0" applyNumberFormat="1" applyFont="1" applyBorder="1" applyAlignment="1" applyProtection="1">
      <alignment horizontal="center"/>
    </xf>
    <xf numFmtId="170" fontId="10" fillId="0" borderId="14" xfId="0" applyNumberFormat="1" applyFont="1" applyBorder="1" applyAlignment="1" applyProtection="1">
      <alignment horizontal="center"/>
    </xf>
    <xf numFmtId="178" fontId="0" fillId="0" borderId="0" xfId="0" applyNumberFormat="1" applyProtection="1"/>
    <xf numFmtId="170" fontId="0" fillId="0" borderId="0" xfId="0" applyNumberFormat="1" applyAlignment="1" applyProtection="1">
      <alignment horizontal="center"/>
    </xf>
    <xf numFmtId="170" fontId="0" fillId="0" borderId="0" xfId="0" applyNumberFormat="1" applyFont="1" applyProtection="1"/>
    <xf numFmtId="179" fontId="0" fillId="0" borderId="0" xfId="0" applyNumberFormat="1" applyFont="1" applyProtection="1"/>
    <xf numFmtId="170" fontId="1" fillId="3" borderId="11" xfId="0" applyNumberFormat="1" applyFont="1" applyFill="1" applyBorder="1" applyProtection="1"/>
    <xf numFmtId="167" fontId="0" fillId="0" borderId="0" xfId="0" applyNumberFormat="1"/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8" xfId="0" applyFill="1" applyBorder="1"/>
    <xf numFmtId="167" fontId="0" fillId="7" borderId="18" xfId="0" applyNumberFormat="1" applyFill="1" applyBorder="1" applyAlignment="1">
      <alignment horizontal="right"/>
    </xf>
    <xf numFmtId="168" fontId="0" fillId="7" borderId="18" xfId="0" applyNumberFormat="1" applyFill="1" applyBorder="1" applyAlignment="1">
      <alignment horizontal="center"/>
    </xf>
    <xf numFmtId="167" fontId="0" fillId="7" borderId="18" xfId="0" applyNumberFormat="1" applyFill="1" applyBorder="1"/>
    <xf numFmtId="169" fontId="9" fillId="7" borderId="18" xfId="0" applyNumberFormat="1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68" fontId="0" fillId="7" borderId="18" xfId="0" applyNumberFormat="1" applyFill="1" applyBorder="1"/>
    <xf numFmtId="165" fontId="0" fillId="7" borderId="18" xfId="0" applyNumberFormat="1" applyFill="1" applyBorder="1" applyAlignment="1">
      <alignment horizontal="right"/>
    </xf>
    <xf numFmtId="2" fontId="0" fillId="0" borderId="0" xfId="0" applyNumberFormat="1"/>
    <xf numFmtId="0" fontId="16" fillId="0" borderId="0" xfId="0" applyFont="1"/>
    <xf numFmtId="0" fontId="3" fillId="0" borderId="0" xfId="0" applyFont="1" applyAlignment="1">
      <alignment horizontal="left"/>
    </xf>
    <xf numFmtId="172" fontId="0" fillId="0" borderId="0" xfId="0" applyNumberFormat="1"/>
    <xf numFmtId="1" fontId="0" fillId="0" borderId="0" xfId="0" applyNumberFormat="1"/>
    <xf numFmtId="0" fontId="0" fillId="8" borderId="0" xfId="0" applyFill="1" applyAlignment="1">
      <alignment horizontal="center"/>
    </xf>
    <xf numFmtId="0" fontId="0" fillId="6" borderId="18" xfId="0" applyFill="1" applyBorder="1" applyProtection="1">
      <protection locked="0"/>
    </xf>
    <xf numFmtId="0" fontId="0" fillId="6" borderId="18" xfId="0" applyFill="1" applyBorder="1" applyAlignment="1" applyProtection="1">
      <alignment horizontal="center"/>
      <protection locked="0"/>
    </xf>
    <xf numFmtId="0" fontId="0" fillId="9" borderId="0" xfId="0" applyFill="1"/>
    <xf numFmtId="0" fontId="0" fillId="10" borderId="0" xfId="0" applyFill="1"/>
    <xf numFmtId="0" fontId="0" fillId="8" borderId="0" xfId="0" applyFill="1"/>
    <xf numFmtId="168" fontId="0" fillId="0" borderId="0" xfId="0" applyNumberFormat="1"/>
    <xf numFmtId="168" fontId="0" fillId="0" borderId="0" xfId="0" applyNumberFormat="1" applyAlignment="1">
      <alignment horizontal="center"/>
    </xf>
    <xf numFmtId="164" fontId="0" fillId="7" borderId="18" xfId="0" applyNumberFormat="1" applyFill="1" applyBorder="1" applyAlignment="1">
      <alignment horizontal="right"/>
    </xf>
    <xf numFmtId="0" fontId="9" fillId="9" borderId="0" xfId="0" applyFont="1" applyFill="1"/>
    <xf numFmtId="0" fontId="0" fillId="2" borderId="0" xfId="0" applyFill="1" applyAlignment="1">
      <alignment horizontal="left"/>
    </xf>
    <xf numFmtId="15" fontId="9" fillId="9" borderId="0" xfId="0" applyNumberFormat="1" applyFont="1" applyFill="1" applyAlignment="1">
      <alignment horizontal="left"/>
    </xf>
    <xf numFmtId="0" fontId="9" fillId="6" borderId="0" xfId="0" applyFont="1" applyFill="1" applyBorder="1" applyAlignment="1">
      <alignment horizontal="center"/>
    </xf>
    <xf numFmtId="0" fontId="0" fillId="6" borderId="18" xfId="0" applyFill="1" applyBorder="1"/>
    <xf numFmtId="169" fontId="9" fillId="6" borderId="18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9" fillId="0" borderId="0" xfId="0" applyFont="1"/>
    <xf numFmtId="14" fontId="0" fillId="10" borderId="0" xfId="0" applyNumberFormat="1" applyFill="1"/>
    <xf numFmtId="14" fontId="1" fillId="11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>
      <alignment horizontal="center"/>
    </xf>
    <xf numFmtId="172" fontId="0" fillId="10" borderId="0" xfId="0" applyNumberFormat="1" applyFill="1"/>
    <xf numFmtId="1" fontId="0" fillId="10" borderId="0" xfId="0" applyNumberFormat="1" applyFill="1"/>
    <xf numFmtId="2" fontId="0" fillId="10" borderId="0" xfId="0" applyNumberFormat="1" applyFill="1"/>
    <xf numFmtId="0" fontId="0" fillId="0" borderId="22" xfId="0" applyBorder="1" applyAlignment="1">
      <alignment horizontal="center"/>
    </xf>
    <xf numFmtId="0" fontId="0" fillId="0" borderId="23" xfId="0" applyBorder="1"/>
    <xf numFmtId="0" fontId="4" fillId="0" borderId="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/>
    <xf numFmtId="0" fontId="0" fillId="9" borderId="27" xfId="0" applyFill="1" applyBorder="1" applyAlignment="1">
      <alignment horizontal="center"/>
    </xf>
    <xf numFmtId="14" fontId="2" fillId="0" borderId="0" xfId="3" applyNumberFormat="1"/>
    <xf numFmtId="0" fontId="2" fillId="0" borderId="0" xfId="3"/>
    <xf numFmtId="0" fontId="0" fillId="0" borderId="25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Border="1"/>
    <xf numFmtId="0" fontId="0" fillId="9" borderId="2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166" fontId="0" fillId="0" borderId="0" xfId="0" applyNumberFormat="1" applyFill="1" applyBorder="1"/>
    <xf numFmtId="166" fontId="0" fillId="8" borderId="0" xfId="0" applyNumberFormat="1" applyFill="1"/>
    <xf numFmtId="16" fontId="0" fillId="0" borderId="0" xfId="0" quotePrefix="1" applyNumberFormat="1"/>
    <xf numFmtId="0" fontId="0" fillId="0" borderId="0" xfId="0" quotePrefix="1" applyAlignment="1">
      <alignment horizontal="center"/>
    </xf>
    <xf numFmtId="169" fontId="0" fillId="8" borderId="0" xfId="0" applyNumberFormat="1" applyFill="1" applyAlignment="1">
      <alignment horizontal="center"/>
    </xf>
    <xf numFmtId="172" fontId="0" fillId="8" borderId="0" xfId="0" applyNumberFormat="1" applyFill="1" applyAlignment="1">
      <alignment horizontal="center"/>
    </xf>
    <xf numFmtId="182" fontId="0" fillId="0" borderId="0" xfId="0" applyNumberFormat="1"/>
    <xf numFmtId="169" fontId="0" fillId="0" borderId="0" xfId="0" applyNumberFormat="1"/>
    <xf numFmtId="170" fontId="12" fillId="0" borderId="0" xfId="0" applyNumberFormat="1" applyFont="1" applyProtection="1"/>
    <xf numFmtId="170" fontId="12" fillId="0" borderId="0" xfId="0" applyNumberFormat="1" applyFont="1" applyFill="1" applyProtection="1"/>
    <xf numFmtId="170" fontId="21" fillId="0" borderId="0" xfId="0" applyNumberFormat="1" applyFont="1" applyProtection="1"/>
    <xf numFmtId="0" fontId="5" fillId="10" borderId="0" xfId="2" applyFont="1" applyFill="1"/>
    <xf numFmtId="172" fontId="15" fillId="0" borderId="0" xfId="0" applyNumberFormat="1" applyFont="1" applyFill="1" applyProtection="1"/>
    <xf numFmtId="175" fontId="0" fillId="0" borderId="0" xfId="0" applyNumberFormat="1" applyFill="1" applyProtection="1"/>
    <xf numFmtId="0" fontId="2" fillId="0" borderId="0" xfId="2"/>
    <xf numFmtId="174" fontId="0" fillId="0" borderId="0" xfId="0" applyNumberFormat="1" applyFill="1" applyProtection="1"/>
    <xf numFmtId="0" fontId="2" fillId="10" borderId="0" xfId="2" applyFill="1"/>
    <xf numFmtId="1" fontId="15" fillId="0" borderId="0" xfId="0" applyNumberFormat="1" applyFont="1" applyFill="1" applyProtection="1"/>
    <xf numFmtId="178" fontId="22" fillId="0" borderId="0" xfId="0" applyNumberFormat="1" applyFont="1" applyFill="1" applyProtection="1"/>
    <xf numFmtId="0" fontId="2" fillId="10" borderId="0" xfId="2" applyFont="1" applyFill="1"/>
    <xf numFmtId="177" fontId="0" fillId="0" borderId="0" xfId="0" applyNumberFormat="1" applyFill="1" applyProtection="1"/>
    <xf numFmtId="176" fontId="0" fillId="0" borderId="31" xfId="0" applyNumberFormat="1" applyFill="1" applyBorder="1" applyProtection="1"/>
    <xf numFmtId="177" fontId="0" fillId="0" borderId="32" xfId="0" applyNumberFormat="1" applyFill="1" applyBorder="1" applyProtection="1"/>
    <xf numFmtId="176" fontId="0" fillId="0" borderId="33" xfId="0" applyNumberFormat="1" applyFill="1" applyBorder="1" applyProtection="1"/>
    <xf numFmtId="170" fontId="12" fillId="0" borderId="0" xfId="2" applyNumberFormat="1" applyFont="1" applyProtection="1"/>
    <xf numFmtId="170" fontId="12" fillId="0" borderId="0" xfId="2" applyNumberFormat="1" applyFont="1" applyFill="1" applyProtection="1"/>
    <xf numFmtId="170" fontId="21" fillId="0" borderId="0" xfId="2" applyNumberFormat="1" applyFont="1" applyProtection="1"/>
    <xf numFmtId="170" fontId="10" fillId="0" borderId="0" xfId="2" applyNumberFormat="1" applyFont="1" applyProtection="1"/>
    <xf numFmtId="179" fontId="0" fillId="0" borderId="0" xfId="0" applyNumberFormat="1" applyFill="1" applyProtection="1"/>
    <xf numFmtId="180" fontId="0" fillId="0" borderId="0" xfId="0" applyNumberFormat="1" applyFill="1" applyProtection="1"/>
    <xf numFmtId="0" fontId="0" fillId="0" borderId="0" xfId="0" applyFill="1"/>
    <xf numFmtId="182" fontId="0" fillId="12" borderId="0" xfId="0" applyNumberFormat="1" applyFill="1"/>
    <xf numFmtId="2" fontId="0" fillId="12" borderId="0" xfId="0" applyNumberFormat="1" applyFill="1"/>
    <xf numFmtId="176" fontId="0" fillId="0" borderId="0" xfId="0" applyNumberFormat="1" applyFill="1" applyProtection="1"/>
    <xf numFmtId="181" fontId="22" fillId="0" borderId="0" xfId="0" applyNumberFormat="1" applyFont="1" applyFill="1" applyProtection="1"/>
    <xf numFmtId="174" fontId="0" fillId="0" borderId="32" xfId="0" applyNumberFormat="1" applyFill="1" applyBorder="1" applyProtection="1"/>
    <xf numFmtId="177" fontId="0" fillId="0" borderId="33" xfId="0" applyNumberFormat="1" applyFill="1" applyBorder="1" applyProtection="1"/>
    <xf numFmtId="11" fontId="0" fillId="0" borderId="0" xfId="0" applyNumberFormat="1" applyFill="1"/>
    <xf numFmtId="180" fontId="22" fillId="0" borderId="0" xfId="0" applyNumberFormat="1" applyFont="1" applyFill="1" applyProtection="1"/>
    <xf numFmtId="173" fontId="10" fillId="0" borderId="0" xfId="0" applyNumberFormat="1" applyFont="1" applyFill="1" applyAlignment="1" applyProtection="1">
      <alignment horizontal="left"/>
    </xf>
    <xf numFmtId="170" fontId="10" fillId="0" borderId="0" xfId="0" applyNumberFormat="1" applyFont="1" applyFill="1" applyAlignment="1" applyProtection="1">
      <alignment horizontal="left"/>
    </xf>
    <xf numFmtId="170" fontId="10" fillId="0" borderId="12" xfId="0" applyNumberFormat="1" applyFont="1" applyFill="1" applyBorder="1" applyAlignment="1" applyProtection="1">
      <alignment horizontal="center"/>
    </xf>
    <xf numFmtId="170" fontId="10" fillId="0" borderId="13" xfId="0" applyNumberFormat="1" applyFont="1" applyFill="1" applyBorder="1" applyAlignment="1" applyProtection="1">
      <alignment horizontal="center"/>
    </xf>
    <xf numFmtId="170" fontId="10" fillId="0" borderId="14" xfId="0" applyNumberFormat="1" applyFont="1" applyFill="1" applyBorder="1" applyAlignment="1" applyProtection="1">
      <alignment horizontal="center"/>
    </xf>
    <xf numFmtId="178" fontId="0" fillId="0" borderId="33" xfId="0" applyNumberFormat="1" applyFill="1" applyBorder="1" applyProtection="1"/>
    <xf numFmtId="167" fontId="0" fillId="0" borderId="0" xfId="0" applyNumberFormat="1" applyFill="1"/>
    <xf numFmtId="172" fontId="5" fillId="0" borderId="0" xfId="0" applyNumberFormat="1" applyFont="1"/>
    <xf numFmtId="168" fontId="5" fillId="0" borderId="0" xfId="0" applyNumberFormat="1" applyFont="1"/>
    <xf numFmtId="183" fontId="0" fillId="0" borderId="0" xfId="0" applyNumberFormat="1"/>
    <xf numFmtId="0" fontId="2" fillId="0" borderId="0" xfId="2" applyFont="1"/>
    <xf numFmtId="0" fontId="23" fillId="0" borderId="19" xfId="0" applyFont="1" applyBorder="1" applyAlignment="1">
      <alignment horizontal="center"/>
    </xf>
    <xf numFmtId="172" fontId="23" fillId="0" borderId="19" xfId="0" applyNumberFormat="1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172" fontId="23" fillId="0" borderId="21" xfId="0" applyNumberFormat="1" applyFont="1" applyBorder="1" applyAlignment="1">
      <alignment horizontal="center"/>
    </xf>
    <xf numFmtId="167" fontId="23" fillId="0" borderId="19" xfId="0" applyNumberFormat="1" applyFont="1" applyBorder="1" applyAlignment="1">
      <alignment horizontal="center"/>
    </xf>
    <xf numFmtId="165" fontId="23" fillId="0" borderId="19" xfId="0" applyNumberFormat="1" applyFont="1" applyBorder="1" applyAlignment="1">
      <alignment horizontal="center"/>
    </xf>
    <xf numFmtId="0" fontId="2" fillId="0" borderId="0" xfId="0" applyFont="1"/>
    <xf numFmtId="0" fontId="2" fillId="4" borderId="1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0" borderId="0" xfId="0" applyFont="1" applyFill="1"/>
    <xf numFmtId="0" fontId="2" fillId="8" borderId="0" xfId="0" applyFont="1" applyFill="1" applyAlignment="1">
      <alignment horizontal="center"/>
    </xf>
    <xf numFmtId="172" fontId="0" fillId="13" borderId="0" xfId="0" applyNumberFormat="1" applyFill="1" applyAlignment="1">
      <alignment horizontal="center"/>
    </xf>
    <xf numFmtId="167" fontId="0" fillId="13" borderId="0" xfId="0" applyNumberFormat="1" applyFill="1" applyAlignment="1">
      <alignment horizontal="center"/>
    </xf>
    <xf numFmtId="0" fontId="1" fillId="0" borderId="0" xfId="0" applyFont="1"/>
    <xf numFmtId="22" fontId="0" fillId="0" borderId="0" xfId="0" applyNumberFormat="1"/>
    <xf numFmtId="0" fontId="2" fillId="9" borderId="0" xfId="0" applyFont="1" applyFill="1"/>
    <xf numFmtId="0" fontId="2" fillId="6" borderId="18" xfId="0" applyFont="1" applyFill="1" applyBorder="1" applyAlignment="1" applyProtection="1">
      <alignment horizontal="center"/>
      <protection locked="0"/>
    </xf>
    <xf numFmtId="0" fontId="2" fillId="0" borderId="25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0" borderId="35" xfId="0" applyFont="1" applyBorder="1" applyAlignment="1">
      <alignment horizontal="center"/>
    </xf>
    <xf numFmtId="0" fontId="24" fillId="0" borderId="19" xfId="0" applyFont="1" applyBorder="1" applyAlignment="1">
      <alignment horizontal="center"/>
    </xf>
    <xf numFmtId="0" fontId="24" fillId="0" borderId="21" xfId="0" applyFont="1" applyBorder="1" applyAlignment="1">
      <alignment horizontal="center"/>
    </xf>
    <xf numFmtId="0" fontId="24" fillId="0" borderId="19" xfId="0" applyFont="1" applyBorder="1"/>
    <xf numFmtId="0" fontId="24" fillId="0" borderId="36" xfId="0" applyFont="1" applyBorder="1" applyAlignment="1">
      <alignment horizontal="center"/>
    </xf>
    <xf numFmtId="0" fontId="24" fillId="0" borderId="0" xfId="0" applyFont="1" applyBorder="1"/>
    <xf numFmtId="172" fontId="24" fillId="0" borderId="19" xfId="0" applyNumberFormat="1" applyFont="1" applyBorder="1" applyAlignment="1">
      <alignment horizontal="center"/>
    </xf>
    <xf numFmtId="167" fontId="24" fillId="0" borderId="19" xfId="0" applyNumberFormat="1" applyFont="1" applyBorder="1" applyAlignment="1">
      <alignment horizontal="center"/>
    </xf>
    <xf numFmtId="2" fontId="24" fillId="0" borderId="19" xfId="0" applyNumberFormat="1" applyFont="1" applyBorder="1" applyAlignment="1">
      <alignment horizontal="center"/>
    </xf>
    <xf numFmtId="164" fontId="24" fillId="0" borderId="19" xfId="0" applyNumberFormat="1" applyFont="1" applyBorder="1" applyAlignment="1">
      <alignment horizontal="center"/>
    </xf>
    <xf numFmtId="168" fontId="24" fillId="0" borderId="19" xfId="0" applyNumberFormat="1" applyFont="1" applyBorder="1" applyAlignment="1">
      <alignment horizontal="center"/>
    </xf>
    <xf numFmtId="165" fontId="24" fillId="0" borderId="19" xfId="0" applyNumberFormat="1" applyFont="1" applyBorder="1" applyAlignment="1">
      <alignment horizontal="center"/>
    </xf>
    <xf numFmtId="164" fontId="24" fillId="0" borderId="36" xfId="0" applyNumberFormat="1" applyFont="1" applyBorder="1" applyAlignment="1">
      <alignment horizontal="center"/>
    </xf>
    <xf numFmtId="172" fontId="24" fillId="0" borderId="36" xfId="0" applyNumberFormat="1" applyFont="1" applyBorder="1" applyAlignment="1">
      <alignment horizontal="center"/>
    </xf>
    <xf numFmtId="172" fontId="24" fillId="0" borderId="35" xfId="0" applyNumberFormat="1" applyFont="1" applyBorder="1" applyAlignment="1">
      <alignment horizontal="center"/>
    </xf>
    <xf numFmtId="172" fontId="24" fillId="0" borderId="21" xfId="0" applyNumberFormat="1" applyFont="1" applyBorder="1" applyAlignment="1">
      <alignment horizontal="center"/>
    </xf>
    <xf numFmtId="172" fontId="24" fillId="0" borderId="19" xfId="0" applyNumberFormat="1" applyFont="1" applyBorder="1"/>
    <xf numFmtId="2" fontId="24" fillId="0" borderId="36" xfId="0" applyNumberFormat="1" applyFont="1" applyBorder="1" applyAlignment="1">
      <alignment horizontal="center"/>
    </xf>
    <xf numFmtId="167" fontId="24" fillId="0" borderId="36" xfId="0" applyNumberFormat="1" applyFont="1" applyBorder="1" applyAlignment="1">
      <alignment horizontal="center"/>
    </xf>
    <xf numFmtId="167" fontId="24" fillId="0" borderId="19" xfId="0" applyNumberFormat="1" applyFont="1" applyBorder="1"/>
    <xf numFmtId="172" fontId="24" fillId="0" borderId="24" xfId="0" applyNumberFormat="1" applyFont="1" applyBorder="1" applyAlignment="1">
      <alignment horizontal="center"/>
    </xf>
    <xf numFmtId="172" fontId="24" fillId="0" borderId="27" xfId="0" applyNumberFormat="1" applyFont="1" applyBorder="1" applyAlignment="1">
      <alignment horizontal="center"/>
    </xf>
    <xf numFmtId="172" fontId="24" fillId="0" borderId="37" xfId="0" applyNumberFormat="1" applyFont="1" applyBorder="1" applyAlignment="1">
      <alignment horizontal="center"/>
    </xf>
    <xf numFmtId="172" fontId="24" fillId="0" borderId="27" xfId="0" applyNumberFormat="1" applyFont="1" applyBorder="1"/>
    <xf numFmtId="172" fontId="24" fillId="0" borderId="30" xfId="0" applyNumberFormat="1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35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172" fontId="23" fillId="0" borderId="27" xfId="0" applyNumberFormat="1" applyFont="1" applyBorder="1" applyAlignment="1">
      <alignment horizontal="center"/>
    </xf>
    <xf numFmtId="0" fontId="23" fillId="0" borderId="34" xfId="0" applyFont="1" applyBorder="1" applyAlignment="1">
      <alignment horizontal="center"/>
    </xf>
    <xf numFmtId="172" fontId="23" fillId="0" borderId="37" xfId="0" applyNumberFormat="1" applyFont="1" applyBorder="1" applyAlignment="1">
      <alignment horizontal="center"/>
    </xf>
    <xf numFmtId="2" fontId="23" fillId="0" borderId="19" xfId="0" applyNumberFormat="1" applyFont="1" applyBorder="1" applyAlignment="1">
      <alignment horizontal="center"/>
    </xf>
    <xf numFmtId="0" fontId="23" fillId="0" borderId="19" xfId="0" applyFont="1" applyBorder="1"/>
    <xf numFmtId="172" fontId="23" fillId="0" borderId="19" xfId="0" applyNumberFormat="1" applyFont="1" applyBorder="1"/>
    <xf numFmtId="172" fontId="23" fillId="0" borderId="27" xfId="0" applyNumberFormat="1" applyFont="1" applyBorder="1"/>
    <xf numFmtId="164" fontId="23" fillId="0" borderId="19" xfId="0" applyNumberFormat="1" applyFont="1" applyBorder="1" applyAlignment="1">
      <alignment horizontal="center"/>
    </xf>
    <xf numFmtId="168" fontId="23" fillId="0" borderId="19" xfId="0" applyNumberFormat="1" applyFont="1" applyBorder="1" applyAlignment="1">
      <alignment horizontal="center"/>
    </xf>
    <xf numFmtId="167" fontId="23" fillId="0" borderId="19" xfId="0" applyNumberFormat="1" applyFont="1" applyBorder="1"/>
    <xf numFmtId="0" fontId="23" fillId="0" borderId="6" xfId="0" applyFont="1" applyBorder="1" applyAlignment="1">
      <alignment horizontal="center"/>
    </xf>
    <xf numFmtId="0" fontId="23" fillId="0" borderId="36" xfId="0" applyFont="1" applyBorder="1" applyAlignment="1">
      <alignment horizontal="center"/>
    </xf>
    <xf numFmtId="164" fontId="23" fillId="0" borderId="36" xfId="0" applyNumberFormat="1" applyFont="1" applyBorder="1" applyAlignment="1">
      <alignment horizontal="center"/>
    </xf>
    <xf numFmtId="172" fontId="23" fillId="0" borderId="36" xfId="0" applyNumberFormat="1" applyFont="1" applyBorder="1" applyAlignment="1">
      <alignment horizontal="center"/>
    </xf>
    <xf numFmtId="2" fontId="23" fillId="0" borderId="36" xfId="0" applyNumberFormat="1" applyFont="1" applyBorder="1" applyAlignment="1">
      <alignment horizontal="center"/>
    </xf>
    <xf numFmtId="172" fontId="23" fillId="0" borderId="30" xfId="0" applyNumberFormat="1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Border="1"/>
    <xf numFmtId="0" fontId="9" fillId="15" borderId="0" xfId="0" applyFont="1" applyFill="1" applyBorder="1" applyAlignment="1">
      <alignment horizontal="center"/>
    </xf>
    <xf numFmtId="0" fontId="9" fillId="14" borderId="0" xfId="0" applyFont="1" applyFill="1" applyBorder="1" applyAlignment="1">
      <alignment horizontal="center"/>
    </xf>
    <xf numFmtId="0" fontId="25" fillId="0" borderId="0" xfId="0" applyFont="1"/>
    <xf numFmtId="0" fontId="9" fillId="16" borderId="0" xfId="0" applyFont="1" applyFill="1" applyBorder="1" applyAlignment="1">
      <alignment horizontal="center"/>
    </xf>
    <xf numFmtId="164" fontId="0" fillId="7" borderId="18" xfId="0" applyNumberFormat="1" applyFill="1" applyBorder="1"/>
    <xf numFmtId="2" fontId="15" fillId="0" borderId="0" xfId="0" applyNumberFormat="1" applyFont="1" applyFill="1" applyProtection="1"/>
    <xf numFmtId="172" fontId="28" fillId="0" borderId="35" xfId="0" applyNumberFormat="1" applyFont="1" applyBorder="1" applyAlignment="1">
      <alignment horizontal="center"/>
    </xf>
    <xf numFmtId="172" fontId="28" fillId="0" borderId="24" xfId="0" applyNumberFormat="1" applyFont="1" applyBorder="1" applyAlignment="1">
      <alignment horizontal="center"/>
    </xf>
    <xf numFmtId="14" fontId="2" fillId="0" borderId="0" xfId="0" applyNumberFormat="1" applyFont="1"/>
    <xf numFmtId="168" fontId="2" fillId="0" borderId="0" xfId="0" applyNumberFormat="1" applyFont="1"/>
    <xf numFmtId="167" fontId="2" fillId="0" borderId="0" xfId="0" applyNumberFormat="1" applyFont="1"/>
    <xf numFmtId="2" fontId="2" fillId="0" borderId="0" xfId="0" applyNumberFormat="1" applyFont="1"/>
    <xf numFmtId="0" fontId="25" fillId="0" borderId="0" xfId="0" applyFont="1" applyAlignment="1">
      <alignment horizontal="center"/>
    </xf>
    <xf numFmtId="11" fontId="0" fillId="0" borderId="0" xfId="0" applyNumberFormat="1"/>
    <xf numFmtId="0" fontId="0" fillId="17" borderId="0" xfId="0" applyFill="1"/>
    <xf numFmtId="0" fontId="2" fillId="17" borderId="0" xfId="0" applyFont="1" applyFill="1"/>
    <xf numFmtId="0" fontId="16" fillId="0" borderId="1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172" fontId="16" fillId="0" borderId="35" xfId="0" applyNumberFormat="1" applyFont="1" applyBorder="1" applyAlignment="1">
      <alignment horizontal="center"/>
    </xf>
    <xf numFmtId="172" fontId="16" fillId="0" borderId="24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172" fontId="16" fillId="0" borderId="19" xfId="0" applyNumberFormat="1" applyFont="1" applyBorder="1" applyAlignment="1">
      <alignment horizontal="center"/>
    </xf>
    <xf numFmtId="172" fontId="16" fillId="0" borderId="27" xfId="0" applyNumberFormat="1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172" fontId="16" fillId="0" borderId="21" xfId="0" applyNumberFormat="1" applyFont="1" applyBorder="1" applyAlignment="1">
      <alignment horizontal="center"/>
    </xf>
    <xf numFmtId="172" fontId="16" fillId="0" borderId="37" xfId="0" applyNumberFormat="1" applyFont="1" applyBorder="1" applyAlignment="1">
      <alignment horizontal="center"/>
    </xf>
    <xf numFmtId="167" fontId="16" fillId="0" borderId="19" xfId="0" applyNumberFormat="1" applyFont="1" applyBorder="1" applyAlignment="1">
      <alignment horizontal="center"/>
    </xf>
    <xf numFmtId="0" fontId="16" fillId="0" borderId="19" xfId="0" applyFont="1" applyBorder="1"/>
    <xf numFmtId="172" fontId="16" fillId="0" borderId="19" xfId="0" applyNumberFormat="1" applyFont="1" applyBorder="1"/>
    <xf numFmtId="172" fontId="16" fillId="0" borderId="27" xfId="0" applyNumberFormat="1" applyFont="1" applyBorder="1"/>
    <xf numFmtId="2" fontId="16" fillId="0" borderId="19" xfId="0" applyNumberFormat="1" applyFont="1" applyBorder="1" applyAlignment="1">
      <alignment horizontal="center"/>
    </xf>
    <xf numFmtId="164" fontId="16" fillId="0" borderId="19" xfId="0" applyNumberFormat="1" applyFont="1" applyBorder="1" applyAlignment="1">
      <alignment horizontal="center"/>
    </xf>
    <xf numFmtId="168" fontId="16" fillId="0" borderId="19" xfId="0" applyNumberFormat="1" applyFont="1" applyBorder="1" applyAlignment="1">
      <alignment horizontal="center"/>
    </xf>
    <xf numFmtId="165" fontId="16" fillId="0" borderId="19" xfId="0" applyNumberFormat="1" applyFont="1" applyBorder="1" applyAlignment="1">
      <alignment horizontal="center"/>
    </xf>
    <xf numFmtId="167" fontId="16" fillId="0" borderId="19" xfId="0" applyNumberFormat="1" applyFont="1" applyBorder="1"/>
    <xf numFmtId="0" fontId="16" fillId="0" borderId="6" xfId="0" applyFont="1" applyBorder="1" applyAlignment="1">
      <alignment horizontal="center"/>
    </xf>
    <xf numFmtId="0" fontId="16" fillId="0" borderId="36" xfId="0" applyFont="1" applyBorder="1" applyAlignment="1">
      <alignment horizontal="center"/>
    </xf>
    <xf numFmtId="164" fontId="16" fillId="0" borderId="36" xfId="0" applyNumberFormat="1" applyFont="1" applyBorder="1" applyAlignment="1">
      <alignment horizontal="center"/>
    </xf>
    <xf numFmtId="172" fontId="16" fillId="0" borderId="36" xfId="0" applyNumberFormat="1" applyFont="1" applyBorder="1" applyAlignment="1">
      <alignment horizontal="center"/>
    </xf>
    <xf numFmtId="2" fontId="16" fillId="0" borderId="36" xfId="0" applyNumberFormat="1" applyFont="1" applyBorder="1" applyAlignment="1">
      <alignment horizontal="center"/>
    </xf>
    <xf numFmtId="172" fontId="16" fillId="0" borderId="30" xfId="0" applyNumberFormat="1" applyFont="1" applyBorder="1" applyAlignment="1">
      <alignment horizontal="center"/>
    </xf>
    <xf numFmtId="167" fontId="16" fillId="0" borderId="36" xfId="0" applyNumberFormat="1" applyFont="1" applyBorder="1" applyAlignment="1">
      <alignment horizontal="center"/>
    </xf>
    <xf numFmtId="0" fontId="0" fillId="15" borderId="0" xfId="0" applyFill="1"/>
    <xf numFmtId="2" fontId="1" fillId="0" borderId="0" xfId="0" applyNumberFormat="1" applyFont="1"/>
    <xf numFmtId="0" fontId="2" fillId="0" borderId="23" xfId="0" applyFont="1" applyBorder="1" applyAlignment="1">
      <alignment horizontal="center"/>
    </xf>
    <xf numFmtId="170" fontId="8" fillId="0" borderId="1" xfId="0" applyNumberFormat="1" applyFont="1" applyBorder="1" applyAlignment="1" applyProtection="1">
      <alignment horizontal="center"/>
    </xf>
    <xf numFmtId="170" fontId="8" fillId="0" borderId="35" xfId="0" applyNumberFormat="1" applyFont="1" applyBorder="1" applyAlignment="1" applyProtection="1">
      <alignment horizontal="center"/>
    </xf>
    <xf numFmtId="0" fontId="8" fillId="0" borderId="35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170" fontId="8" fillId="0" borderId="4" xfId="0" applyNumberFormat="1" applyFont="1" applyBorder="1" applyAlignment="1" applyProtection="1">
      <alignment horizontal="center"/>
    </xf>
    <xf numFmtId="170" fontId="8" fillId="0" borderId="19" xfId="0" applyNumberFormat="1" applyFont="1" applyBorder="1" applyAlignment="1" applyProtection="1">
      <alignment horizontal="center"/>
    </xf>
    <xf numFmtId="0" fontId="8" fillId="0" borderId="19" xfId="0" applyFont="1" applyBorder="1" applyAlignment="1">
      <alignment horizontal="center"/>
    </xf>
    <xf numFmtId="177" fontId="8" fillId="0" borderId="19" xfId="0" applyNumberFormat="1" applyFont="1" applyBorder="1" applyAlignment="1" applyProtection="1">
      <alignment horizontal="center"/>
    </xf>
    <xf numFmtId="0" fontId="8" fillId="0" borderId="27" xfId="0" applyFont="1" applyBorder="1" applyAlignment="1">
      <alignment horizontal="center"/>
    </xf>
    <xf numFmtId="170" fontId="8" fillId="0" borderId="40" xfId="0" applyNumberFormat="1" applyFont="1" applyBorder="1" applyAlignment="1" applyProtection="1">
      <alignment horizontal="center"/>
    </xf>
    <xf numFmtId="177" fontId="8" fillId="0" borderId="41" xfId="0" applyNumberFormat="1" applyFont="1" applyBorder="1" applyAlignment="1">
      <alignment horizontal="center"/>
    </xf>
    <xf numFmtId="167" fontId="8" fillId="0" borderId="41" xfId="0" applyNumberFormat="1" applyFont="1" applyBorder="1" applyAlignment="1" applyProtection="1">
      <alignment horizontal="center"/>
    </xf>
    <xf numFmtId="167" fontId="8" fillId="0" borderId="41" xfId="0" applyNumberFormat="1" applyFont="1" applyBorder="1" applyAlignment="1">
      <alignment horizontal="center"/>
    </xf>
    <xf numFmtId="2" fontId="8" fillId="0" borderId="42" xfId="0" applyNumberFormat="1" applyFont="1" applyBorder="1" applyAlignment="1">
      <alignment horizontal="center"/>
    </xf>
    <xf numFmtId="177" fontId="8" fillId="0" borderId="19" xfId="0" applyNumberFormat="1" applyFont="1" applyBorder="1" applyAlignment="1">
      <alignment horizontal="center"/>
    </xf>
    <xf numFmtId="167" fontId="8" fillId="0" borderId="19" xfId="0" applyNumberFormat="1" applyFont="1" applyBorder="1" applyAlignment="1" applyProtection="1">
      <alignment horizontal="center"/>
    </xf>
    <xf numFmtId="167" fontId="8" fillId="0" borderId="19" xfId="0" applyNumberFormat="1" applyFont="1" applyBorder="1" applyAlignment="1">
      <alignment horizontal="center"/>
    </xf>
    <xf numFmtId="2" fontId="8" fillId="0" borderId="27" xfId="0" applyNumberFormat="1" applyFont="1" applyBorder="1" applyAlignment="1">
      <alignment horizontal="center"/>
    </xf>
    <xf numFmtId="2" fontId="8" fillId="0" borderId="19" xfId="0" applyNumberFormat="1" applyFont="1" applyBorder="1" applyAlignment="1" applyProtection="1">
      <alignment horizontal="center"/>
    </xf>
    <xf numFmtId="2" fontId="8" fillId="0" borderId="19" xfId="0" applyNumberFormat="1" applyFont="1" applyBorder="1" applyAlignment="1">
      <alignment horizontal="center"/>
    </xf>
    <xf numFmtId="170" fontId="8" fillId="0" borderId="6" xfId="0" applyNumberFormat="1" applyFont="1" applyBorder="1" applyAlignment="1" applyProtection="1">
      <alignment horizontal="center"/>
    </xf>
    <xf numFmtId="2" fontId="8" fillId="0" borderId="36" xfId="0" applyNumberFormat="1" applyFont="1" applyBorder="1" applyAlignment="1" applyProtection="1">
      <alignment horizontal="center"/>
    </xf>
    <xf numFmtId="177" fontId="8" fillId="0" borderId="36" xfId="0" applyNumberFormat="1" applyFont="1" applyBorder="1" applyAlignment="1">
      <alignment horizontal="center"/>
    </xf>
    <xf numFmtId="2" fontId="8" fillId="0" borderId="36" xfId="0" applyNumberFormat="1" applyFont="1" applyBorder="1" applyAlignment="1">
      <alignment horizontal="center"/>
    </xf>
    <xf numFmtId="2" fontId="8" fillId="0" borderId="30" xfId="0" applyNumberFormat="1" applyFont="1" applyBorder="1" applyAlignment="1">
      <alignment horizontal="center"/>
    </xf>
    <xf numFmtId="170" fontId="8" fillId="0" borderId="35" xfId="0" applyNumberFormat="1" applyFont="1" applyBorder="1" applyAlignment="1" applyProtection="1">
      <alignment horizontal="centerContinuous"/>
    </xf>
    <xf numFmtId="0" fontId="8" fillId="0" borderId="35" xfId="0" applyFont="1" applyBorder="1" applyAlignment="1">
      <alignment horizontal="centerContinuous"/>
    </xf>
    <xf numFmtId="170" fontId="8" fillId="0" borderId="20" xfId="0" applyNumberFormat="1" applyFont="1" applyBorder="1" applyAlignment="1" applyProtection="1">
      <alignment horizontal="center"/>
    </xf>
    <xf numFmtId="0" fontId="8" fillId="0" borderId="20" xfId="0" applyFont="1" applyBorder="1" applyAlignment="1">
      <alignment horizontal="center"/>
    </xf>
    <xf numFmtId="181" fontId="8" fillId="0" borderId="41" xfId="0" applyNumberFormat="1" applyFont="1" applyBorder="1" applyAlignment="1" applyProtection="1">
      <alignment horizontal="right"/>
    </xf>
    <xf numFmtId="181" fontId="7" fillId="0" borderId="43" xfId="0" applyNumberFormat="1" applyFont="1" applyBorder="1" applyAlignment="1" applyProtection="1">
      <alignment horizontal="center"/>
    </xf>
    <xf numFmtId="181" fontId="8" fillId="0" borderId="41" xfId="0" applyNumberFormat="1" applyFont="1" applyBorder="1" applyAlignment="1">
      <alignment horizontal="right"/>
    </xf>
    <xf numFmtId="181" fontId="7" fillId="0" borderId="43" xfId="0" applyNumberFormat="1" applyFont="1" applyBorder="1" applyAlignment="1">
      <alignment horizontal="center"/>
    </xf>
    <xf numFmtId="174" fontId="8" fillId="0" borderId="41" xfId="0" applyNumberFormat="1" applyFont="1" applyBorder="1" applyAlignment="1">
      <alignment horizontal="center"/>
    </xf>
    <xf numFmtId="172" fontId="8" fillId="0" borderId="42" xfId="0" applyNumberFormat="1" applyFont="1" applyBorder="1" applyAlignment="1">
      <alignment horizontal="center"/>
    </xf>
    <xf numFmtId="178" fontId="8" fillId="0" borderId="19" xfId="0" applyNumberFormat="1" applyFont="1" applyBorder="1" applyAlignment="1" applyProtection="1">
      <alignment horizontal="right"/>
    </xf>
    <xf numFmtId="178" fontId="8" fillId="0" borderId="20" xfId="0" applyNumberFormat="1" applyFont="1" applyBorder="1" applyAlignment="1" applyProtection="1">
      <alignment horizontal="center"/>
    </xf>
    <xf numFmtId="178" fontId="8" fillId="0" borderId="19" xfId="0" applyNumberFormat="1" applyFont="1" applyBorder="1" applyAlignment="1">
      <alignment horizontal="right"/>
    </xf>
    <xf numFmtId="178" fontId="8" fillId="0" borderId="20" xfId="0" applyNumberFormat="1" applyFont="1" applyBorder="1" applyAlignment="1">
      <alignment horizontal="center"/>
    </xf>
    <xf numFmtId="174" fontId="8" fillId="0" borderId="19" xfId="0" applyNumberFormat="1" applyFont="1" applyBorder="1" applyAlignment="1">
      <alignment horizontal="center"/>
    </xf>
    <xf numFmtId="172" fontId="8" fillId="0" borderId="27" xfId="0" applyNumberFormat="1" applyFont="1" applyBorder="1" applyAlignment="1">
      <alignment horizontal="center"/>
    </xf>
    <xf numFmtId="180" fontId="8" fillId="0" borderId="19" xfId="0" applyNumberFormat="1" applyFont="1" applyBorder="1" applyAlignment="1" applyProtection="1">
      <alignment horizontal="right"/>
    </xf>
    <xf numFmtId="180" fontId="8" fillId="0" borderId="20" xfId="0" applyNumberFormat="1" applyFont="1" applyBorder="1" applyAlignment="1" applyProtection="1">
      <alignment horizontal="center"/>
    </xf>
    <xf numFmtId="180" fontId="8" fillId="0" borderId="19" xfId="0" applyNumberFormat="1" applyFont="1" applyBorder="1" applyAlignment="1">
      <alignment horizontal="right"/>
    </xf>
    <xf numFmtId="180" fontId="8" fillId="0" borderId="20" xfId="0" applyNumberFormat="1" applyFont="1" applyBorder="1" applyAlignment="1">
      <alignment horizontal="center"/>
    </xf>
    <xf numFmtId="181" fontId="8" fillId="0" borderId="19" xfId="0" applyNumberFormat="1" applyFont="1" applyBorder="1" applyAlignment="1" applyProtection="1">
      <alignment horizontal="right"/>
    </xf>
    <xf numFmtId="181" fontId="8" fillId="0" borderId="20" xfId="0" applyNumberFormat="1" applyFont="1" applyBorder="1" applyAlignment="1" applyProtection="1">
      <alignment horizontal="center"/>
    </xf>
    <xf numFmtId="181" fontId="8" fillId="0" borderId="19" xfId="0" applyNumberFormat="1" applyFont="1" applyBorder="1" applyAlignment="1">
      <alignment horizontal="right"/>
    </xf>
    <xf numFmtId="181" fontId="8" fillId="0" borderId="20" xfId="0" applyNumberFormat="1" applyFont="1" applyBorder="1" applyAlignment="1">
      <alignment horizontal="center"/>
    </xf>
    <xf numFmtId="2" fontId="8" fillId="0" borderId="36" xfId="0" applyNumberFormat="1" applyFont="1" applyBorder="1" applyAlignment="1" applyProtection="1">
      <alignment horizontal="right"/>
    </xf>
    <xf numFmtId="2" fontId="8" fillId="0" borderId="44" xfId="0" applyNumberFormat="1" applyFont="1" applyBorder="1" applyAlignment="1" applyProtection="1">
      <alignment horizontal="center"/>
    </xf>
    <xf numFmtId="177" fontId="8" fillId="0" borderId="36" xfId="0" applyNumberFormat="1" applyFont="1" applyBorder="1" applyAlignment="1">
      <alignment horizontal="right"/>
    </xf>
    <xf numFmtId="177" fontId="8" fillId="0" borderId="44" xfId="0" applyNumberFormat="1" applyFont="1" applyBorder="1" applyAlignment="1">
      <alignment horizontal="center"/>
    </xf>
    <xf numFmtId="174" fontId="8" fillId="0" borderId="36" xfId="0" applyNumberFormat="1" applyFont="1" applyBorder="1" applyAlignment="1">
      <alignment horizontal="center"/>
    </xf>
    <xf numFmtId="172" fontId="8" fillId="0" borderId="30" xfId="0" applyNumberFormat="1" applyFont="1" applyBorder="1" applyAlignment="1">
      <alignment horizontal="center"/>
    </xf>
    <xf numFmtId="181" fontId="0" fillId="0" borderId="0" xfId="0" applyNumberFormat="1"/>
    <xf numFmtId="178" fontId="0" fillId="0" borderId="0" xfId="0" applyNumberFormat="1"/>
    <xf numFmtId="180" fontId="0" fillId="0" borderId="0" xfId="0" applyNumberFormat="1"/>
    <xf numFmtId="164" fontId="0" fillId="0" borderId="0" xfId="0" applyNumberFormat="1"/>
    <xf numFmtId="0" fontId="29" fillId="0" borderId="0" xfId="0" applyFont="1"/>
    <xf numFmtId="14" fontId="30" fillId="0" borderId="0" xfId="0" applyNumberFormat="1" applyFont="1" applyAlignment="1" applyProtection="1">
      <alignment horizontal="center"/>
      <protection locked="0"/>
    </xf>
    <xf numFmtId="0" fontId="31" fillId="0" borderId="0" xfId="0" applyFont="1"/>
    <xf numFmtId="0" fontId="32" fillId="0" borderId="1" xfId="0" applyFont="1" applyBorder="1" applyAlignment="1">
      <alignment horizontal="center"/>
    </xf>
    <xf numFmtId="0" fontId="32" fillId="0" borderId="35" xfId="0" applyFont="1" applyBorder="1" applyAlignment="1">
      <alignment horizontal="center"/>
    </xf>
    <xf numFmtId="172" fontId="33" fillId="0" borderId="35" xfId="0" applyNumberFormat="1" applyFont="1" applyBorder="1" applyAlignment="1">
      <alignment horizontal="center"/>
    </xf>
    <xf numFmtId="172" fontId="33" fillId="0" borderId="24" xfId="0" applyNumberFormat="1" applyFont="1" applyBorder="1" applyAlignment="1">
      <alignment horizontal="center"/>
    </xf>
    <xf numFmtId="172" fontId="33" fillId="0" borderId="19" xfId="0" applyNumberFormat="1" applyFont="1" applyBorder="1" applyAlignment="1">
      <alignment horizontal="center"/>
    </xf>
    <xf numFmtId="0" fontId="32" fillId="0" borderId="19" xfId="0" applyFont="1" applyFill="1" applyBorder="1" applyAlignment="1">
      <alignment horizontal="left" indent="1"/>
    </xf>
    <xf numFmtId="0" fontId="34" fillId="0" borderId="1" xfId="0" applyFont="1" applyBorder="1" applyAlignment="1">
      <alignment horizontal="center"/>
    </xf>
    <xf numFmtId="0" fontId="34" fillId="0" borderId="35" xfId="0" applyFont="1" applyBorder="1" applyAlignment="1">
      <alignment horizontal="center"/>
    </xf>
    <xf numFmtId="172" fontId="34" fillId="0" borderId="35" xfId="0" applyNumberFormat="1" applyFont="1" applyBorder="1" applyAlignment="1">
      <alignment horizontal="center"/>
    </xf>
    <xf numFmtId="172" fontId="34" fillId="0" borderId="24" xfId="0" applyNumberFormat="1" applyFont="1" applyBorder="1" applyAlignment="1">
      <alignment horizontal="center"/>
    </xf>
    <xf numFmtId="0" fontId="29" fillId="0" borderId="38" xfId="0" applyFont="1" applyBorder="1"/>
    <xf numFmtId="0" fontId="32" fillId="0" borderId="4" xfId="0" applyFont="1" applyBorder="1" applyAlignment="1">
      <alignment horizontal="center"/>
    </xf>
    <xf numFmtId="0" fontId="32" fillId="0" borderId="19" xfId="0" applyFont="1" applyBorder="1" applyAlignment="1">
      <alignment horizontal="center"/>
    </xf>
    <xf numFmtId="172" fontId="32" fillId="0" borderId="19" xfId="0" applyNumberFormat="1" applyFont="1" applyBorder="1" applyAlignment="1">
      <alignment horizontal="center"/>
    </xf>
    <xf numFmtId="172" fontId="32" fillId="0" borderId="27" xfId="0" applyNumberFormat="1" applyFont="1" applyBorder="1" applyAlignment="1">
      <alignment horizontal="center"/>
    </xf>
    <xf numFmtId="172" fontId="32" fillId="0" borderId="0" xfId="0" applyNumberFormat="1" applyFont="1" applyBorder="1" applyAlignment="1">
      <alignment horizontal="center"/>
    </xf>
    <xf numFmtId="0" fontId="34" fillId="0" borderId="4" xfId="0" applyFont="1" applyBorder="1" applyAlignment="1">
      <alignment horizontal="center"/>
    </xf>
    <xf numFmtId="0" fontId="34" fillId="0" borderId="19" xfId="0" applyFont="1" applyBorder="1" applyAlignment="1">
      <alignment horizontal="center"/>
    </xf>
    <xf numFmtId="172" fontId="34" fillId="0" borderId="19" xfId="0" applyNumberFormat="1" applyFont="1" applyBorder="1" applyAlignment="1">
      <alignment horizontal="center"/>
    </xf>
    <xf numFmtId="172" fontId="34" fillId="0" borderId="27" xfId="0" applyNumberFormat="1" applyFont="1" applyBorder="1" applyAlignment="1">
      <alignment horizontal="center"/>
    </xf>
    <xf numFmtId="0" fontId="34" fillId="0" borderId="39" xfId="0" applyFont="1" applyFill="1" applyBorder="1" applyAlignment="1">
      <alignment horizontal="center" vertical="top" wrapText="1"/>
    </xf>
    <xf numFmtId="0" fontId="34" fillId="0" borderId="38" xfId="0" applyFont="1" applyFill="1" applyBorder="1" applyAlignment="1">
      <alignment horizontal="center" vertical="top" wrapText="1"/>
    </xf>
    <xf numFmtId="0" fontId="35" fillId="0" borderId="38" xfId="0" applyFont="1" applyFill="1" applyBorder="1" applyAlignment="1">
      <alignment horizontal="center" vertical="top" wrapText="1"/>
    </xf>
    <xf numFmtId="0" fontId="32" fillId="0" borderId="34" xfId="0" applyFont="1" applyBorder="1" applyAlignment="1">
      <alignment horizontal="center"/>
    </xf>
    <xf numFmtId="0" fontId="32" fillId="0" borderId="21" xfId="0" applyFont="1" applyBorder="1" applyAlignment="1">
      <alignment horizontal="center"/>
    </xf>
    <xf numFmtId="172" fontId="32" fillId="0" borderId="21" xfId="0" applyNumberFormat="1" applyFont="1" applyBorder="1" applyAlignment="1">
      <alignment horizontal="center"/>
    </xf>
    <xf numFmtId="172" fontId="32" fillId="0" borderId="37" xfId="0" applyNumberFormat="1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4" fillId="0" borderId="21" xfId="0" applyFont="1" applyBorder="1" applyAlignment="1">
      <alignment horizontal="center"/>
    </xf>
    <xf numFmtId="172" fontId="34" fillId="0" borderId="21" xfId="0" applyNumberFormat="1" applyFont="1" applyBorder="1" applyAlignment="1">
      <alignment horizontal="center"/>
    </xf>
    <xf numFmtId="172" fontId="34" fillId="0" borderId="37" xfId="0" applyNumberFormat="1" applyFont="1" applyBorder="1" applyAlignment="1">
      <alignment horizontal="center"/>
    </xf>
    <xf numFmtId="0" fontId="34" fillId="0" borderId="0" xfId="0" applyFont="1" applyBorder="1" applyAlignment="1">
      <alignment horizontal="center"/>
    </xf>
    <xf numFmtId="187" fontId="34" fillId="0" borderId="0" xfId="0" applyNumberFormat="1" applyFont="1" applyBorder="1" applyAlignment="1">
      <alignment horizontal="right"/>
    </xf>
    <xf numFmtId="188" fontId="34" fillId="0" borderId="0" xfId="0" applyNumberFormat="1" applyFont="1" applyBorder="1" applyAlignment="1">
      <alignment horizontal="right"/>
    </xf>
    <xf numFmtId="172" fontId="34" fillId="0" borderId="0" xfId="0" applyNumberFormat="1" applyFont="1" applyBorder="1" applyAlignment="1">
      <alignment horizontal="center"/>
    </xf>
    <xf numFmtId="186" fontId="34" fillId="0" borderId="0" xfId="0" applyNumberFormat="1" applyFont="1" applyBorder="1" applyAlignment="1">
      <alignment horizontal="right"/>
    </xf>
    <xf numFmtId="164" fontId="32" fillId="0" borderId="19" xfId="0" applyNumberFormat="1" applyFont="1" applyBorder="1" applyAlignment="1">
      <alignment horizontal="center"/>
    </xf>
    <xf numFmtId="2" fontId="32" fillId="0" borderId="19" xfId="0" applyNumberFormat="1" applyFont="1" applyBorder="1" applyAlignment="1">
      <alignment horizontal="center"/>
    </xf>
    <xf numFmtId="172" fontId="29" fillId="0" borderId="0" xfId="0" applyNumberFormat="1" applyFont="1"/>
    <xf numFmtId="164" fontId="34" fillId="0" borderId="19" xfId="0" applyNumberFormat="1" applyFont="1" applyBorder="1" applyAlignment="1">
      <alignment horizontal="center"/>
    </xf>
    <xf numFmtId="2" fontId="34" fillId="0" borderId="19" xfId="0" applyNumberFormat="1" applyFont="1" applyBorder="1" applyAlignment="1">
      <alignment horizontal="center"/>
    </xf>
    <xf numFmtId="189" fontId="34" fillId="0" borderId="0" xfId="0" applyNumberFormat="1" applyFont="1" applyBorder="1" applyAlignment="1">
      <alignment horizontal="right"/>
    </xf>
    <xf numFmtId="185" fontId="34" fillId="0" borderId="0" xfId="0" applyNumberFormat="1" applyFont="1" applyBorder="1" applyAlignment="1">
      <alignment horizontal="right"/>
    </xf>
    <xf numFmtId="167" fontId="32" fillId="0" borderId="19" xfId="0" applyNumberFormat="1" applyFont="1" applyBorder="1" applyAlignment="1">
      <alignment horizontal="center"/>
    </xf>
    <xf numFmtId="167" fontId="34" fillId="0" borderId="19" xfId="0" applyNumberFormat="1" applyFont="1" applyBorder="1" applyAlignment="1">
      <alignment horizontal="center"/>
    </xf>
    <xf numFmtId="190" fontId="34" fillId="0" borderId="0" xfId="0" applyNumberFormat="1" applyFont="1" applyBorder="1" applyAlignment="1">
      <alignment horizontal="right"/>
    </xf>
    <xf numFmtId="168" fontId="32" fillId="0" borderId="19" xfId="0" applyNumberFormat="1" applyFont="1" applyBorder="1" applyAlignment="1">
      <alignment horizontal="center"/>
    </xf>
    <xf numFmtId="168" fontId="34" fillId="0" borderId="19" xfId="0" applyNumberFormat="1" applyFont="1" applyBorder="1" applyAlignment="1">
      <alignment horizontal="center"/>
    </xf>
    <xf numFmtId="184" fontId="34" fillId="0" borderId="0" xfId="0" applyNumberFormat="1" applyFont="1" applyBorder="1" applyAlignment="1">
      <alignment horizontal="right"/>
    </xf>
    <xf numFmtId="170" fontId="8" fillId="0" borderId="35" xfId="0" applyNumberFormat="1" applyFont="1" applyBorder="1" applyAlignment="1" applyProtection="1">
      <alignment horizontal="center"/>
    </xf>
    <xf numFmtId="0" fontId="8" fillId="0" borderId="35" xfId="0" applyFont="1" applyBorder="1" applyAlignment="1">
      <alignment horizontal="center"/>
    </xf>
    <xf numFmtId="181" fontId="7" fillId="0" borderId="48" xfId="0" applyNumberFormat="1" applyFont="1" applyBorder="1" applyAlignment="1" applyProtection="1">
      <alignment horizontal="left"/>
    </xf>
    <xf numFmtId="178" fontId="8" fillId="0" borderId="0" xfId="0" applyNumberFormat="1" applyFont="1" applyBorder="1" applyAlignment="1" applyProtection="1">
      <alignment horizontal="left"/>
    </xf>
    <xf numFmtId="180" fontId="8" fillId="0" borderId="0" xfId="0" applyNumberFormat="1" applyFont="1" applyBorder="1" applyAlignment="1" applyProtection="1">
      <alignment horizontal="left"/>
    </xf>
    <xf numFmtId="181" fontId="8" fillId="0" borderId="0" xfId="0" applyNumberFormat="1" applyFont="1" applyBorder="1" applyAlignment="1" applyProtection="1">
      <alignment horizontal="left"/>
    </xf>
    <xf numFmtId="2" fontId="8" fillId="0" borderId="7" xfId="0" applyNumberFormat="1" applyFont="1" applyBorder="1" applyAlignment="1" applyProtection="1">
      <alignment horizontal="left"/>
    </xf>
    <xf numFmtId="164" fontId="16" fillId="0" borderId="19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center"/>
    </xf>
    <xf numFmtId="172" fontId="16" fillId="0" borderId="26" xfId="0" applyNumberFormat="1" applyFont="1" applyBorder="1" applyAlignment="1">
      <alignment horizontal="center"/>
    </xf>
    <xf numFmtId="167" fontId="16" fillId="0" borderId="19" xfId="0" applyNumberFormat="1" applyFont="1" applyBorder="1" applyAlignment="1">
      <alignment horizontal="right"/>
    </xf>
    <xf numFmtId="167" fontId="16" fillId="0" borderId="0" xfId="0" applyNumberFormat="1" applyFont="1" applyBorder="1" applyAlignment="1">
      <alignment horizontal="center"/>
    </xf>
    <xf numFmtId="168" fontId="16" fillId="0" borderId="19" xfId="0" applyNumberFormat="1" applyFont="1" applyBorder="1" applyAlignment="1">
      <alignment horizontal="right"/>
    </xf>
    <xf numFmtId="168" fontId="16" fillId="0" borderId="0" xfId="0" applyNumberFormat="1" applyFont="1" applyBorder="1" applyAlignment="1">
      <alignment horizontal="center"/>
    </xf>
    <xf numFmtId="172" fontId="16" fillId="0" borderId="21" xfId="0" applyNumberFormat="1" applyFont="1" applyBorder="1" applyAlignment="1">
      <alignment horizontal="right"/>
    </xf>
    <xf numFmtId="168" fontId="16" fillId="0" borderId="38" xfId="0" applyNumberFormat="1" applyFont="1" applyBorder="1" applyAlignment="1">
      <alignment horizontal="center"/>
    </xf>
    <xf numFmtId="2" fontId="16" fillId="0" borderId="21" xfId="0" applyNumberFormat="1" applyFont="1" applyBorder="1" applyAlignment="1">
      <alignment horizontal="center"/>
    </xf>
    <xf numFmtId="167" fontId="16" fillId="0" borderId="21" xfId="0" applyNumberFormat="1" applyFont="1" applyBorder="1" applyAlignment="1">
      <alignment horizontal="center"/>
    </xf>
    <xf numFmtId="172" fontId="16" fillId="0" borderId="45" xfId="0" applyNumberFormat="1" applyFont="1" applyBorder="1" applyAlignment="1">
      <alignment horizontal="center"/>
    </xf>
    <xf numFmtId="22" fontId="0" fillId="15" borderId="0" xfId="0" applyNumberFormat="1" applyFill="1"/>
    <xf numFmtId="2" fontId="5" fillId="0" borderId="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15" fontId="2" fillId="9" borderId="0" xfId="0" applyNumberFormat="1" applyFont="1" applyFill="1" applyAlignment="1">
      <alignment horizontal="left"/>
    </xf>
    <xf numFmtId="0" fontId="0" fillId="9" borderId="0" xfId="0" applyFill="1" applyAlignment="1">
      <alignment horizontal="left"/>
    </xf>
    <xf numFmtId="0" fontId="2" fillId="4" borderId="15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6" borderId="50" xfId="0" applyFill="1" applyBorder="1"/>
    <xf numFmtId="0" fontId="2" fillId="18" borderId="18" xfId="0" applyFont="1" applyFill="1" applyBorder="1"/>
    <xf numFmtId="169" fontId="2" fillId="6" borderId="18" xfId="0" applyNumberFormat="1" applyFont="1" applyFill="1" applyBorder="1" applyAlignment="1">
      <alignment horizontal="center"/>
    </xf>
    <xf numFmtId="0" fontId="2" fillId="6" borderId="50" xfId="0" applyFont="1" applyFill="1" applyBorder="1" applyAlignment="1">
      <alignment horizontal="center"/>
    </xf>
    <xf numFmtId="0" fontId="0" fillId="18" borderId="18" xfId="0" applyFill="1" applyBorder="1"/>
    <xf numFmtId="191" fontId="0" fillId="6" borderId="18" xfId="0" applyNumberFormat="1" applyFill="1" applyBorder="1" applyProtection="1">
      <protection locked="0"/>
    </xf>
    <xf numFmtId="11" fontId="0" fillId="18" borderId="18" xfId="0" applyNumberFormat="1" applyFill="1" applyBorder="1"/>
    <xf numFmtId="1" fontId="0" fillId="18" borderId="18" xfId="0" applyNumberFormat="1" applyFill="1" applyBorder="1" applyAlignment="1">
      <alignment horizontal="center"/>
    </xf>
    <xf numFmtId="0" fontId="0" fillId="6" borderId="18" xfId="0" applyFill="1" applyBorder="1" applyAlignment="1" applyProtection="1">
      <alignment horizontal="right"/>
      <protection locked="0"/>
    </xf>
    <xf numFmtId="0" fontId="0" fillId="14" borderId="0" xfId="0" applyFill="1"/>
    <xf numFmtId="191" fontId="0" fillId="14" borderId="0" xfId="0" applyNumberFormat="1" applyFill="1"/>
    <xf numFmtId="165" fontId="0" fillId="0" borderId="0" xfId="0" applyNumberFormat="1"/>
    <xf numFmtId="192" fontId="0" fillId="0" borderId="0" xfId="0" applyNumberFormat="1"/>
    <xf numFmtId="0" fontId="24" fillId="0" borderId="38" xfId="0" applyFont="1" applyFill="1" applyBorder="1" applyAlignment="1">
      <alignment horizontal="center" vertical="top" wrapText="1"/>
    </xf>
    <xf numFmtId="187" fontId="24" fillId="0" borderId="0" xfId="0" applyNumberFormat="1" applyFont="1" applyBorder="1" applyAlignment="1">
      <alignment horizontal="right"/>
    </xf>
    <xf numFmtId="193" fontId="24" fillId="0" borderId="0" xfId="0" applyNumberFormat="1" applyFont="1" applyBorder="1" applyAlignment="1">
      <alignment horizontal="right"/>
    </xf>
    <xf numFmtId="172" fontId="24" fillId="0" borderId="0" xfId="0" applyNumberFormat="1" applyFont="1" applyAlignment="1">
      <alignment horizontal="center"/>
    </xf>
    <xf numFmtId="194" fontId="24" fillId="0" borderId="0" xfId="0" applyNumberFormat="1" applyFont="1" applyAlignment="1">
      <alignment horizontal="right" indent="1"/>
    </xf>
    <xf numFmtId="195" fontId="24" fillId="0" borderId="0" xfId="0" applyNumberFormat="1" applyFont="1" applyBorder="1" applyAlignment="1">
      <alignment horizontal="right"/>
    </xf>
    <xf numFmtId="196" fontId="24" fillId="0" borderId="0" xfId="0" applyNumberFormat="1" applyFont="1" applyAlignment="1">
      <alignment horizontal="right" indent="1"/>
    </xf>
    <xf numFmtId="186" fontId="24" fillId="0" borderId="0" xfId="0" applyNumberFormat="1" applyFont="1" applyBorder="1" applyAlignment="1">
      <alignment horizontal="right"/>
    </xf>
    <xf numFmtId="197" fontId="24" fillId="0" borderId="0" xfId="0" applyNumberFormat="1" applyFont="1" applyBorder="1" applyAlignment="1">
      <alignment horizontal="right"/>
    </xf>
    <xf numFmtId="185" fontId="24" fillId="0" borderId="0" xfId="0" applyNumberFormat="1" applyFont="1" applyBorder="1" applyAlignment="1">
      <alignment horizontal="right"/>
    </xf>
    <xf numFmtId="198" fontId="24" fillId="0" borderId="0" xfId="0" applyNumberFormat="1" applyFont="1" applyBorder="1" applyAlignment="1">
      <alignment horizontal="right" indent="1"/>
    </xf>
    <xf numFmtId="199" fontId="24" fillId="0" borderId="0" xfId="0" applyNumberFormat="1" applyFont="1" applyBorder="1" applyAlignment="1">
      <alignment horizontal="right" indent="1"/>
    </xf>
    <xf numFmtId="200" fontId="24" fillId="0" borderId="0" xfId="0" applyNumberFormat="1" applyFont="1" applyAlignment="1">
      <alignment horizontal="right" indent="1"/>
    </xf>
    <xf numFmtId="201" fontId="24" fillId="0" borderId="0" xfId="0" applyNumberFormat="1" applyFont="1" applyBorder="1" applyAlignment="1">
      <alignment horizontal="right" indent="1"/>
    </xf>
    <xf numFmtId="202" fontId="24" fillId="0" borderId="0" xfId="0" applyNumberFormat="1" applyFont="1" applyBorder="1" applyAlignment="1">
      <alignment horizontal="right" indent="1"/>
    </xf>
    <xf numFmtId="201" fontId="24" fillId="0" borderId="0" xfId="0" applyNumberFormat="1" applyFont="1" applyBorder="1" applyAlignment="1">
      <alignment horizontal="right"/>
    </xf>
    <xf numFmtId="198" fontId="24" fillId="0" borderId="0" xfId="0" applyNumberFormat="1" applyFont="1" applyBorder="1" applyAlignment="1">
      <alignment horizontal="right"/>
    </xf>
    <xf numFmtId="203" fontId="24" fillId="0" borderId="0" xfId="0" applyNumberFormat="1" applyFont="1" applyAlignment="1">
      <alignment horizontal="right"/>
    </xf>
    <xf numFmtId="0" fontId="2" fillId="0" borderId="0" xfId="0" quotePrefix="1" applyFont="1"/>
    <xf numFmtId="0" fontId="2" fillId="0" borderId="0" xfId="0" applyFont="1" applyFill="1" applyBorder="1"/>
    <xf numFmtId="165" fontId="32" fillId="0" borderId="19" xfId="0" applyNumberFormat="1" applyFont="1" applyBorder="1" applyAlignment="1">
      <alignment horizontal="center"/>
    </xf>
    <xf numFmtId="192" fontId="32" fillId="0" borderId="19" xfId="0" applyNumberFormat="1" applyFont="1" applyBorder="1" applyAlignment="1">
      <alignment horizontal="center"/>
    </xf>
    <xf numFmtId="204" fontId="32" fillId="0" borderId="19" xfId="0" applyNumberFormat="1" applyFont="1" applyBorder="1" applyAlignment="1">
      <alignment horizontal="center"/>
    </xf>
    <xf numFmtId="205" fontId="0" fillId="0" borderId="0" xfId="0" applyNumberFormat="1"/>
    <xf numFmtId="206" fontId="24" fillId="0" borderId="0" xfId="0" applyNumberFormat="1" applyFont="1" applyBorder="1" applyAlignment="1">
      <alignment horizontal="right"/>
    </xf>
    <xf numFmtId="207" fontId="24" fillId="0" borderId="0" xfId="0" applyNumberFormat="1" applyFont="1" applyBorder="1" applyAlignment="1">
      <alignment horizontal="right"/>
    </xf>
    <xf numFmtId="208" fontId="24" fillId="0" borderId="0" xfId="0" applyNumberFormat="1" applyFont="1" applyBorder="1" applyAlignment="1">
      <alignment horizontal="right"/>
    </xf>
    <xf numFmtId="209" fontId="24" fillId="0" borderId="0" xfId="0" applyNumberFormat="1" applyFont="1" applyBorder="1" applyAlignment="1">
      <alignment horizontal="right"/>
    </xf>
    <xf numFmtId="210" fontId="24" fillId="0" borderId="0" xfId="0" applyNumberFormat="1" applyFont="1" applyBorder="1" applyAlignment="1">
      <alignment horizontal="right"/>
    </xf>
    <xf numFmtId="211" fontId="24" fillId="0" borderId="0" xfId="0" applyNumberFormat="1" applyFont="1" applyBorder="1" applyAlignment="1">
      <alignment horizontal="right"/>
    </xf>
    <xf numFmtId="212" fontId="24" fillId="0" borderId="0" xfId="0" applyNumberFormat="1" applyFont="1" applyBorder="1" applyAlignment="1">
      <alignment horizontal="right"/>
    </xf>
    <xf numFmtId="213" fontId="24" fillId="0" borderId="0" xfId="0" applyNumberFormat="1" applyFont="1" applyAlignment="1">
      <alignment horizontal="right" indent="1"/>
    </xf>
    <xf numFmtId="210" fontId="24" fillId="0" borderId="0" xfId="0" applyNumberFormat="1" applyFont="1" applyAlignment="1">
      <alignment horizontal="center"/>
    </xf>
    <xf numFmtId="0" fontId="0" fillId="2" borderId="0" xfId="0" applyFill="1" applyAlignment="1">
      <alignment horizontal="right"/>
    </xf>
    <xf numFmtId="0" fontId="1" fillId="0" borderId="0" xfId="0" applyFont="1" applyBorder="1"/>
    <xf numFmtId="0" fontId="1" fillId="0" borderId="21" xfId="0" applyFont="1" applyBorder="1"/>
    <xf numFmtId="0" fontId="0" fillId="0" borderId="38" xfId="0" applyBorder="1"/>
    <xf numFmtId="0" fontId="0" fillId="0" borderId="47" xfId="0" applyBorder="1"/>
    <xf numFmtId="14" fontId="0" fillId="9" borderId="19" xfId="0" applyNumberFormat="1" applyFill="1" applyBorder="1"/>
    <xf numFmtId="0" fontId="0" fillId="9" borderId="0" xfId="0" applyFill="1" applyBorder="1"/>
    <xf numFmtId="0" fontId="0" fillId="9" borderId="48" xfId="0" applyFill="1" applyBorder="1"/>
    <xf numFmtId="0" fontId="0" fillId="9" borderId="43" xfId="0" applyFill="1" applyBorder="1"/>
    <xf numFmtId="0" fontId="0" fillId="9" borderId="20" xfId="0" applyFill="1" applyBorder="1"/>
    <xf numFmtId="0" fontId="0" fillId="9" borderId="19" xfId="0" applyFill="1" applyBorder="1"/>
    <xf numFmtId="167" fontId="0" fillId="9" borderId="0" xfId="0" applyNumberFormat="1" applyFill="1" applyBorder="1"/>
    <xf numFmtId="172" fontId="0" fillId="9" borderId="0" xfId="0" applyNumberFormat="1" applyFill="1" applyBorder="1"/>
    <xf numFmtId="2" fontId="0" fillId="9" borderId="0" xfId="0" applyNumberFormat="1" applyFill="1" applyBorder="1"/>
    <xf numFmtId="172" fontId="0" fillId="9" borderId="20" xfId="0" applyNumberFormat="1" applyFill="1" applyBorder="1"/>
    <xf numFmtId="15" fontId="0" fillId="0" borderId="0" xfId="0" applyNumberFormat="1"/>
    <xf numFmtId="214" fontId="0" fillId="0" borderId="0" xfId="0" applyNumberFormat="1"/>
    <xf numFmtId="0" fontId="0" fillId="9" borderId="21" xfId="0" applyFill="1" applyBorder="1"/>
    <xf numFmtId="0" fontId="0" fillId="9" borderId="38" xfId="0" applyFill="1" applyBorder="1"/>
    <xf numFmtId="167" fontId="0" fillId="9" borderId="38" xfId="0" applyNumberFormat="1" applyFill="1" applyBorder="1"/>
    <xf numFmtId="14" fontId="0" fillId="19" borderId="0" xfId="0" applyNumberFormat="1" applyFill="1" applyBorder="1"/>
    <xf numFmtId="0" fontId="0" fillId="19" borderId="0" xfId="0" applyFill="1" applyBorder="1"/>
    <xf numFmtId="167" fontId="0" fillId="19" borderId="0" xfId="0" applyNumberFormat="1" applyFill="1" applyBorder="1"/>
    <xf numFmtId="172" fontId="0" fillId="19" borderId="0" xfId="0" applyNumberFormat="1" applyFill="1" applyBorder="1"/>
    <xf numFmtId="2" fontId="0" fillId="19" borderId="0" xfId="0" applyNumberFormat="1" applyFill="1" applyBorder="1"/>
    <xf numFmtId="14" fontId="0" fillId="20" borderId="41" xfId="0" applyNumberFormat="1" applyFill="1" applyBorder="1"/>
    <xf numFmtId="0" fontId="0" fillId="20" borderId="48" xfId="0" applyFill="1" applyBorder="1"/>
    <xf numFmtId="0" fontId="0" fillId="20" borderId="43" xfId="0" applyFill="1" applyBorder="1"/>
    <xf numFmtId="0" fontId="0" fillId="20" borderId="19" xfId="0" applyFill="1" applyBorder="1"/>
    <xf numFmtId="0" fontId="0" fillId="20" borderId="0" xfId="0" applyFill="1" applyBorder="1"/>
    <xf numFmtId="0" fontId="0" fillId="20" borderId="0" xfId="0" applyFill="1" applyBorder="1" applyAlignment="1">
      <alignment horizontal="center"/>
    </xf>
    <xf numFmtId="0" fontId="0" fillId="20" borderId="20" xfId="0" applyFill="1" applyBorder="1"/>
    <xf numFmtId="168" fontId="0" fillId="20" borderId="0" xfId="0" applyNumberFormat="1" applyFill="1" applyBorder="1"/>
    <xf numFmtId="172" fontId="0" fillId="20" borderId="0" xfId="0" applyNumberFormat="1" applyFill="1" applyBorder="1"/>
    <xf numFmtId="167" fontId="0" fillId="20" borderId="0" xfId="0" applyNumberFormat="1" applyFill="1" applyBorder="1"/>
    <xf numFmtId="2" fontId="0" fillId="20" borderId="0" xfId="0" applyNumberFormat="1" applyFill="1" applyBorder="1"/>
    <xf numFmtId="172" fontId="0" fillId="20" borderId="20" xfId="0" applyNumberFormat="1" applyFill="1" applyBorder="1"/>
    <xf numFmtId="0" fontId="0" fillId="20" borderId="21" xfId="0" applyFill="1" applyBorder="1"/>
    <xf numFmtId="0" fontId="0" fillId="20" borderId="38" xfId="0" applyFill="1" applyBorder="1"/>
    <xf numFmtId="168" fontId="0" fillId="20" borderId="38" xfId="0" applyNumberFormat="1" applyFill="1" applyBorder="1"/>
    <xf numFmtId="172" fontId="0" fillId="20" borderId="38" xfId="0" applyNumberFormat="1" applyFill="1" applyBorder="1"/>
    <xf numFmtId="167" fontId="0" fillId="20" borderId="38" xfId="0" applyNumberFormat="1" applyFill="1" applyBorder="1"/>
    <xf numFmtId="2" fontId="0" fillId="20" borderId="38" xfId="0" applyNumberFormat="1" applyFill="1" applyBorder="1"/>
    <xf numFmtId="172" fontId="0" fillId="20" borderId="47" xfId="0" applyNumberFormat="1" applyFill="1" applyBorder="1"/>
    <xf numFmtId="0" fontId="2" fillId="9" borderId="0" xfId="0" applyFont="1" applyFill="1" applyBorder="1"/>
    <xf numFmtId="0" fontId="16" fillId="0" borderId="4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170" fontId="8" fillId="0" borderId="35" xfId="0" applyNumberFormat="1" applyFont="1" applyBorder="1" applyAlignment="1" applyProtection="1">
      <alignment horizontal="center"/>
    </xf>
    <xf numFmtId="170" fontId="8" fillId="0" borderId="46" xfId="0" applyNumberFormat="1" applyFont="1" applyBorder="1" applyAlignment="1" applyProtection="1">
      <alignment horizontal="center"/>
    </xf>
    <xf numFmtId="0" fontId="8" fillId="0" borderId="35" xfId="0" applyFont="1" applyBorder="1" applyAlignment="1">
      <alignment horizontal="center"/>
    </xf>
    <xf numFmtId="0" fontId="8" fillId="0" borderId="46" xfId="0" applyFont="1" applyBorder="1" applyAlignment="1">
      <alignment horizontal="center"/>
    </xf>
    <xf numFmtId="170" fontId="8" fillId="0" borderId="21" xfId="0" applyNumberFormat="1" applyFont="1" applyBorder="1" applyAlignment="1" applyProtection="1">
      <alignment horizontal="center"/>
    </xf>
    <xf numFmtId="170" fontId="8" fillId="0" borderId="47" xfId="0" applyNumberFormat="1" applyFont="1" applyBorder="1" applyAlignment="1" applyProtection="1">
      <alignment horizontal="center"/>
    </xf>
    <xf numFmtId="0" fontId="8" fillId="0" borderId="21" xfId="0" applyFont="1" applyBorder="1" applyAlignment="1">
      <alignment horizontal="center"/>
    </xf>
    <xf numFmtId="0" fontId="8" fillId="0" borderId="47" xfId="0" applyFont="1" applyBorder="1" applyAlignment="1">
      <alignment horizontal="center"/>
    </xf>
  </cellXfs>
  <cellStyles count="4">
    <cellStyle name="Heading 2" xfId="1" builtinId="17" customBuiltin="1"/>
    <cellStyle name="Normal" xfId="0" builtinId="0"/>
    <cellStyle name="Normal_Uncertainty" xfId="2"/>
    <cellStyle name="Normal_Universal Bridge" xfId="3"/>
  </cellStyles>
  <dxfs count="2">
    <dxf>
      <font>
        <condense val="0"/>
        <extend val="0"/>
        <color indexed="10"/>
      </font>
    </dxf>
    <dxf>
      <font>
        <condense val="0"/>
        <extend val="0"/>
        <color indexed="11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'HP history'!$A$118</c:f>
          <c:strCache>
            <c:ptCount val="1"/>
            <c:pt idx="0">
              <c:v>HP 16387A 1 µF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'HP history'!$B$119</c:f>
              <c:strCache>
                <c:ptCount val="1"/>
                <c:pt idx="0">
                  <c:v>C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'HP history'!$C$120:$C$128</c:f>
                <c:numCache>
                  <c:formatCode>General</c:formatCode>
                  <c:ptCount val="9"/>
                  <c:pt idx="0">
                    <c:v>1.9996799999999999E-4</c:v>
                  </c:pt>
                  <c:pt idx="1">
                    <c:v>1.2E-4</c:v>
                  </c:pt>
                  <c:pt idx="2">
                    <c:v>1.2E-4</c:v>
                  </c:pt>
                  <c:pt idx="3">
                    <c:v>1.2E-4</c:v>
                  </c:pt>
                  <c:pt idx="4">
                    <c:v>1.2E-4</c:v>
                  </c:pt>
                  <c:pt idx="5">
                    <c:v>1.1134708971278611E-4</c:v>
                  </c:pt>
                  <c:pt idx="6">
                    <c:v>4.289074683682029E-5</c:v>
                  </c:pt>
                  <c:pt idx="7">
                    <c:v>4.2890875344783289E-5</c:v>
                  </c:pt>
                  <c:pt idx="8">
                    <c:v>4.590068210131768E-5</c:v>
                  </c:pt>
                </c:numCache>
              </c:numRef>
            </c:plus>
            <c:minus>
              <c:numRef>
                <c:f>'HP history'!$C$120:$C$128</c:f>
                <c:numCache>
                  <c:formatCode>General</c:formatCode>
                  <c:ptCount val="9"/>
                  <c:pt idx="0">
                    <c:v>1.9996799999999999E-4</c:v>
                  </c:pt>
                  <c:pt idx="1">
                    <c:v>1.2E-4</c:v>
                  </c:pt>
                  <c:pt idx="2">
                    <c:v>1.2E-4</c:v>
                  </c:pt>
                  <c:pt idx="3">
                    <c:v>1.2E-4</c:v>
                  </c:pt>
                  <c:pt idx="4">
                    <c:v>1.2E-4</c:v>
                  </c:pt>
                  <c:pt idx="5">
                    <c:v>1.1134708971278611E-4</c:v>
                  </c:pt>
                  <c:pt idx="6">
                    <c:v>4.289074683682029E-5</c:v>
                  </c:pt>
                  <c:pt idx="7">
                    <c:v>4.2890875344783289E-5</c:v>
                  </c:pt>
                  <c:pt idx="8">
                    <c:v>4.590068210131768E-5</c:v>
                  </c:pt>
                </c:numCache>
              </c:numRef>
            </c:minus>
            <c:spPr>
              <a:ln w="317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'HP history'!$A$120:$A$128</c:f>
              <c:numCache>
                <c:formatCode>m/d/yyyy</c:formatCode>
                <c:ptCount val="9"/>
                <c:pt idx="0">
                  <c:v>34186</c:v>
                </c:pt>
                <c:pt idx="1">
                  <c:v>34989</c:v>
                </c:pt>
                <c:pt idx="2">
                  <c:v>35761</c:v>
                </c:pt>
                <c:pt idx="3">
                  <c:v>36753</c:v>
                </c:pt>
                <c:pt idx="4">
                  <c:v>37459</c:v>
                </c:pt>
                <c:pt idx="5">
                  <c:v>38405</c:v>
                </c:pt>
                <c:pt idx="6">
                  <c:v>40680</c:v>
                </c:pt>
                <c:pt idx="7">
                  <c:v>41863</c:v>
                </c:pt>
                <c:pt idx="8">
                  <c:v>43059</c:v>
                </c:pt>
              </c:numCache>
            </c:numRef>
          </c:xVal>
          <c:yVal>
            <c:numRef>
              <c:f>'HP history'!$B$120:$B$128</c:f>
              <c:numCache>
                <c:formatCode>0.00000</c:formatCode>
                <c:ptCount val="9"/>
                <c:pt idx="0">
                  <c:v>0.99983999999999995</c:v>
                </c:pt>
                <c:pt idx="1">
                  <c:v>0.99985999999999997</c:v>
                </c:pt>
                <c:pt idx="2">
                  <c:v>0.99985000000000002</c:v>
                </c:pt>
                <c:pt idx="3">
                  <c:v>0.99988999999999995</c:v>
                </c:pt>
                <c:pt idx="4">
                  <c:v>0.99987999999999999</c:v>
                </c:pt>
                <c:pt idx="5">
                  <c:v>0.9998881970720439</c:v>
                </c:pt>
                <c:pt idx="6">
                  <c:v>0.99990093687267345</c:v>
                </c:pt>
                <c:pt idx="7">
                  <c:v>0.9999044961601945</c:v>
                </c:pt>
                <c:pt idx="8">
                  <c:v>0.99992128170980321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5A-4F3B-AC16-1F54279AC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59168"/>
        <c:axId val="154760704"/>
      </c:scatterChart>
      <c:scatterChart>
        <c:scatterStyle val="lineMarker"/>
        <c:varyColors val="0"/>
        <c:ser>
          <c:idx val="1"/>
          <c:order val="1"/>
          <c:tx>
            <c:strRef>
              <c:f>'HP history'!$D$119</c:f>
              <c:strCache>
                <c:ptCount val="1"/>
                <c:pt idx="0">
                  <c:v>delta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'HP history'!$E$120:$E$128</c:f>
                <c:numCache>
                  <c:formatCode>General</c:formatCode>
                  <c:ptCount val="9"/>
                  <c:pt idx="0">
                    <c:v>0.1</c:v>
                  </c:pt>
                  <c:pt idx="1">
                    <c:v>3.9E-2</c:v>
                  </c:pt>
                  <c:pt idx="2">
                    <c:v>3.9E-2</c:v>
                  </c:pt>
                  <c:pt idx="3">
                    <c:v>0.04</c:v>
                  </c:pt>
                  <c:pt idx="4">
                    <c:v>0.04</c:v>
                  </c:pt>
                  <c:pt idx="5">
                    <c:v>3.4393445337098753E-2</c:v>
                  </c:pt>
                  <c:pt idx="6">
                    <c:v>3.4533547399875526E-2</c:v>
                  </c:pt>
                  <c:pt idx="7">
                    <c:v>3.4533527576831355E-2</c:v>
                  </c:pt>
                  <c:pt idx="8">
                    <c:v>3.7835933733186937E-2</c:v>
                  </c:pt>
                </c:numCache>
              </c:numRef>
            </c:plus>
            <c:minus>
              <c:numRef>
                <c:f>'HP history'!$E$120:$E$128</c:f>
                <c:numCache>
                  <c:formatCode>General</c:formatCode>
                  <c:ptCount val="9"/>
                  <c:pt idx="0">
                    <c:v>0.1</c:v>
                  </c:pt>
                  <c:pt idx="1">
                    <c:v>3.9E-2</c:v>
                  </c:pt>
                  <c:pt idx="2">
                    <c:v>3.9E-2</c:v>
                  </c:pt>
                  <c:pt idx="3">
                    <c:v>0.04</c:v>
                  </c:pt>
                  <c:pt idx="4">
                    <c:v>0.04</c:v>
                  </c:pt>
                  <c:pt idx="5">
                    <c:v>3.4393445337098753E-2</c:v>
                  </c:pt>
                  <c:pt idx="6">
                    <c:v>3.4533547399875526E-2</c:v>
                  </c:pt>
                  <c:pt idx="7">
                    <c:v>3.4533527576831355E-2</c:v>
                  </c:pt>
                  <c:pt idx="8">
                    <c:v>3.7835933733186937E-2</c:v>
                  </c:pt>
                </c:numCache>
              </c:numRef>
            </c:minus>
            <c:spPr>
              <a:ln>
                <a:solidFill>
                  <a:srgbClr val="FF000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'HP history'!$A$120:$A$128</c:f>
              <c:numCache>
                <c:formatCode>m/d/yyyy</c:formatCode>
                <c:ptCount val="9"/>
                <c:pt idx="0">
                  <c:v>34186</c:v>
                </c:pt>
                <c:pt idx="1">
                  <c:v>34989</c:v>
                </c:pt>
                <c:pt idx="2">
                  <c:v>35761</c:v>
                </c:pt>
                <c:pt idx="3">
                  <c:v>36753</c:v>
                </c:pt>
                <c:pt idx="4">
                  <c:v>37459</c:v>
                </c:pt>
                <c:pt idx="5">
                  <c:v>38405</c:v>
                </c:pt>
                <c:pt idx="6">
                  <c:v>40680</c:v>
                </c:pt>
                <c:pt idx="7">
                  <c:v>41863</c:v>
                </c:pt>
                <c:pt idx="8">
                  <c:v>43059</c:v>
                </c:pt>
              </c:numCache>
            </c:numRef>
          </c:xVal>
          <c:yVal>
            <c:numRef>
              <c:f>'HP history'!$D$120:$D$128</c:f>
              <c:numCache>
                <c:formatCode>0.00000</c:formatCode>
                <c:ptCount val="9"/>
                <c:pt idx="0">
                  <c:v>0.18</c:v>
                </c:pt>
                <c:pt idx="1">
                  <c:v>0.17499999999999999</c:v>
                </c:pt>
                <c:pt idx="2">
                  <c:v>0.17599999999999999</c:v>
                </c:pt>
                <c:pt idx="3">
                  <c:v>0.17</c:v>
                </c:pt>
                <c:pt idx="4">
                  <c:v>0.16</c:v>
                </c:pt>
                <c:pt idx="5">
                  <c:v>0.16474294827471472</c:v>
                </c:pt>
                <c:pt idx="6">
                  <c:v>0.17111407920585317</c:v>
                </c:pt>
                <c:pt idx="7">
                  <c:v>0.17091143732418621</c:v>
                </c:pt>
                <c:pt idx="8">
                  <c:v>0.1717513717035469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5A-4F3B-AC16-1F54279AC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64032"/>
        <c:axId val="154762240"/>
      </c:scatterChart>
      <c:valAx>
        <c:axId val="154759168"/>
        <c:scaling>
          <c:orientation val="minMax"/>
          <c:max val="43200"/>
          <c:min val="34000"/>
        </c:scaling>
        <c:delete val="0"/>
        <c:axPos val="b"/>
        <c:numFmt formatCode="m/d/yyyy" sourceLinked="1"/>
        <c:majorTickMark val="out"/>
        <c:minorTickMark val="none"/>
        <c:tickLblPos val="nextTo"/>
        <c:crossAx val="154760704"/>
        <c:crosses val="autoZero"/>
        <c:crossBetween val="midCat"/>
      </c:valAx>
      <c:valAx>
        <c:axId val="154760704"/>
        <c:scaling>
          <c:orientation val="minMax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crossAx val="154759168"/>
        <c:crosses val="autoZero"/>
        <c:crossBetween val="midCat"/>
      </c:valAx>
      <c:valAx>
        <c:axId val="154762240"/>
        <c:scaling>
          <c:orientation val="minMax"/>
        </c:scaling>
        <c:delete val="0"/>
        <c:axPos val="r"/>
        <c:numFmt formatCode="0.00000" sourceLinked="1"/>
        <c:majorTickMark val="out"/>
        <c:minorTickMark val="none"/>
        <c:tickLblPos val="nextTo"/>
        <c:crossAx val="154764032"/>
        <c:crosses val="max"/>
        <c:crossBetween val="midCat"/>
      </c:valAx>
      <c:valAx>
        <c:axId val="15476403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547622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'Universal Bridge'!$M$1</c:f>
              <c:strCache>
                <c:ptCount val="1"/>
                <c:pt idx="0">
                  <c:v>C1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Bridge'!$L$2:$L$13</c:f>
              <c:numCache>
                <c:formatCode>m/d/yyyy</c:formatCode>
                <c:ptCount val="12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  <c:pt idx="11">
                  <c:v>42125</c:v>
                </c:pt>
              </c:numCache>
            </c:numRef>
          </c:xVal>
          <c:yVal>
            <c:numRef>
              <c:f>'Universal Bridge'!$M$2:$M$13</c:f>
              <c:numCache>
                <c:formatCode>General</c:formatCode>
                <c:ptCount val="12"/>
                <c:pt idx="0">
                  <c:v>32</c:v>
                </c:pt>
                <c:pt idx="1">
                  <c:v>123.32</c:v>
                </c:pt>
                <c:pt idx="2">
                  <c:v>133</c:v>
                </c:pt>
                <c:pt idx="3">
                  <c:v>127.40600000000001</c:v>
                </c:pt>
                <c:pt idx="4">
                  <c:v>135.27000000000001</c:v>
                </c:pt>
                <c:pt idx="5" formatCode="0.0">
                  <c:v>124.15653400852065</c:v>
                </c:pt>
                <c:pt idx="6" formatCode="0.0">
                  <c:v>131.71484972722556</c:v>
                </c:pt>
                <c:pt idx="7" formatCode="0.0">
                  <c:v>123.9</c:v>
                </c:pt>
                <c:pt idx="8" formatCode="0.00">
                  <c:v>129.44934972722558</c:v>
                </c:pt>
                <c:pt idx="9">
                  <c:v>130.29869400282834</c:v>
                </c:pt>
                <c:pt idx="10">
                  <c:v>143.10000000006261</c:v>
                </c:pt>
                <c:pt idx="11" formatCode="0.0">
                  <c:v>162.99711690792583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1F-47C4-BCC8-573F7D38C71F}"/>
            </c:ext>
          </c:extLst>
        </c:ser>
        <c:ser>
          <c:idx val="1"/>
          <c:order val="1"/>
          <c:tx>
            <c:strRef>
              <c:f>'Universal Bridge'!$N$1</c:f>
              <c:strCache>
                <c:ptCount val="1"/>
                <c:pt idx="0">
                  <c:v>R4A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Bridge'!$N$2:$N$12</c:f>
              <c:numCache>
                <c:formatCode>General</c:formatCode>
                <c:ptCount val="11"/>
                <c:pt idx="0">
                  <c:v>30.1</c:v>
                </c:pt>
                <c:pt idx="1">
                  <c:v>35</c:v>
                </c:pt>
                <c:pt idx="2">
                  <c:v>37</c:v>
                </c:pt>
                <c:pt idx="3">
                  <c:v>40.340000000000003</c:v>
                </c:pt>
                <c:pt idx="4" formatCode="0">
                  <c:v>43.374148761358811</c:v>
                </c:pt>
                <c:pt idx="5" formatCode="0.0">
                  <c:v>46.005999473575088</c:v>
                </c:pt>
                <c:pt idx="6" formatCode="0.0">
                  <c:v>47.52000000007861</c:v>
                </c:pt>
                <c:pt idx="7" formatCode="0.0">
                  <c:v>47.52000000007861</c:v>
                </c:pt>
                <c:pt idx="8">
                  <c:v>46.540000000261372</c:v>
                </c:pt>
                <c:pt idx="9">
                  <c:v>50.874703493297702</c:v>
                </c:pt>
                <c:pt idx="10">
                  <c:v>54.126077194238675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1F-47C4-BCC8-573F7D38C71F}"/>
            </c:ext>
          </c:extLst>
        </c:ser>
        <c:ser>
          <c:idx val="2"/>
          <c:order val="2"/>
          <c:tx>
            <c:strRef>
              <c:f>'Universal Bridge'!$O$1</c:f>
              <c:strCache>
                <c:ptCount val="1"/>
                <c:pt idx="0">
                  <c:v>R4B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Bridge'!$O$2:$O$12</c:f>
              <c:numCache>
                <c:formatCode>General</c:formatCode>
                <c:ptCount val="11"/>
                <c:pt idx="0">
                  <c:v>-12</c:v>
                </c:pt>
                <c:pt idx="1">
                  <c:v>-12</c:v>
                </c:pt>
                <c:pt idx="2">
                  <c:v>-14</c:v>
                </c:pt>
                <c:pt idx="3" formatCode="0.0">
                  <c:v>-17.21</c:v>
                </c:pt>
                <c:pt idx="4" formatCode="0.0">
                  <c:v>-16.35231834356091</c:v>
                </c:pt>
                <c:pt idx="5" formatCode="0.0">
                  <c:v>-17.319750828058801</c:v>
                </c:pt>
                <c:pt idx="6" formatCode="0.0">
                  <c:v>-16.235999999891781</c:v>
                </c:pt>
                <c:pt idx="7" formatCode="0.0">
                  <c:v>-16.235999999891781</c:v>
                </c:pt>
                <c:pt idx="8">
                  <c:v>-16.960000000287856</c:v>
                </c:pt>
                <c:pt idx="9">
                  <c:v>-14.104296506833869</c:v>
                </c:pt>
                <c:pt idx="10">
                  <c:v>-9.8547183057240417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1F-47C4-BCC8-573F7D38C71F}"/>
            </c:ext>
          </c:extLst>
        </c:ser>
        <c:ser>
          <c:idx val="3"/>
          <c:order val="3"/>
          <c:tx>
            <c:strRef>
              <c:f>'Universal Bridge'!$P$1</c:f>
              <c:strCache>
                <c:ptCount val="1"/>
                <c:pt idx="0">
                  <c:v>R4C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Bridge'!$P$2:$P$12</c:f>
              <c:numCache>
                <c:formatCode>General</c:formatCode>
                <c:ptCount val="11"/>
                <c:pt idx="0">
                  <c:v>53</c:v>
                </c:pt>
                <c:pt idx="1">
                  <c:v>#N/A</c:v>
                </c:pt>
                <c:pt idx="2">
                  <c:v>61</c:v>
                </c:pt>
                <c:pt idx="3">
                  <c:v>52</c:v>
                </c:pt>
                <c:pt idx="4" formatCode="0">
                  <c:v>67.003866063780151</c:v>
                </c:pt>
                <c:pt idx="5" formatCode="0.0">
                  <c:v>64.090992469401087</c:v>
                </c:pt>
                <c:pt idx="6" formatCode="0.0">
                  <c:v>63.740000000089836</c:v>
                </c:pt>
                <c:pt idx="7" formatCode="0.0">
                  <c:v>63.740000000089836</c:v>
                </c:pt>
                <c:pt idx="8">
                  <c:v>61.50000000015865</c:v>
                </c:pt>
                <c:pt idx="9">
                  <c:v>64.524703493384905</c:v>
                </c:pt>
                <c:pt idx="10">
                  <c:v>67.19327719428847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1F-47C4-BCC8-573F7D38C71F}"/>
            </c:ext>
          </c:extLst>
        </c:ser>
        <c:ser>
          <c:idx val="4"/>
          <c:order val="4"/>
          <c:tx>
            <c:strRef>
              <c:f>'Universal Bridge'!$Q$1</c:f>
              <c:strCache>
                <c:ptCount val="1"/>
                <c:pt idx="0">
                  <c:v>G1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Bridge'!$Q$2:$Q$12</c:f>
              <c:numCache>
                <c:formatCode>General</c:formatCode>
                <c:ptCount val="11"/>
                <c:pt idx="0">
                  <c:v>13</c:v>
                </c:pt>
                <c:pt idx="1">
                  <c:v>9</c:v>
                </c:pt>
                <c:pt idx="2">
                  <c:v>10</c:v>
                </c:pt>
                <c:pt idx="3" formatCode="0.0">
                  <c:v>11.21</c:v>
                </c:pt>
                <c:pt idx="4" formatCode="0.0">
                  <c:v>11.184371676790761</c:v>
                </c:pt>
                <c:pt idx="5" formatCode="0.0">
                  <c:v>12.022750828099106</c:v>
                </c:pt>
                <c:pt idx="6" formatCode="0.0">
                  <c:v>12.615999999798788</c:v>
                </c:pt>
                <c:pt idx="7" formatCode="0.0">
                  <c:v>12.615999999798788</c:v>
                </c:pt>
                <c:pt idx="8">
                  <c:v>13.840000000375774</c:v>
                </c:pt>
                <c:pt idx="9">
                  <c:v>12.507296506814036</c:v>
                </c:pt>
                <c:pt idx="10">
                  <c:v>12.948503305687531</c:v>
                </c:pt>
              </c:numCache>
            </c:numRef>
          </c:xVal>
          <c:yVal>
            <c:numRef>
              <c:f>'Universal Bridge'!$Q$3:$Q$12</c:f>
              <c:numCache>
                <c:formatCode>General</c:formatCode>
                <c:ptCount val="10"/>
                <c:pt idx="0">
                  <c:v>9</c:v>
                </c:pt>
                <c:pt idx="1">
                  <c:v>10</c:v>
                </c:pt>
                <c:pt idx="2" formatCode="0.0">
                  <c:v>11.21</c:v>
                </c:pt>
                <c:pt idx="3" formatCode="0.0">
                  <c:v>11.184371676790761</c:v>
                </c:pt>
                <c:pt idx="4" formatCode="0.0">
                  <c:v>12.022750828099106</c:v>
                </c:pt>
                <c:pt idx="5" formatCode="0.0">
                  <c:v>12.615999999798788</c:v>
                </c:pt>
                <c:pt idx="6" formatCode="0.0">
                  <c:v>12.615999999798788</c:v>
                </c:pt>
                <c:pt idx="7">
                  <c:v>13.840000000375774</c:v>
                </c:pt>
                <c:pt idx="8">
                  <c:v>12.507296506814036</c:v>
                </c:pt>
                <c:pt idx="9">
                  <c:v>12.948503305687531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1F-47C4-BCC8-573F7D38C71F}"/>
            </c:ext>
          </c:extLst>
        </c:ser>
        <c:ser>
          <c:idx val="5"/>
          <c:order val="5"/>
          <c:tx>
            <c:strRef>
              <c:f>'Universal Bridge'!$R$1</c:f>
              <c:strCache>
                <c:ptCount val="1"/>
                <c:pt idx="0">
                  <c:v>G2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Bridge'!$R$2:$R$12</c:f>
              <c:numCache>
                <c:formatCode>General</c:formatCode>
                <c:ptCount val="11"/>
                <c:pt idx="0">
                  <c:v>8.6999999999999993</c:v>
                </c:pt>
                <c:pt idx="1">
                  <c:v>4</c:v>
                </c:pt>
                <c:pt idx="2">
                  <c:v>6</c:v>
                </c:pt>
                <c:pt idx="3" formatCode="0.0">
                  <c:v>6.21</c:v>
                </c:pt>
                <c:pt idx="4" formatCode="0.0">
                  <c:v>6.6891116768238135</c:v>
                </c:pt>
                <c:pt idx="5" formatCode="0.0">
                  <c:v>7.47625082806357</c:v>
                </c:pt>
                <c:pt idx="6" formatCode="0.0">
                  <c:v>7.5959999999986039</c:v>
                </c:pt>
                <c:pt idx="7" formatCode="0.0">
                  <c:v>7.5959999999986039</c:v>
                </c:pt>
                <c:pt idx="8">
                  <c:v>9.0000000000367564</c:v>
                </c:pt>
                <c:pt idx="9">
                  <c:v>7.4752965067981236</c:v>
                </c:pt>
                <c:pt idx="10">
                  <c:v>7.496058305744846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01F-47C4-BCC8-573F7D38C71F}"/>
            </c:ext>
          </c:extLst>
        </c:ser>
        <c:ser>
          <c:idx val="6"/>
          <c:order val="6"/>
          <c:tx>
            <c:strRef>
              <c:f>'Universal Bridge'!$S$1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Bridge'!$L$3:$L$12</c:f>
              <c:numCache>
                <c:formatCode>m/d/yyyy</c:formatCode>
                <c:ptCount val="10"/>
                <c:pt idx="0">
                  <c:v>32477</c:v>
                </c:pt>
                <c:pt idx="1">
                  <c:v>33309</c:v>
                </c:pt>
                <c:pt idx="2">
                  <c:v>34933</c:v>
                </c:pt>
                <c:pt idx="3">
                  <c:v>36102</c:v>
                </c:pt>
                <c:pt idx="4">
                  <c:v>37142</c:v>
                </c:pt>
                <c:pt idx="5">
                  <c:v>38008</c:v>
                </c:pt>
                <c:pt idx="6">
                  <c:v>38035</c:v>
                </c:pt>
                <c:pt idx="7">
                  <c:v>38401</c:v>
                </c:pt>
                <c:pt idx="8">
                  <c:v>40038</c:v>
                </c:pt>
                <c:pt idx="9">
                  <c:v>41827</c:v>
                </c:pt>
              </c:numCache>
            </c:numRef>
          </c:xVal>
          <c:yVal>
            <c:numRef>
              <c:f>'Universal Bridge'!$S$3:$S$12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5.2</c:v>
                </c:pt>
                <c:pt idx="7">
                  <c:v>5.7</c:v>
                </c:pt>
                <c:pt idx="8">
                  <c:v>2</c:v>
                </c:pt>
                <c:pt idx="9">
                  <c:v>10.97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01F-47C4-BCC8-573F7D38C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67712"/>
        <c:axId val="64469248"/>
      </c:scatterChart>
      <c:valAx>
        <c:axId val="64467712"/>
        <c:scaling>
          <c:orientation val="minMax"/>
          <c:min val="31000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469248"/>
        <c:crosses val="autoZero"/>
        <c:crossBetween val="midCat"/>
      </c:valAx>
      <c:valAx>
        <c:axId val="64469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4677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'Universal Bridge'!$M$1</c:f>
              <c:strCache>
                <c:ptCount val="1"/>
                <c:pt idx="0">
                  <c:v>C1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Bridge'!$L$2:$L$13</c:f>
              <c:numCache>
                <c:formatCode>m/d/yyyy</c:formatCode>
                <c:ptCount val="12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  <c:pt idx="11">
                  <c:v>42125</c:v>
                </c:pt>
              </c:numCache>
            </c:numRef>
          </c:xVal>
          <c:yVal>
            <c:numRef>
              <c:f>'Universal Bridge'!$Y$2:$Y$13</c:f>
              <c:numCache>
                <c:formatCode>General</c:formatCode>
                <c:ptCount val="12"/>
                <c:pt idx="0">
                  <c:v>-91.32</c:v>
                </c:pt>
                <c:pt idx="1">
                  <c:v>0</c:v>
                </c:pt>
                <c:pt idx="2">
                  <c:v>9.6800000000000068</c:v>
                </c:pt>
                <c:pt idx="3">
                  <c:v>4.0860000000000127</c:v>
                </c:pt>
                <c:pt idx="4">
                  <c:v>11.950000000000017</c:v>
                </c:pt>
                <c:pt idx="5">
                  <c:v>0.83653400852065829</c:v>
                </c:pt>
                <c:pt idx="6">
                  <c:v>8.3948497272255622</c:v>
                </c:pt>
                <c:pt idx="7">
                  <c:v>0.58000000000001251</c:v>
                </c:pt>
                <c:pt idx="8">
                  <c:v>6.1293497272255877</c:v>
                </c:pt>
                <c:pt idx="9">
                  <c:v>6.9786940028283482</c:v>
                </c:pt>
                <c:pt idx="10">
                  <c:v>19.780000000062614</c:v>
                </c:pt>
                <c:pt idx="11">
                  <c:v>39.677116907925836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B3-4E21-AE82-2142BFC66491}"/>
            </c:ext>
          </c:extLst>
        </c:ser>
        <c:ser>
          <c:idx val="1"/>
          <c:order val="1"/>
          <c:tx>
            <c:strRef>
              <c:f>'Universal Bridge'!$N$1</c:f>
              <c:strCache>
                <c:ptCount val="1"/>
                <c:pt idx="0">
                  <c:v>R4A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Bridge'!$Z$2:$Z$12</c:f>
              <c:numCache>
                <c:formatCode>General</c:formatCode>
                <c:ptCount val="11"/>
                <c:pt idx="0">
                  <c:v>0</c:v>
                </c:pt>
                <c:pt idx="1">
                  <c:v>4.8999999999999986</c:v>
                </c:pt>
                <c:pt idx="2">
                  <c:v>6.8999999999999986</c:v>
                </c:pt>
                <c:pt idx="3">
                  <c:v>10.240000000000002</c:v>
                </c:pt>
                <c:pt idx="4">
                  <c:v>13.274148761358809</c:v>
                </c:pt>
                <c:pt idx="5">
                  <c:v>15.905999473575086</c:v>
                </c:pt>
                <c:pt idx="6">
                  <c:v>17.420000000078609</c:v>
                </c:pt>
                <c:pt idx="7">
                  <c:v>17.420000000078609</c:v>
                </c:pt>
                <c:pt idx="8">
                  <c:v>16.440000000261371</c:v>
                </c:pt>
                <c:pt idx="9">
                  <c:v>20.7747034932977</c:v>
                </c:pt>
                <c:pt idx="10">
                  <c:v>24.026077194238674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B3-4E21-AE82-2142BFC66491}"/>
            </c:ext>
          </c:extLst>
        </c:ser>
        <c:ser>
          <c:idx val="2"/>
          <c:order val="2"/>
          <c:tx>
            <c:strRef>
              <c:f>'Universal Bridge'!$O$1</c:f>
              <c:strCache>
                <c:ptCount val="1"/>
                <c:pt idx="0">
                  <c:v>R4B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Bridge'!$AA$2:$AA$12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-2</c:v>
                </c:pt>
                <c:pt idx="3">
                  <c:v>-5.2100000000000009</c:v>
                </c:pt>
                <c:pt idx="4">
                  <c:v>-4.3523183435609099</c:v>
                </c:pt>
                <c:pt idx="5">
                  <c:v>-5.3197508280588011</c:v>
                </c:pt>
                <c:pt idx="6">
                  <c:v>-4.2359999998917814</c:v>
                </c:pt>
                <c:pt idx="7">
                  <c:v>-4.2359999998917814</c:v>
                </c:pt>
                <c:pt idx="8">
                  <c:v>-4.9600000002878559</c:v>
                </c:pt>
                <c:pt idx="9">
                  <c:v>-2.1042965068338688</c:v>
                </c:pt>
                <c:pt idx="10">
                  <c:v>2.1452816942759583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B3-4E21-AE82-2142BFC66491}"/>
            </c:ext>
          </c:extLst>
        </c:ser>
        <c:ser>
          <c:idx val="3"/>
          <c:order val="3"/>
          <c:tx>
            <c:strRef>
              <c:f>'Universal Bridge'!$P$1</c:f>
              <c:strCache>
                <c:ptCount val="1"/>
                <c:pt idx="0">
                  <c:v>R4C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Bridge'!$AB$2:$AB$12</c:f>
              <c:numCache>
                <c:formatCode>General</c:formatCode>
                <c:ptCount val="11"/>
                <c:pt idx="0">
                  <c:v>0</c:v>
                </c:pt>
                <c:pt idx="1">
                  <c:v>#N/A</c:v>
                </c:pt>
                <c:pt idx="2">
                  <c:v>8</c:v>
                </c:pt>
                <c:pt idx="3">
                  <c:v>-1</c:v>
                </c:pt>
                <c:pt idx="4">
                  <c:v>14.003866063780151</c:v>
                </c:pt>
                <c:pt idx="5">
                  <c:v>11.090992469401087</c:v>
                </c:pt>
                <c:pt idx="6">
                  <c:v>10.740000000089836</c:v>
                </c:pt>
                <c:pt idx="7">
                  <c:v>10.740000000089836</c:v>
                </c:pt>
                <c:pt idx="8">
                  <c:v>8.50000000015865</c:v>
                </c:pt>
                <c:pt idx="9">
                  <c:v>11.524703493384905</c:v>
                </c:pt>
                <c:pt idx="10">
                  <c:v>14.19327719428847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B3-4E21-AE82-2142BFC66491}"/>
            </c:ext>
          </c:extLst>
        </c:ser>
        <c:ser>
          <c:idx val="4"/>
          <c:order val="4"/>
          <c:tx>
            <c:strRef>
              <c:f>'Universal Bridge'!$Q$1</c:f>
              <c:strCache>
                <c:ptCount val="1"/>
                <c:pt idx="0">
                  <c:v>G1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Bridge'!$Q$2:$Q$12</c:f>
              <c:numCache>
                <c:formatCode>General</c:formatCode>
                <c:ptCount val="11"/>
                <c:pt idx="0">
                  <c:v>13</c:v>
                </c:pt>
                <c:pt idx="1">
                  <c:v>9</c:v>
                </c:pt>
                <c:pt idx="2">
                  <c:v>10</c:v>
                </c:pt>
                <c:pt idx="3" formatCode="0.0">
                  <c:v>11.21</c:v>
                </c:pt>
                <c:pt idx="4" formatCode="0.0">
                  <c:v>11.184371676790761</c:v>
                </c:pt>
                <c:pt idx="5" formatCode="0.0">
                  <c:v>12.022750828099106</c:v>
                </c:pt>
                <c:pt idx="6" formatCode="0.0">
                  <c:v>12.615999999798788</c:v>
                </c:pt>
                <c:pt idx="7" formatCode="0.0">
                  <c:v>12.615999999798788</c:v>
                </c:pt>
                <c:pt idx="8">
                  <c:v>13.840000000375774</c:v>
                </c:pt>
                <c:pt idx="9">
                  <c:v>12.507296506814036</c:v>
                </c:pt>
                <c:pt idx="10">
                  <c:v>12.948503305687531</c:v>
                </c:pt>
              </c:numCache>
            </c:numRef>
          </c:xVal>
          <c:yVal>
            <c:numRef>
              <c:f>'Universal Bridge'!$Q$3:$Q$12</c:f>
              <c:numCache>
                <c:formatCode>General</c:formatCode>
                <c:ptCount val="10"/>
                <c:pt idx="0">
                  <c:v>9</c:v>
                </c:pt>
                <c:pt idx="1">
                  <c:v>10</c:v>
                </c:pt>
                <c:pt idx="2" formatCode="0.0">
                  <c:v>11.21</c:v>
                </c:pt>
                <c:pt idx="3" formatCode="0.0">
                  <c:v>11.184371676790761</c:v>
                </c:pt>
                <c:pt idx="4" formatCode="0.0">
                  <c:v>12.022750828099106</c:v>
                </c:pt>
                <c:pt idx="5" formatCode="0.0">
                  <c:v>12.615999999798788</c:v>
                </c:pt>
                <c:pt idx="6" formatCode="0.0">
                  <c:v>12.615999999798788</c:v>
                </c:pt>
                <c:pt idx="7">
                  <c:v>13.840000000375774</c:v>
                </c:pt>
                <c:pt idx="8">
                  <c:v>12.507296506814036</c:v>
                </c:pt>
                <c:pt idx="9">
                  <c:v>12.948503305687531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B3-4E21-AE82-2142BFC66491}"/>
            </c:ext>
          </c:extLst>
        </c:ser>
        <c:ser>
          <c:idx val="5"/>
          <c:order val="5"/>
          <c:tx>
            <c:strRef>
              <c:f>'Universal Bridge'!$R$1</c:f>
              <c:strCache>
                <c:ptCount val="1"/>
                <c:pt idx="0">
                  <c:v>G2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Bridge'!$AD$2:$AD$12</c:f>
              <c:numCache>
                <c:formatCode>General</c:formatCode>
                <c:ptCount val="11"/>
                <c:pt idx="0">
                  <c:v>0</c:v>
                </c:pt>
                <c:pt idx="1">
                  <c:v>-4.6999999999999993</c:v>
                </c:pt>
                <c:pt idx="2">
                  <c:v>-2.6999999999999993</c:v>
                </c:pt>
                <c:pt idx="3">
                  <c:v>-2.4899999999999993</c:v>
                </c:pt>
                <c:pt idx="4">
                  <c:v>-2.0108883231761858</c:v>
                </c:pt>
                <c:pt idx="5">
                  <c:v>-1.2237491719364293</c:v>
                </c:pt>
                <c:pt idx="6">
                  <c:v>-1.1040000000013954</c:v>
                </c:pt>
                <c:pt idx="7">
                  <c:v>-1.1040000000013954</c:v>
                </c:pt>
                <c:pt idx="8">
                  <c:v>0.30000000003675709</c:v>
                </c:pt>
                <c:pt idx="9">
                  <c:v>-1.2247034932018757</c:v>
                </c:pt>
                <c:pt idx="10">
                  <c:v>-1.2039416942551533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3B3-4E21-AE82-2142BFC66491}"/>
            </c:ext>
          </c:extLst>
        </c:ser>
        <c:ser>
          <c:idx val="6"/>
          <c:order val="6"/>
          <c:tx>
            <c:strRef>
              <c:f>'Universal Bridge'!$S$1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Bridge'!$L$3:$L$12</c:f>
              <c:numCache>
                <c:formatCode>m/d/yyyy</c:formatCode>
                <c:ptCount val="10"/>
                <c:pt idx="0">
                  <c:v>32477</c:v>
                </c:pt>
                <c:pt idx="1">
                  <c:v>33309</c:v>
                </c:pt>
                <c:pt idx="2">
                  <c:v>34933</c:v>
                </c:pt>
                <c:pt idx="3">
                  <c:v>36102</c:v>
                </c:pt>
                <c:pt idx="4">
                  <c:v>37142</c:v>
                </c:pt>
                <c:pt idx="5">
                  <c:v>38008</c:v>
                </c:pt>
                <c:pt idx="6">
                  <c:v>38035</c:v>
                </c:pt>
                <c:pt idx="7">
                  <c:v>38401</c:v>
                </c:pt>
                <c:pt idx="8">
                  <c:v>40038</c:v>
                </c:pt>
                <c:pt idx="9">
                  <c:v>41827</c:v>
                </c:pt>
              </c:numCache>
            </c:numRef>
          </c:xVal>
          <c:yVal>
            <c:numRef>
              <c:f>'Universal Bridge'!$S$3:$S$12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5.2</c:v>
                </c:pt>
                <c:pt idx="7">
                  <c:v>5.7</c:v>
                </c:pt>
                <c:pt idx="8">
                  <c:v>2</c:v>
                </c:pt>
                <c:pt idx="9">
                  <c:v>10.97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3B3-4E21-AE82-2142BFC66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25280"/>
        <c:axId val="64631168"/>
      </c:scatterChart>
      <c:valAx>
        <c:axId val="64625280"/>
        <c:scaling>
          <c:orientation val="minMax"/>
          <c:min val="31000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631168"/>
        <c:crosses val="autoZero"/>
        <c:crossBetween val="midCat"/>
      </c:valAx>
      <c:valAx>
        <c:axId val="64631168"/>
        <c:scaling>
          <c:orientation val="minMax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6252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98054855643044614"/>
          <c:y val="0.203703703703703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MuirheadHistory!$J$36</c:f>
              <c:strCache>
                <c:ptCount val="1"/>
                <c:pt idx="0">
                  <c:v>307348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MuirheadHistory!$B$37:$B$40</c:f>
              <c:numCache>
                <c:formatCode>m/d/yyyy</c:formatCode>
                <c:ptCount val="4"/>
                <c:pt idx="0">
                  <c:v>36130</c:v>
                </c:pt>
                <c:pt idx="1">
                  <c:v>37228</c:v>
                </c:pt>
                <c:pt idx="2">
                  <c:v>38393</c:v>
                </c:pt>
                <c:pt idx="3">
                  <c:v>43034</c:v>
                </c:pt>
              </c:numCache>
            </c:numRef>
          </c:xVal>
          <c:yVal>
            <c:numRef>
              <c:f>MuirheadHistory!$J$37:$J$40</c:f>
              <c:numCache>
                <c:formatCode>0.000</c:formatCode>
                <c:ptCount val="4"/>
                <c:pt idx="0">
                  <c:v>0</c:v>
                </c:pt>
                <c:pt idx="1">
                  <c:v>5.2287908425374112E-2</c:v>
                </c:pt>
                <c:pt idx="2">
                  <c:v>2.9039091776536376E-3</c:v>
                </c:pt>
                <c:pt idx="3">
                  <c:v>-99.99496925424171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51-4576-8AC8-F6CF16DFF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049888"/>
        <c:axId val="541063008"/>
      </c:scatterChart>
      <c:valAx>
        <c:axId val="54104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063008"/>
        <c:crosses val="autoZero"/>
        <c:crossBetween val="midCat"/>
      </c:valAx>
      <c:valAx>
        <c:axId val="54106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04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AH2700Results!$C$4:$C$14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xVal>
          <c:yVal>
            <c:numRef>
              <c:f>AH2700Results!$E$4:$E$14</c:f>
              <c:numCache>
                <c:formatCode>General</c:formatCode>
                <c:ptCount val="11"/>
                <c:pt idx="0">
                  <c:v>2.1623800000000002</c:v>
                </c:pt>
                <c:pt idx="1">
                  <c:v>1.85223</c:v>
                </c:pt>
                <c:pt idx="2">
                  <c:v>2.0617100000000002</c:v>
                </c:pt>
                <c:pt idx="3">
                  <c:v>1.7485900000000001</c:v>
                </c:pt>
                <c:pt idx="4">
                  <c:v>1.9632719999999999</c:v>
                </c:pt>
                <c:pt idx="5">
                  <c:v>1.913675</c:v>
                </c:pt>
                <c:pt idx="6">
                  <c:v>1.597596</c:v>
                </c:pt>
                <c:pt idx="7">
                  <c:v>1.810192</c:v>
                </c:pt>
                <c:pt idx="8">
                  <c:v>1.495633</c:v>
                </c:pt>
                <c:pt idx="9">
                  <c:v>1.7151879999999999</c:v>
                </c:pt>
                <c:pt idx="10">
                  <c:v>1.4022874999999999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19-497B-8367-707B96C25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62944"/>
        <c:axId val="65410176"/>
      </c:scatterChart>
      <c:valAx>
        <c:axId val="65362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410176"/>
        <c:crosses val="autoZero"/>
        <c:crossBetween val="midCat"/>
      </c:valAx>
      <c:valAx>
        <c:axId val="65410176"/>
        <c:scaling>
          <c:orientation val="minMax"/>
          <c:min val="1.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3629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GRhistory!$B$70</c:f>
          <c:strCache>
            <c:ptCount val="1"/>
            <c:pt idx="0">
              <c:v>A10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GRhistory!$C$70:$C$71</c:f>
              <c:strCache>
                <c:ptCount val="2"/>
                <c:pt idx="0">
                  <c:v>A10</c:v>
                </c:pt>
                <c:pt idx="1">
                  <c:v>C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GRhistory!$D$72:$D$75</c:f>
                <c:numCache>
                  <c:formatCode>General</c:formatCode>
                  <c:ptCount val="4"/>
                  <c:pt idx="0">
                    <c:v>1.5190362882188367E-4</c:v>
                  </c:pt>
                  <c:pt idx="1">
                    <c:v>1.5248362971967831E-4</c:v>
                  </c:pt>
                  <c:pt idx="2">
                    <c:v>1.548128134566968E-4</c:v>
                  </c:pt>
                  <c:pt idx="3">
                    <c:v>1.6354287945929757E-4</c:v>
                  </c:pt>
                </c:numCache>
              </c:numRef>
            </c:plus>
            <c:minus>
              <c:numRef>
                <c:f>GRhistory!$D$72:$D$75</c:f>
                <c:numCache>
                  <c:formatCode>General</c:formatCode>
                  <c:ptCount val="4"/>
                  <c:pt idx="0">
                    <c:v>1.5190362882188367E-4</c:v>
                  </c:pt>
                  <c:pt idx="1">
                    <c:v>1.5248362971967831E-4</c:v>
                  </c:pt>
                  <c:pt idx="2">
                    <c:v>1.548128134566968E-4</c:v>
                  </c:pt>
                  <c:pt idx="3">
                    <c:v>1.6354287945929757E-4</c:v>
                  </c:pt>
                </c:numCache>
              </c:numRef>
            </c:minus>
            <c:spPr>
              <a:ln>
                <a:solidFill>
                  <a:srgbClr val="00B0F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GRhistory!$B$72:$B$75</c:f>
              <c:numCache>
                <c:formatCode>m/d/yyyy</c:formatCode>
                <c:ptCount val="4"/>
                <c:pt idx="0">
                  <c:v>36426</c:v>
                </c:pt>
                <c:pt idx="1">
                  <c:v>38240</c:v>
                </c:pt>
                <c:pt idx="2">
                  <c:v>40148</c:v>
                </c:pt>
                <c:pt idx="3">
                  <c:v>42124</c:v>
                </c:pt>
              </c:numCache>
            </c:numRef>
          </c:xVal>
          <c:yVal>
            <c:numRef>
              <c:f>GRhistory!$C$72:$C$75</c:f>
              <c:numCache>
                <c:formatCode>General</c:formatCode>
                <c:ptCount val="4"/>
                <c:pt idx="0">
                  <c:v>1.0013283126515391</c:v>
                </c:pt>
                <c:pt idx="1">
                  <c:v>1.0011856553412477</c:v>
                </c:pt>
                <c:pt idx="2">
                  <c:v>1.001262032072846</c:v>
                </c:pt>
                <c:pt idx="3">
                  <c:v>1.0018745662638946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A2-44DF-BBC3-B8057DEB3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83520"/>
        <c:axId val="65485056"/>
      </c:scatterChart>
      <c:scatterChart>
        <c:scatterStyle val="lineMarker"/>
        <c:varyColors val="0"/>
        <c:ser>
          <c:idx val="2"/>
          <c:order val="1"/>
          <c:tx>
            <c:strRef>
              <c:f>GRhistory!$E$70:$E$71</c:f>
              <c:strCache>
                <c:ptCount val="2"/>
                <c:pt idx="0">
                  <c:v>A10</c:v>
                </c:pt>
                <c:pt idx="1">
                  <c:v>D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GRhistory!$F$72:$F$75</c:f>
                <c:numCache>
                  <c:formatCode>General</c:formatCode>
                  <c:ptCount val="4"/>
                  <c:pt idx="0">
                    <c:v>0.12430431983570873</c:v>
                  </c:pt>
                  <c:pt idx="1">
                    <c:v>0.12428555154041994</c:v>
                  </c:pt>
                  <c:pt idx="2">
                    <c:v>0.1242946225562078</c:v>
                  </c:pt>
                  <c:pt idx="3">
                    <c:v>0.12436855487700561</c:v>
                  </c:pt>
                </c:numCache>
              </c:numRef>
            </c:plus>
            <c:minus>
              <c:numRef>
                <c:f>GRhistory!$F$72:$F$75</c:f>
                <c:numCache>
                  <c:formatCode>General</c:formatCode>
                  <c:ptCount val="4"/>
                  <c:pt idx="0">
                    <c:v>0.12430431983570873</c:v>
                  </c:pt>
                  <c:pt idx="1">
                    <c:v>0.12428555154041994</c:v>
                  </c:pt>
                  <c:pt idx="2">
                    <c:v>0.1242946225562078</c:v>
                  </c:pt>
                  <c:pt idx="3">
                    <c:v>0.12436855487700561</c:v>
                  </c:pt>
                </c:numCache>
              </c:numRef>
            </c:minus>
            <c:spPr>
              <a:ln>
                <a:solidFill>
                  <a:srgbClr val="92D05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GRhistory!$B$72:$B$75</c:f>
              <c:numCache>
                <c:formatCode>m/d/yyyy</c:formatCode>
                <c:ptCount val="4"/>
                <c:pt idx="0">
                  <c:v>36426</c:v>
                </c:pt>
                <c:pt idx="1">
                  <c:v>38240</c:v>
                </c:pt>
                <c:pt idx="2">
                  <c:v>40148</c:v>
                </c:pt>
                <c:pt idx="3">
                  <c:v>42124</c:v>
                </c:pt>
              </c:numCache>
            </c:numRef>
          </c:xVal>
          <c:yVal>
            <c:numRef>
              <c:f>GRhistory!$E$72:$E$75</c:f>
              <c:numCache>
                <c:formatCode>General</c:formatCode>
                <c:ptCount val="4"/>
                <c:pt idx="0">
                  <c:v>0.11384434692036066</c:v>
                </c:pt>
                <c:pt idx="1">
                  <c:v>0.12884108557871138</c:v>
                </c:pt>
                <c:pt idx="2">
                  <c:v>0.14900481301560467</c:v>
                </c:pt>
                <c:pt idx="3">
                  <c:v>0.16518561760486383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A2-44DF-BBC3-B8057DEB3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92480"/>
        <c:axId val="65490944"/>
      </c:scatterChart>
      <c:valAx>
        <c:axId val="654835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65485056"/>
        <c:crosses val="autoZero"/>
        <c:crossBetween val="midCat"/>
      </c:valAx>
      <c:valAx>
        <c:axId val="6548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483520"/>
        <c:crosses val="autoZero"/>
        <c:crossBetween val="midCat"/>
      </c:valAx>
      <c:valAx>
        <c:axId val="654909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65492480"/>
        <c:crosses val="max"/>
        <c:crossBetween val="midCat"/>
      </c:valAx>
      <c:valAx>
        <c:axId val="6549248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54909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72</xdr:row>
      <xdr:rowOff>66675</xdr:rowOff>
    </xdr:from>
    <xdr:to>
      <xdr:col>17</xdr:col>
      <xdr:colOff>552450</xdr:colOff>
      <xdr:row>104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2F75E4-B208-40B7-81CD-D48165DBD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400050</xdr:colOff>
      <xdr:row>23</xdr:row>
      <xdr:rowOff>142875</xdr:rowOff>
    </xdr:from>
    <xdr:to>
      <xdr:col>34</xdr:col>
      <xdr:colOff>200025</xdr:colOff>
      <xdr:row>47</xdr:row>
      <xdr:rowOff>95250</xdr:rowOff>
    </xdr:to>
    <xdr:graphicFrame macro="">
      <xdr:nvGraphicFramePr>
        <xdr:cNvPr id="1110" name="Chart 1">
          <a:extLst>
            <a:ext uri="{FF2B5EF4-FFF2-40B4-BE49-F238E27FC236}">
              <a16:creationId xmlns:a16="http://schemas.microsoft.com/office/drawing/2014/main" id="{00000000-0008-0000-0200-000056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50</xdr:row>
      <xdr:rowOff>0</xdr:rowOff>
    </xdr:from>
    <xdr:to>
      <xdr:col>34</xdr:col>
      <xdr:colOff>409575</xdr:colOff>
      <xdr:row>73</xdr:row>
      <xdr:rowOff>133350</xdr:rowOff>
    </xdr:to>
    <xdr:graphicFrame macro="">
      <xdr:nvGraphicFramePr>
        <xdr:cNvPr id="1111" name="Chart 7">
          <a:extLst>
            <a:ext uri="{FF2B5EF4-FFF2-40B4-BE49-F238E27FC236}">
              <a16:creationId xmlns:a16="http://schemas.microsoft.com/office/drawing/2014/main" id="{00000000-0008-0000-0200-00005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33337</xdr:rowOff>
    </xdr:from>
    <xdr:to>
      <xdr:col>7</xdr:col>
      <xdr:colOff>19050</xdr:colOff>
      <xdr:row>58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D2ECBD-941C-4095-A279-F844C232E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0</xdr:row>
      <xdr:rowOff>119062</xdr:rowOff>
    </xdr:from>
    <xdr:to>
      <xdr:col>22</xdr:col>
      <xdr:colOff>142875</xdr:colOff>
      <xdr:row>17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66</xdr:row>
      <xdr:rowOff>100012</xdr:rowOff>
    </xdr:from>
    <xdr:to>
      <xdr:col>15</xdr:col>
      <xdr:colOff>419100</xdr:colOff>
      <xdr:row>83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activeCell="A80" sqref="A80"/>
    </sheetView>
  </sheetViews>
  <sheetFormatPr defaultRowHeight="12.75"/>
  <sheetData>
    <row r="1" spans="1:1">
      <c r="A1" s="181" t="s">
        <v>254</v>
      </c>
    </row>
    <row r="2" spans="1:1">
      <c r="A2" t="s">
        <v>157</v>
      </c>
    </row>
    <row r="3" spans="1:1">
      <c r="A3" t="s">
        <v>159</v>
      </c>
    </row>
    <row r="4" spans="1:1">
      <c r="A4" t="s">
        <v>158</v>
      </c>
    </row>
    <row r="5" spans="1:1">
      <c r="A5" t="s">
        <v>182</v>
      </c>
    </row>
    <row r="6" spans="1:1">
      <c r="A6" t="s">
        <v>186</v>
      </c>
    </row>
    <row r="7" spans="1:1">
      <c r="A7" t="s">
        <v>238</v>
      </c>
    </row>
    <row r="8" spans="1:1">
      <c r="A8" t="s">
        <v>247</v>
      </c>
    </row>
    <row r="9" spans="1:1">
      <c r="A9" t="s">
        <v>248</v>
      </c>
    </row>
    <row r="11" spans="1:1">
      <c r="A11" s="181" t="s">
        <v>255</v>
      </c>
    </row>
    <row r="12" spans="1:1">
      <c r="A12" s="181" t="s">
        <v>253</v>
      </c>
    </row>
    <row r="13" spans="1:1">
      <c r="A13" s="181" t="s">
        <v>257</v>
      </c>
    </row>
    <row r="14" spans="1:1">
      <c r="A14" s="181" t="s">
        <v>258</v>
      </c>
    </row>
    <row r="15" spans="1:1">
      <c r="A15" s="181" t="s">
        <v>259</v>
      </c>
    </row>
    <row r="16" spans="1:1">
      <c r="A16" s="181" t="s">
        <v>260</v>
      </c>
    </row>
    <row r="17" spans="1:1">
      <c r="A17" s="181" t="s">
        <v>287</v>
      </c>
    </row>
    <row r="18" spans="1:1">
      <c r="A18" s="181" t="s">
        <v>288</v>
      </c>
    </row>
    <row r="20" spans="1:1">
      <c r="A20" s="181" t="s">
        <v>289</v>
      </c>
    </row>
    <row r="21" spans="1:1">
      <c r="A21" s="181" t="s">
        <v>290</v>
      </c>
    </row>
    <row r="22" spans="1:1">
      <c r="A22" s="181" t="s">
        <v>291</v>
      </c>
    </row>
    <row r="23" spans="1:1">
      <c r="A23" s="181" t="s">
        <v>336</v>
      </c>
    </row>
    <row r="24" spans="1:1">
      <c r="A24" s="181" t="s">
        <v>337</v>
      </c>
    </row>
    <row r="25" spans="1:1">
      <c r="A25" s="181" t="s">
        <v>338</v>
      </c>
    </row>
    <row r="26" spans="1:1">
      <c r="A26" s="181" t="s">
        <v>339</v>
      </c>
    </row>
    <row r="27" spans="1:1">
      <c r="A27" s="181" t="s">
        <v>374</v>
      </c>
    </row>
    <row r="28" spans="1:1">
      <c r="A28" s="247" t="s">
        <v>378</v>
      </c>
    </row>
    <row r="29" spans="1:1">
      <c r="A29" s="181" t="s">
        <v>384</v>
      </c>
    </row>
    <row r="30" spans="1:1">
      <c r="A30" s="181" t="s">
        <v>383</v>
      </c>
    </row>
    <row r="31" spans="1:1">
      <c r="A31" s="181" t="s">
        <v>393</v>
      </c>
    </row>
    <row r="32" spans="1:1">
      <c r="A32" s="181" t="s">
        <v>422</v>
      </c>
    </row>
    <row r="33" spans="1:1">
      <c r="A33" s="181" t="s">
        <v>428</v>
      </c>
    </row>
    <row r="34" spans="1:1">
      <c r="A34" s="181" t="s">
        <v>429</v>
      </c>
    </row>
    <row r="35" spans="1:1">
      <c r="A35" s="181" t="s">
        <v>448</v>
      </c>
    </row>
    <row r="36" spans="1:1">
      <c r="A36" s="181" t="s">
        <v>449</v>
      </c>
    </row>
    <row r="38" spans="1:1">
      <c r="A38" s="181" t="s">
        <v>566</v>
      </c>
    </row>
    <row r="39" spans="1:1">
      <c r="A39" s="181" t="s">
        <v>567</v>
      </c>
    </row>
    <row r="40" spans="1:1">
      <c r="A40" s="181" t="s">
        <v>568</v>
      </c>
    </row>
    <row r="41" spans="1:1">
      <c r="A41" s="181" t="s">
        <v>569</v>
      </c>
    </row>
    <row r="42" spans="1:1">
      <c r="A42" s="181" t="s">
        <v>570</v>
      </c>
    </row>
    <row r="43" spans="1:1">
      <c r="A43" s="181" t="s">
        <v>571</v>
      </c>
    </row>
    <row r="44" spans="1:1">
      <c r="A44" s="181" t="s">
        <v>572</v>
      </c>
    </row>
    <row r="45" spans="1:1">
      <c r="A45" s="181" t="s">
        <v>573</v>
      </c>
    </row>
    <row r="46" spans="1:1">
      <c r="A46" s="181" t="s">
        <v>574</v>
      </c>
    </row>
    <row r="47" spans="1:1">
      <c r="A47" s="181" t="s">
        <v>575</v>
      </c>
    </row>
    <row r="48" spans="1:1">
      <c r="A48" s="181" t="s">
        <v>576</v>
      </c>
    </row>
    <row r="49" spans="1:1">
      <c r="A49" s="181" t="s">
        <v>577</v>
      </c>
    </row>
    <row r="50" spans="1:1">
      <c r="A50" s="181" t="s">
        <v>578</v>
      </c>
    </row>
    <row r="52" spans="1:1">
      <c r="A52" s="181" t="s">
        <v>579</v>
      </c>
    </row>
    <row r="54" spans="1:1">
      <c r="A54" t="s">
        <v>580</v>
      </c>
    </row>
    <row r="55" spans="1:1">
      <c r="A55" s="181" t="s">
        <v>581</v>
      </c>
    </row>
    <row r="56" spans="1:1">
      <c r="A56" s="181" t="s">
        <v>582</v>
      </c>
    </row>
    <row r="57" spans="1:1">
      <c r="A57" s="181" t="s">
        <v>583</v>
      </c>
    </row>
    <row r="58" spans="1:1">
      <c r="A58" s="181" t="s">
        <v>584</v>
      </c>
    </row>
    <row r="59" spans="1:1">
      <c r="A59" s="181" t="s">
        <v>585</v>
      </c>
    </row>
    <row r="61" spans="1:1">
      <c r="A61" s="181" t="s">
        <v>586</v>
      </c>
    </row>
    <row r="62" spans="1:1">
      <c r="A62" s="460" t="s">
        <v>587</v>
      </c>
    </row>
    <row r="64" spans="1:1">
      <c r="A64" s="181" t="s">
        <v>588</v>
      </c>
    </row>
    <row r="65" spans="1:1">
      <c r="A65" s="181" t="s">
        <v>589</v>
      </c>
    </row>
    <row r="67" spans="1:1">
      <c r="A67" s="181" t="s">
        <v>590</v>
      </c>
    </row>
    <row r="68" spans="1:1">
      <c r="A68" s="181" t="s">
        <v>591</v>
      </c>
    </row>
    <row r="69" spans="1:1">
      <c r="A69" s="181" t="s">
        <v>592</v>
      </c>
    </row>
    <row r="70" spans="1:1">
      <c r="A70" s="181" t="s">
        <v>593</v>
      </c>
    </row>
    <row r="72" spans="1:1">
      <c r="A72" t="s">
        <v>676</v>
      </c>
    </row>
    <row r="73" spans="1:1">
      <c r="A73" t="s">
        <v>677</v>
      </c>
    </row>
    <row r="74" spans="1:1">
      <c r="A74" t="s">
        <v>678</v>
      </c>
    </row>
    <row r="75" spans="1:1">
      <c r="A75" t="s">
        <v>679</v>
      </c>
    </row>
    <row r="76" spans="1:1">
      <c r="A76" t="s">
        <v>680</v>
      </c>
    </row>
    <row r="77" spans="1:1">
      <c r="A77" t="s">
        <v>681</v>
      </c>
    </row>
    <row r="78" spans="1:1">
      <c r="A78" t="s">
        <v>682</v>
      </c>
    </row>
    <row r="79" spans="1:1">
      <c r="A79" t="s">
        <v>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>
      <selection activeCell="B4" sqref="B4"/>
    </sheetView>
  </sheetViews>
  <sheetFormatPr defaultRowHeight="12.75"/>
  <cols>
    <col min="1" max="1" width="23.85546875" customWidth="1"/>
    <col min="2" max="2" width="20.85546875" customWidth="1"/>
    <col min="4" max="4" width="17.28515625" customWidth="1"/>
    <col min="5" max="5" width="20.7109375" customWidth="1"/>
    <col min="6" max="6" width="12.7109375" customWidth="1"/>
    <col min="7" max="7" width="13.85546875" customWidth="1"/>
    <col min="10" max="10" width="11.7109375" customWidth="1"/>
    <col min="13" max="13" width="11.28515625" customWidth="1"/>
  </cols>
  <sheetData>
    <row r="1" spans="1:18" ht="15.75">
      <c r="A1" s="84" t="s">
        <v>522</v>
      </c>
    </row>
    <row r="2" spans="1:18">
      <c r="A2" s="2"/>
      <c r="C2" s="2"/>
      <c r="E2" s="2"/>
      <c r="G2" s="2"/>
      <c r="I2" s="2"/>
      <c r="K2" s="2"/>
      <c r="M2" s="2"/>
      <c r="O2" s="2"/>
      <c r="Q2" s="2"/>
    </row>
    <row r="3" spans="1:18">
      <c r="A3" s="424" t="s">
        <v>523</v>
      </c>
      <c r="B3" s="191" t="s">
        <v>599</v>
      </c>
      <c r="C3" s="191"/>
      <c r="D3" s="90"/>
      <c r="E3" s="29" t="s">
        <v>150</v>
      </c>
      <c r="F3" s="191" t="s">
        <v>454</v>
      </c>
      <c r="G3" s="90"/>
      <c r="K3" s="181" t="s">
        <v>616</v>
      </c>
    </row>
    <row r="4" spans="1:18">
      <c r="A4" s="97" t="s">
        <v>46</v>
      </c>
      <c r="B4" s="425">
        <v>43059</v>
      </c>
      <c r="C4" s="191"/>
      <c r="D4" s="90"/>
      <c r="E4" s="29" t="s">
        <v>151</v>
      </c>
      <c r="F4" s="426">
        <v>96330108</v>
      </c>
      <c r="G4" s="90"/>
      <c r="K4" t="s">
        <v>524</v>
      </c>
    </row>
    <row r="5" spans="1:18">
      <c r="A5" s="183"/>
      <c r="B5" s="425"/>
      <c r="C5" s="191"/>
      <c r="D5" s="90"/>
      <c r="E5" s="29" t="s">
        <v>152</v>
      </c>
      <c r="F5" s="191" t="s">
        <v>598</v>
      </c>
      <c r="G5" s="90"/>
    </row>
    <row r="6" spans="1:18" ht="13.5" thickBot="1">
      <c r="A6" s="79"/>
      <c r="D6" s="181" t="s">
        <v>525</v>
      </c>
      <c r="H6" s="181" t="s">
        <v>526</v>
      </c>
      <c r="Q6" s="1"/>
    </row>
    <row r="7" spans="1:18" ht="13.5" thickTop="1">
      <c r="A7" s="427" t="s">
        <v>183</v>
      </c>
      <c r="B7" s="428" t="s">
        <v>527</v>
      </c>
      <c r="C7" s="70" t="s">
        <v>33</v>
      </c>
      <c r="D7" s="88" t="s">
        <v>528</v>
      </c>
      <c r="E7" s="88" t="s">
        <v>529</v>
      </c>
      <c r="F7" s="100" t="s">
        <v>144</v>
      </c>
      <c r="G7" s="429" t="s">
        <v>530</v>
      </c>
      <c r="H7" s="430" t="s">
        <v>531</v>
      </c>
      <c r="I7" s="430" t="s">
        <v>532</v>
      </c>
      <c r="J7" s="430" t="s">
        <v>533</v>
      </c>
      <c r="K7" s="430" t="s">
        <v>531</v>
      </c>
      <c r="L7" s="430" t="s">
        <v>532</v>
      </c>
      <c r="M7" s="430" t="s">
        <v>534</v>
      </c>
      <c r="N7" s="430" t="s">
        <v>531</v>
      </c>
      <c r="O7" s="430" t="s">
        <v>532</v>
      </c>
      <c r="P7" s="430" t="s">
        <v>535</v>
      </c>
      <c r="Q7" s="430" t="s">
        <v>531</v>
      </c>
      <c r="R7" s="430" t="s">
        <v>532</v>
      </c>
    </row>
    <row r="8" spans="1:18">
      <c r="A8" s="67"/>
      <c r="B8" s="69" t="s">
        <v>145</v>
      </c>
      <c r="C8" s="70"/>
      <c r="D8" s="88"/>
      <c r="E8" s="88"/>
      <c r="F8" s="431" t="s">
        <v>145</v>
      </c>
      <c r="G8" s="432" t="s">
        <v>536</v>
      </c>
      <c r="H8" s="430"/>
      <c r="I8" s="430"/>
      <c r="J8" s="430"/>
      <c r="K8" s="433"/>
      <c r="L8" s="433"/>
      <c r="M8" s="430"/>
      <c r="N8" s="433"/>
      <c r="O8" s="433"/>
      <c r="P8" s="430"/>
      <c r="Q8" s="433"/>
      <c r="R8" s="433"/>
    </row>
    <row r="9" spans="1:18">
      <c r="A9" s="182" t="s">
        <v>600</v>
      </c>
      <c r="B9" s="428" t="s">
        <v>537</v>
      </c>
      <c r="C9" s="184" t="s">
        <v>38</v>
      </c>
      <c r="D9" s="89">
        <f>1000846-1000</f>
        <v>999846</v>
      </c>
      <c r="E9" s="89">
        <v>1716</v>
      </c>
      <c r="F9" s="434">
        <v>1592.03</v>
      </c>
      <c r="G9" s="429">
        <v>20</v>
      </c>
      <c r="H9" s="430">
        <v>0.25</v>
      </c>
      <c r="I9" s="433">
        <v>10</v>
      </c>
      <c r="J9" s="435">
        <v>7.5000000000000002E-6</v>
      </c>
      <c r="K9" s="435">
        <v>2.7499999999999998E-5</v>
      </c>
      <c r="L9" s="436">
        <v>10</v>
      </c>
      <c r="M9" s="433">
        <v>0</v>
      </c>
      <c r="N9" s="435">
        <v>0</v>
      </c>
      <c r="O9" s="436">
        <v>10</v>
      </c>
      <c r="P9" s="433"/>
      <c r="Q9" s="433"/>
      <c r="R9" s="436"/>
    </row>
    <row r="10" spans="1:18">
      <c r="A10" s="182" t="s">
        <v>538</v>
      </c>
      <c r="B10" s="428" t="s">
        <v>537</v>
      </c>
      <c r="C10" s="184" t="s">
        <v>38</v>
      </c>
      <c r="D10" s="89">
        <v>0</v>
      </c>
      <c r="E10" s="89">
        <f>8-10</f>
        <v>-2</v>
      </c>
      <c r="F10" s="434">
        <v>1592.02</v>
      </c>
      <c r="G10" s="429">
        <v>20</v>
      </c>
      <c r="H10" s="430">
        <v>0.25</v>
      </c>
      <c r="I10" s="433">
        <v>10</v>
      </c>
      <c r="J10" s="433">
        <v>0</v>
      </c>
      <c r="K10" s="435">
        <v>0</v>
      </c>
      <c r="L10" s="436">
        <v>10</v>
      </c>
      <c r="M10" s="433">
        <v>0</v>
      </c>
      <c r="N10" s="435">
        <v>0</v>
      </c>
      <c r="O10" s="436">
        <v>10</v>
      </c>
      <c r="P10" s="433"/>
      <c r="Q10" s="435"/>
      <c r="R10" s="436"/>
    </row>
    <row r="11" spans="1:18">
      <c r="A11" s="182" t="s">
        <v>538</v>
      </c>
      <c r="B11" s="428" t="s">
        <v>537</v>
      </c>
      <c r="C11" s="184" t="s">
        <v>95</v>
      </c>
      <c r="D11" s="89">
        <v>0</v>
      </c>
      <c r="E11" s="89">
        <v>-1</v>
      </c>
      <c r="F11" s="434">
        <v>1591.73</v>
      </c>
      <c r="G11" s="429">
        <v>20</v>
      </c>
      <c r="H11" s="430">
        <v>0.25</v>
      </c>
      <c r="I11" s="433">
        <v>10</v>
      </c>
      <c r="J11" s="433">
        <v>0</v>
      </c>
      <c r="K11" s="435">
        <v>0</v>
      </c>
      <c r="L11" s="436">
        <v>10</v>
      </c>
      <c r="M11" s="433">
        <v>0</v>
      </c>
      <c r="N11" s="435">
        <v>0</v>
      </c>
      <c r="O11" s="436">
        <v>10</v>
      </c>
      <c r="P11" s="433"/>
      <c r="Q11" s="435"/>
      <c r="R11" s="436"/>
    </row>
    <row r="12" spans="1:18">
      <c r="A12" s="182" t="s">
        <v>601</v>
      </c>
      <c r="B12" s="428" t="s">
        <v>537</v>
      </c>
      <c r="C12" s="184" t="s">
        <v>95</v>
      </c>
      <c r="D12" s="192">
        <f>1000064-100</f>
        <v>999964</v>
      </c>
      <c r="E12" s="89">
        <v>412</v>
      </c>
      <c r="F12" s="434">
        <v>1591.65</v>
      </c>
      <c r="G12" s="429">
        <v>20</v>
      </c>
      <c r="H12" s="430">
        <v>0.25</v>
      </c>
      <c r="I12" s="433">
        <v>10</v>
      </c>
      <c r="J12" s="435">
        <v>7.5000000000000002E-6</v>
      </c>
      <c r="K12" s="435">
        <v>2.7499999999999998E-5</v>
      </c>
      <c r="L12" s="436">
        <v>10</v>
      </c>
      <c r="M12" s="433">
        <v>0</v>
      </c>
      <c r="N12" s="435">
        <v>0</v>
      </c>
      <c r="O12" s="436">
        <v>10</v>
      </c>
      <c r="P12" s="433"/>
      <c r="Q12" s="435"/>
      <c r="R12" s="436"/>
    </row>
    <row r="13" spans="1:18">
      <c r="A13" s="182" t="s">
        <v>602</v>
      </c>
      <c r="B13" s="428" t="s">
        <v>537</v>
      </c>
      <c r="C13" s="184" t="s">
        <v>42</v>
      </c>
      <c r="D13" s="89">
        <v>1000024</v>
      </c>
      <c r="E13" s="89">
        <f>508-10</f>
        <v>498</v>
      </c>
      <c r="F13" s="434">
        <v>1591.58</v>
      </c>
      <c r="G13" s="429">
        <v>20</v>
      </c>
      <c r="H13" s="430">
        <v>0.25</v>
      </c>
      <c r="I13" s="433">
        <v>10</v>
      </c>
      <c r="J13" s="435">
        <v>7.5000000000000002E-6</v>
      </c>
      <c r="K13" s="435">
        <v>2.7499999999999998E-5</v>
      </c>
      <c r="L13" s="436">
        <v>10</v>
      </c>
      <c r="M13" s="433">
        <v>0</v>
      </c>
      <c r="N13" s="435">
        <v>0</v>
      </c>
      <c r="O13" s="436">
        <v>10</v>
      </c>
      <c r="P13" s="433"/>
      <c r="Q13" s="435"/>
      <c r="R13" s="436"/>
    </row>
    <row r="14" spans="1:18">
      <c r="A14" s="182" t="s">
        <v>538</v>
      </c>
      <c r="B14" s="428" t="s">
        <v>537</v>
      </c>
      <c r="C14" s="184" t="s">
        <v>42</v>
      </c>
      <c r="D14" s="89">
        <v>-1</v>
      </c>
      <c r="E14" s="89">
        <v>2</v>
      </c>
      <c r="F14" s="434">
        <v>1591.52</v>
      </c>
      <c r="G14" s="429">
        <v>20</v>
      </c>
      <c r="H14" s="430">
        <v>0.25</v>
      </c>
      <c r="I14" s="433">
        <v>10</v>
      </c>
      <c r="J14" s="433">
        <v>0</v>
      </c>
      <c r="K14" s="435">
        <v>0</v>
      </c>
      <c r="L14" s="436">
        <v>10</v>
      </c>
      <c r="M14" s="433">
        <v>0</v>
      </c>
      <c r="N14" s="435">
        <v>0</v>
      </c>
      <c r="O14" s="436">
        <v>10</v>
      </c>
      <c r="P14" s="433"/>
      <c r="Q14" s="435"/>
      <c r="R14" s="436"/>
    </row>
    <row r="15" spans="1:18">
      <c r="A15" s="182" t="s">
        <v>538</v>
      </c>
      <c r="B15" s="428" t="s">
        <v>537</v>
      </c>
      <c r="C15" s="184" t="s">
        <v>37</v>
      </c>
      <c r="D15" s="89">
        <v>0</v>
      </c>
      <c r="E15" s="89">
        <v>14</v>
      </c>
      <c r="F15" s="434">
        <v>1591.77</v>
      </c>
      <c r="G15" s="429">
        <v>20</v>
      </c>
      <c r="H15" s="430">
        <v>0.25</v>
      </c>
      <c r="I15" s="433">
        <v>10</v>
      </c>
      <c r="J15" s="433">
        <v>0</v>
      </c>
      <c r="K15" s="435">
        <v>0</v>
      </c>
      <c r="L15" s="436">
        <v>10</v>
      </c>
      <c r="M15" s="433">
        <v>0</v>
      </c>
      <c r="N15" s="435">
        <v>0</v>
      </c>
      <c r="O15" s="436">
        <v>10</v>
      </c>
      <c r="P15" s="433"/>
      <c r="Q15" s="433"/>
      <c r="R15" s="436"/>
    </row>
    <row r="16" spans="1:18">
      <c r="A16" s="182" t="s">
        <v>603</v>
      </c>
      <c r="B16" s="428" t="s">
        <v>537</v>
      </c>
      <c r="C16" s="184" t="s">
        <v>37</v>
      </c>
      <c r="D16" s="89">
        <f>1000731-1000</f>
        <v>999731</v>
      </c>
      <c r="E16" s="89">
        <f>813-1000</f>
        <v>-187</v>
      </c>
      <c r="F16" s="434">
        <v>1591.75</v>
      </c>
      <c r="G16" s="429">
        <v>20</v>
      </c>
      <c r="H16" s="430">
        <v>0.25</v>
      </c>
      <c r="I16" s="433">
        <v>10</v>
      </c>
      <c r="J16" s="435">
        <v>3.0000000000000001E-5</v>
      </c>
      <c r="K16" s="435">
        <v>9.0000000000000002E-6</v>
      </c>
      <c r="L16" s="436">
        <v>10</v>
      </c>
      <c r="M16" s="433">
        <v>0</v>
      </c>
      <c r="N16" s="435">
        <v>0</v>
      </c>
      <c r="O16" s="436">
        <v>10</v>
      </c>
      <c r="P16" s="433"/>
      <c r="Q16" s="435"/>
      <c r="R16" s="436"/>
    </row>
    <row r="17" spans="1:18">
      <c r="A17" s="182" t="s">
        <v>148</v>
      </c>
      <c r="B17" s="428" t="s">
        <v>537</v>
      </c>
      <c r="C17" s="184" t="s">
        <v>37</v>
      </c>
      <c r="D17" s="89">
        <f>1000890-1000</f>
        <v>999890</v>
      </c>
      <c r="E17" s="89">
        <f>850-1000</f>
        <v>-150</v>
      </c>
      <c r="F17" s="434">
        <v>1591.67</v>
      </c>
      <c r="G17" s="429">
        <v>20</v>
      </c>
      <c r="H17" s="430">
        <v>0.25</v>
      </c>
      <c r="I17" s="433">
        <v>10</v>
      </c>
      <c r="J17" s="433">
        <v>0</v>
      </c>
      <c r="K17" s="435">
        <v>0</v>
      </c>
      <c r="L17" s="436">
        <v>10</v>
      </c>
      <c r="M17" s="433">
        <v>0</v>
      </c>
      <c r="N17" s="435">
        <v>0</v>
      </c>
      <c r="O17" s="436">
        <v>10</v>
      </c>
      <c r="P17" s="433"/>
      <c r="Q17" s="435"/>
      <c r="R17" s="436"/>
    </row>
    <row r="18" spans="1:18">
      <c r="A18" s="182" t="s">
        <v>36</v>
      </c>
      <c r="B18" s="428" t="s">
        <v>537</v>
      </c>
      <c r="C18" s="184" t="s">
        <v>37</v>
      </c>
      <c r="D18" s="89">
        <f>1000876-1000</f>
        <v>999876</v>
      </c>
      <c r="E18" s="89">
        <f>854-1000</f>
        <v>-146</v>
      </c>
      <c r="F18" s="434">
        <v>1591.6</v>
      </c>
      <c r="G18" s="429">
        <v>20</v>
      </c>
      <c r="H18" s="430">
        <v>0.25</v>
      </c>
      <c r="I18" s="433">
        <v>10</v>
      </c>
      <c r="J18" s="433">
        <v>0</v>
      </c>
      <c r="K18" s="435">
        <v>0</v>
      </c>
      <c r="L18" s="436">
        <v>10</v>
      </c>
      <c r="M18" s="433">
        <v>0</v>
      </c>
      <c r="N18" s="435">
        <v>0</v>
      </c>
      <c r="O18" s="436">
        <v>10</v>
      </c>
      <c r="P18" s="433"/>
      <c r="Q18" s="435"/>
      <c r="R18" s="436"/>
    </row>
    <row r="19" spans="1:18">
      <c r="A19" s="182" t="s">
        <v>604</v>
      </c>
      <c r="B19" s="428" t="s">
        <v>537</v>
      </c>
      <c r="C19" s="184" t="s">
        <v>37</v>
      </c>
      <c r="D19" s="89">
        <f>100085-100</f>
        <v>99985</v>
      </c>
      <c r="E19" s="192">
        <v>104</v>
      </c>
      <c r="F19" s="434">
        <v>1591.5</v>
      </c>
      <c r="G19" s="429">
        <v>20</v>
      </c>
      <c r="H19" s="430">
        <v>0.25</v>
      </c>
      <c r="I19" s="433">
        <v>10</v>
      </c>
      <c r="J19" s="433">
        <v>0</v>
      </c>
      <c r="K19" s="435">
        <v>0</v>
      </c>
      <c r="L19" s="436">
        <v>10</v>
      </c>
      <c r="M19" s="433">
        <v>0</v>
      </c>
      <c r="N19" s="435">
        <v>0</v>
      </c>
      <c r="O19" s="436">
        <v>10</v>
      </c>
      <c r="P19" s="433"/>
      <c r="Q19" s="435"/>
      <c r="R19" s="436"/>
    </row>
    <row r="20" spans="1:18">
      <c r="A20" s="182" t="s">
        <v>605</v>
      </c>
      <c r="B20" s="428" t="s">
        <v>537</v>
      </c>
      <c r="C20" s="184" t="s">
        <v>37</v>
      </c>
      <c r="D20" s="89">
        <f>100000-10</f>
        <v>99990</v>
      </c>
      <c r="E20" s="89">
        <f>85-100</f>
        <v>-15</v>
      </c>
      <c r="F20" s="434">
        <v>1591.42</v>
      </c>
      <c r="G20" s="429">
        <v>20</v>
      </c>
      <c r="H20" s="430">
        <v>0.25</v>
      </c>
      <c r="I20" s="433">
        <v>10</v>
      </c>
      <c r="J20" s="435">
        <v>3.0000000000000001E-5</v>
      </c>
      <c r="K20" s="435">
        <v>9.0000000000000002E-6</v>
      </c>
      <c r="L20" s="436">
        <v>10</v>
      </c>
      <c r="M20" s="433">
        <v>0</v>
      </c>
      <c r="N20" s="435">
        <v>0</v>
      </c>
      <c r="O20" s="436">
        <v>10</v>
      </c>
      <c r="P20" s="433"/>
      <c r="Q20" s="435"/>
      <c r="R20" s="436"/>
    </row>
    <row r="21" spans="1:18">
      <c r="A21" s="182" t="s">
        <v>605</v>
      </c>
      <c r="B21" s="428" t="s">
        <v>537</v>
      </c>
      <c r="C21" s="184" t="s">
        <v>44</v>
      </c>
      <c r="D21" s="89">
        <f>1000046-100</f>
        <v>999946</v>
      </c>
      <c r="E21" s="89">
        <f>2006-10</f>
        <v>1996</v>
      </c>
      <c r="F21" s="434">
        <v>1591.32</v>
      </c>
      <c r="G21" s="429">
        <v>20</v>
      </c>
      <c r="H21" s="430">
        <v>0.25</v>
      </c>
      <c r="I21" s="433">
        <v>10</v>
      </c>
      <c r="J21" s="435">
        <v>3.0000000000000001E-5</v>
      </c>
      <c r="K21" s="435">
        <v>9.0000000000000002E-6</v>
      </c>
      <c r="L21" s="436">
        <v>10</v>
      </c>
      <c r="M21" s="433">
        <v>0</v>
      </c>
      <c r="N21" s="435">
        <v>0</v>
      </c>
      <c r="O21" s="436">
        <v>10</v>
      </c>
      <c r="P21" s="433"/>
      <c r="Q21" s="433"/>
      <c r="R21" s="436"/>
    </row>
    <row r="22" spans="1:18">
      <c r="A22" s="182" t="s">
        <v>604</v>
      </c>
      <c r="B22" s="428" t="s">
        <v>537</v>
      </c>
      <c r="C22" s="184" t="s">
        <v>44</v>
      </c>
      <c r="D22" s="89">
        <f>1000001-100</f>
        <v>999901</v>
      </c>
      <c r="E22" s="89">
        <v>2930</v>
      </c>
      <c r="F22" s="434">
        <v>1591.19</v>
      </c>
      <c r="G22" s="429">
        <v>20</v>
      </c>
      <c r="H22" s="430">
        <v>0.25</v>
      </c>
      <c r="I22" s="433">
        <v>10</v>
      </c>
      <c r="J22" s="433">
        <v>0</v>
      </c>
      <c r="K22" s="435">
        <v>0</v>
      </c>
      <c r="L22" s="436">
        <v>10</v>
      </c>
      <c r="M22" s="433">
        <v>0</v>
      </c>
      <c r="N22" s="435">
        <v>0</v>
      </c>
      <c r="O22" s="436">
        <v>10</v>
      </c>
      <c r="P22" s="433"/>
      <c r="Q22" s="435"/>
      <c r="R22" s="436"/>
    </row>
    <row r="23" spans="1:18">
      <c r="A23" s="182" t="s">
        <v>538</v>
      </c>
      <c r="B23" s="428" t="s">
        <v>537</v>
      </c>
      <c r="C23" s="184" t="s">
        <v>44</v>
      </c>
      <c r="D23" s="89">
        <v>6</v>
      </c>
      <c r="E23" s="89">
        <f>20-1</f>
        <v>19</v>
      </c>
      <c r="F23" s="434">
        <v>1591.12</v>
      </c>
      <c r="G23" s="429">
        <v>20</v>
      </c>
      <c r="H23" s="430">
        <v>0.25</v>
      </c>
      <c r="I23" s="433">
        <v>10</v>
      </c>
      <c r="J23" s="433">
        <v>0</v>
      </c>
      <c r="K23" s="435">
        <v>0</v>
      </c>
      <c r="L23" s="436">
        <v>10</v>
      </c>
      <c r="M23" s="433">
        <v>0</v>
      </c>
      <c r="N23" s="435">
        <v>0</v>
      </c>
      <c r="O23" s="436">
        <v>10</v>
      </c>
      <c r="P23" s="433"/>
      <c r="Q23" s="435"/>
      <c r="R23" s="436"/>
    </row>
    <row r="24" spans="1:18">
      <c r="A24" s="182" t="s">
        <v>606</v>
      </c>
      <c r="B24" s="428" t="s">
        <v>537</v>
      </c>
      <c r="C24" s="184" t="s">
        <v>44</v>
      </c>
      <c r="D24" s="89">
        <f>100005-10</f>
        <v>99995</v>
      </c>
      <c r="E24" s="89">
        <v>201</v>
      </c>
      <c r="F24" s="434">
        <v>1591.82</v>
      </c>
      <c r="G24" s="429">
        <v>20</v>
      </c>
      <c r="H24" s="430">
        <v>0.25</v>
      </c>
      <c r="I24" s="433">
        <v>10</v>
      </c>
      <c r="J24" s="433">
        <v>0</v>
      </c>
      <c r="K24" s="435">
        <v>0</v>
      </c>
      <c r="L24" s="436">
        <v>10</v>
      </c>
      <c r="M24" s="433">
        <v>0</v>
      </c>
      <c r="N24" s="435">
        <v>0</v>
      </c>
      <c r="O24" s="436">
        <v>10</v>
      </c>
      <c r="P24" s="433"/>
      <c r="Q24" s="435"/>
      <c r="R24" s="436"/>
    </row>
    <row r="25" spans="1:18">
      <c r="A25" s="182" t="s">
        <v>184</v>
      </c>
      <c r="B25" s="428" t="s">
        <v>537</v>
      </c>
      <c r="C25" s="184" t="s">
        <v>44</v>
      </c>
      <c r="D25" s="89">
        <f>100087-100</f>
        <v>99987</v>
      </c>
      <c r="E25" s="89">
        <v>210</v>
      </c>
      <c r="F25" s="434">
        <v>1591.77</v>
      </c>
      <c r="G25" s="429">
        <v>20</v>
      </c>
      <c r="H25" s="430">
        <v>0.25</v>
      </c>
      <c r="I25" s="433">
        <v>10</v>
      </c>
      <c r="J25" s="435">
        <v>3.0000000000000001E-5</v>
      </c>
      <c r="K25" s="435">
        <v>9.0000000000000002E-6</v>
      </c>
      <c r="L25" s="436">
        <v>10</v>
      </c>
      <c r="M25" s="433">
        <v>0</v>
      </c>
      <c r="N25" s="435">
        <v>0</v>
      </c>
      <c r="O25" s="436">
        <v>10</v>
      </c>
      <c r="P25" s="433"/>
      <c r="Q25" s="435"/>
      <c r="R25" s="436"/>
    </row>
    <row r="26" spans="1:18">
      <c r="A26" s="182" t="s">
        <v>185</v>
      </c>
      <c r="B26" s="428" t="s">
        <v>537</v>
      </c>
      <c r="C26" s="184" t="s">
        <v>44</v>
      </c>
      <c r="D26" s="89">
        <v>10004</v>
      </c>
      <c r="E26" s="89">
        <v>46</v>
      </c>
      <c r="F26" s="434">
        <v>1591.72</v>
      </c>
      <c r="G26" s="429">
        <v>20</v>
      </c>
      <c r="H26" s="430">
        <v>0.25</v>
      </c>
      <c r="I26" s="433">
        <v>10</v>
      </c>
      <c r="J26" s="435">
        <v>4.0000000000000003E-5</v>
      </c>
      <c r="K26" s="435">
        <v>1.2E-5</v>
      </c>
      <c r="L26" s="436">
        <v>10</v>
      </c>
      <c r="M26" s="433">
        <v>0</v>
      </c>
      <c r="N26" s="435">
        <v>0</v>
      </c>
      <c r="O26" s="436">
        <v>10</v>
      </c>
      <c r="P26" s="433"/>
      <c r="Q26" s="435"/>
      <c r="R26" s="436"/>
    </row>
    <row r="27" spans="1:18">
      <c r="A27" s="182"/>
      <c r="B27" s="428"/>
      <c r="C27" s="184"/>
      <c r="D27" s="437"/>
      <c r="E27" s="437"/>
      <c r="F27" s="434"/>
      <c r="G27" s="429"/>
      <c r="H27" s="430"/>
      <c r="I27" s="433"/>
      <c r="J27" s="433"/>
      <c r="K27" s="433"/>
      <c r="L27" s="436"/>
      <c r="M27" s="433"/>
      <c r="N27" s="433"/>
      <c r="O27" s="436"/>
      <c r="P27" s="433"/>
      <c r="Q27" s="433"/>
      <c r="R27" s="436"/>
    </row>
    <row r="28" spans="1:18">
      <c r="A28" s="182"/>
      <c r="B28" s="428"/>
      <c r="C28" s="184"/>
      <c r="D28" s="437"/>
      <c r="E28" s="437"/>
      <c r="F28" s="434"/>
      <c r="G28" s="429"/>
      <c r="H28" s="430"/>
      <c r="I28" s="433"/>
      <c r="J28" s="433"/>
      <c r="K28" s="435"/>
      <c r="L28" s="436"/>
      <c r="M28" s="433"/>
      <c r="N28" s="435"/>
      <c r="O28" s="436"/>
      <c r="P28" s="433"/>
      <c r="Q28" s="435"/>
      <c r="R28" s="436"/>
    </row>
    <row r="29" spans="1:18">
      <c r="A29" s="182"/>
      <c r="B29" s="428"/>
      <c r="C29" s="184"/>
      <c r="D29" s="437"/>
      <c r="E29" s="437"/>
      <c r="F29" s="434"/>
      <c r="G29" s="429"/>
      <c r="H29" s="430"/>
      <c r="I29" s="433"/>
      <c r="J29" s="433"/>
      <c r="K29" s="435"/>
      <c r="L29" s="436"/>
      <c r="M29" s="433"/>
      <c r="N29" s="435"/>
      <c r="O29" s="436"/>
      <c r="P29" s="433"/>
      <c r="Q29" s="435"/>
      <c r="R29" s="436"/>
    </row>
    <row r="30" spans="1:18">
      <c r="A30" s="182"/>
      <c r="B30" s="428"/>
      <c r="C30" s="184"/>
      <c r="D30" s="437"/>
      <c r="E30" s="437"/>
      <c r="F30" s="434"/>
      <c r="G30" s="429"/>
      <c r="H30" s="430"/>
      <c r="I30" s="433"/>
      <c r="J30" s="433"/>
      <c r="K30" s="435"/>
      <c r="L30" s="436"/>
      <c r="M30" s="433"/>
      <c r="N30" s="435"/>
      <c r="O30" s="436"/>
      <c r="P30" s="433"/>
      <c r="Q30" s="435"/>
      <c r="R30" s="436"/>
    </row>
    <row r="31" spans="1:18">
      <c r="A31" s="182"/>
      <c r="B31" s="428"/>
      <c r="C31" s="184"/>
      <c r="D31" s="437"/>
      <c r="E31" s="437"/>
      <c r="F31" s="434"/>
      <c r="G31" s="429"/>
      <c r="H31" s="430"/>
      <c r="I31" s="433"/>
      <c r="J31" s="433"/>
      <c r="K31" s="435"/>
      <c r="L31" s="436"/>
      <c r="M31" s="433"/>
      <c r="N31" s="435"/>
      <c r="O31" s="436"/>
      <c r="P31" s="433"/>
      <c r="Q31" s="435"/>
      <c r="R31" s="436"/>
    </row>
    <row r="32" spans="1:18">
      <c r="A32" s="182"/>
      <c r="B32" s="428"/>
      <c r="C32" s="184"/>
      <c r="D32" s="437"/>
      <c r="E32" s="437"/>
      <c r="F32" s="434"/>
      <c r="G32" s="429"/>
      <c r="H32" s="430"/>
      <c r="I32" s="433"/>
      <c r="J32" s="433"/>
      <c r="K32" s="435"/>
      <c r="L32" s="436"/>
      <c r="M32" s="433"/>
      <c r="N32" s="435"/>
      <c r="O32" s="436"/>
      <c r="P32" s="433"/>
      <c r="Q32" s="435"/>
      <c r="R32" s="436"/>
    </row>
    <row r="33" spans="1:18">
      <c r="A33" s="182"/>
      <c r="B33" s="428"/>
      <c r="C33" s="184"/>
      <c r="D33" s="437"/>
      <c r="E33" s="437"/>
      <c r="F33" s="434"/>
      <c r="G33" s="429"/>
      <c r="H33" s="430"/>
      <c r="I33" s="433"/>
      <c r="J33" s="433"/>
      <c r="K33" s="435"/>
      <c r="L33" s="436"/>
      <c r="M33" s="433"/>
      <c r="N33" s="435"/>
      <c r="O33" s="436"/>
      <c r="P33" s="433"/>
      <c r="Q33" s="435"/>
      <c r="R33" s="436"/>
    </row>
    <row r="34" spans="1:18">
      <c r="A34" s="182"/>
      <c r="B34" s="428"/>
      <c r="C34" s="184"/>
      <c r="D34" s="437"/>
      <c r="E34" s="437"/>
      <c r="F34" s="434"/>
      <c r="G34" s="429"/>
      <c r="H34" s="430"/>
      <c r="I34" s="433"/>
      <c r="J34" s="433"/>
      <c r="K34" s="435"/>
      <c r="L34" s="436"/>
      <c r="M34" s="433"/>
      <c r="N34" s="435"/>
      <c r="O34" s="436"/>
      <c r="P34" s="433"/>
      <c r="Q34" s="435"/>
      <c r="R34" s="436"/>
    </row>
    <row r="35" spans="1:18">
      <c r="A35" s="182"/>
      <c r="B35" s="428"/>
      <c r="C35" s="184"/>
      <c r="D35" s="437"/>
      <c r="E35" s="437"/>
      <c r="F35" s="434"/>
      <c r="G35" s="429"/>
      <c r="H35" s="430"/>
      <c r="I35" s="433"/>
      <c r="J35" s="433"/>
      <c r="K35" s="433"/>
      <c r="L35" s="436"/>
      <c r="M35" s="433"/>
      <c r="N35" s="433"/>
      <c r="O35" s="436"/>
      <c r="P35" s="433"/>
      <c r="Q35" s="433"/>
      <c r="R35" s="436"/>
    </row>
    <row r="36" spans="1:18">
      <c r="A36" s="182"/>
      <c r="B36" s="428"/>
      <c r="C36" s="184"/>
      <c r="D36" s="437"/>
      <c r="E36" s="437"/>
      <c r="F36" s="434"/>
      <c r="G36" s="429"/>
      <c r="H36" s="433"/>
      <c r="I36" s="433"/>
      <c r="J36" s="433"/>
      <c r="K36" s="433"/>
      <c r="L36" s="433"/>
      <c r="M36" s="433"/>
      <c r="N36" s="433"/>
      <c r="O36" s="433"/>
      <c r="P36" s="433"/>
      <c r="Q36" s="433"/>
      <c r="R36" s="433"/>
    </row>
    <row r="37" spans="1:18">
      <c r="A37" s="182"/>
      <c r="B37" s="428"/>
      <c r="C37" s="184"/>
      <c r="D37" s="437"/>
      <c r="E37" s="437"/>
      <c r="F37" s="434"/>
      <c r="G37" s="429"/>
      <c r="H37" s="433"/>
      <c r="I37" s="433"/>
      <c r="J37" s="433"/>
      <c r="K37" s="433"/>
      <c r="L37" s="433"/>
      <c r="M37" s="433"/>
      <c r="N37" s="433"/>
      <c r="O37" s="433"/>
      <c r="P37" s="433"/>
      <c r="Q37" s="433"/>
      <c r="R37" s="433"/>
    </row>
    <row r="38" spans="1:18">
      <c r="A38" s="182"/>
      <c r="B38" s="428"/>
      <c r="C38" s="184"/>
      <c r="D38" s="437"/>
      <c r="E38" s="437"/>
      <c r="F38" s="434"/>
      <c r="G38" s="429"/>
      <c r="H38" s="433"/>
      <c r="I38" s="433"/>
      <c r="J38" s="433"/>
      <c r="K38" s="433"/>
      <c r="L38" s="433"/>
      <c r="M38" s="433"/>
      <c r="N38" s="433"/>
      <c r="O38" s="433"/>
      <c r="P38" s="433"/>
      <c r="Q38" s="433"/>
      <c r="R38" s="433"/>
    </row>
    <row r="39" spans="1:18">
      <c r="A39" s="182"/>
      <c r="B39" s="428"/>
      <c r="C39" s="184"/>
      <c r="D39" s="437"/>
      <c r="E39" s="437"/>
      <c r="F39" s="434"/>
      <c r="G39" s="429"/>
      <c r="H39" s="433"/>
      <c r="I39" s="433"/>
      <c r="J39" s="433"/>
      <c r="K39" s="433"/>
      <c r="L39" s="433"/>
      <c r="M39" s="433"/>
      <c r="N39" s="433"/>
      <c r="O39" s="433"/>
      <c r="P39" s="433"/>
      <c r="Q39" s="433"/>
      <c r="R39" s="433"/>
    </row>
    <row r="40" spans="1:18">
      <c r="A40" s="182"/>
      <c r="B40" s="428"/>
      <c r="C40" s="184"/>
      <c r="D40" s="437"/>
      <c r="E40" s="437"/>
      <c r="F40" s="434"/>
      <c r="G40" s="429"/>
      <c r="H40" s="433"/>
      <c r="I40" s="433"/>
      <c r="J40" s="433"/>
      <c r="K40" s="433"/>
      <c r="L40" s="433"/>
      <c r="M40" s="433"/>
      <c r="N40" s="433"/>
      <c r="O40" s="433"/>
      <c r="P40" s="433"/>
      <c r="Q40" s="433"/>
      <c r="R40" s="433"/>
    </row>
    <row r="41" spans="1:18">
      <c r="A41" s="182"/>
      <c r="B41" s="428"/>
      <c r="C41" s="184"/>
      <c r="D41" s="437"/>
      <c r="E41" s="437"/>
      <c r="F41" s="434"/>
      <c r="G41" s="429"/>
      <c r="H41" s="433"/>
      <c r="I41" s="433"/>
      <c r="J41" s="433"/>
      <c r="K41" s="433"/>
      <c r="L41" s="433"/>
      <c r="M41" s="433"/>
      <c r="N41" s="433"/>
      <c r="O41" s="433"/>
      <c r="P41" s="433"/>
      <c r="Q41" s="433"/>
      <c r="R41" s="433"/>
    </row>
    <row r="42" spans="1:18">
      <c r="A42" s="182"/>
      <c r="B42" s="428"/>
      <c r="C42" s="184"/>
      <c r="D42" s="437"/>
      <c r="E42" s="437"/>
      <c r="F42" s="434"/>
      <c r="G42" s="429"/>
      <c r="H42" s="433"/>
      <c r="I42" s="433"/>
      <c r="J42" s="433"/>
      <c r="K42" s="433"/>
      <c r="L42" s="433"/>
      <c r="M42" s="433"/>
      <c r="N42" s="433"/>
      <c r="O42" s="433"/>
      <c r="P42" s="433"/>
      <c r="Q42" s="433"/>
      <c r="R42" s="433"/>
    </row>
    <row r="43" spans="1:18">
      <c r="A43" s="182"/>
      <c r="B43" s="428"/>
      <c r="C43" s="184"/>
      <c r="D43" s="437"/>
      <c r="E43" s="437"/>
      <c r="F43" s="434"/>
      <c r="G43" s="429"/>
      <c r="H43" s="433"/>
      <c r="I43" s="433"/>
      <c r="J43" s="433"/>
      <c r="K43" s="433"/>
      <c r="L43" s="433"/>
      <c r="M43" s="433"/>
      <c r="N43" s="433"/>
      <c r="O43" s="433"/>
      <c r="P43" s="433"/>
      <c r="Q43" s="433"/>
      <c r="R43" s="433"/>
    </row>
    <row r="44" spans="1:18">
      <c r="A44" s="182"/>
      <c r="B44" s="428"/>
      <c r="C44" s="184"/>
      <c r="D44" s="437"/>
      <c r="E44" s="437"/>
      <c r="F44" s="434"/>
      <c r="G44" s="429"/>
      <c r="H44" s="433"/>
      <c r="I44" s="433"/>
      <c r="J44" s="433"/>
      <c r="K44" s="433"/>
      <c r="L44" s="433"/>
      <c r="M44" s="433"/>
      <c r="N44" s="433"/>
      <c r="O44" s="433"/>
      <c r="P44" s="433"/>
      <c r="Q44" s="433"/>
      <c r="R44" s="433"/>
    </row>
    <row r="45" spans="1:18">
      <c r="A45" s="182"/>
      <c r="B45" s="428"/>
      <c r="C45" s="184"/>
      <c r="D45" s="437"/>
      <c r="E45" s="437"/>
      <c r="F45" s="434"/>
      <c r="G45" s="429"/>
      <c r="H45" s="433"/>
      <c r="I45" s="433"/>
      <c r="J45" s="433"/>
      <c r="K45" s="433"/>
      <c r="L45" s="433"/>
      <c r="M45" s="433"/>
      <c r="N45" s="433"/>
      <c r="O45" s="433"/>
      <c r="P45" s="433"/>
      <c r="Q45" s="433"/>
      <c r="R45" s="433"/>
    </row>
    <row r="46" spans="1:18">
      <c r="A46" s="182"/>
      <c r="B46" s="428"/>
      <c r="C46" s="184"/>
      <c r="D46" s="437"/>
      <c r="E46" s="437"/>
      <c r="F46" s="434"/>
      <c r="G46" s="429"/>
      <c r="H46" s="433"/>
      <c r="I46" s="433"/>
      <c r="J46" s="433"/>
      <c r="K46" s="433"/>
      <c r="L46" s="433"/>
      <c r="M46" s="433"/>
      <c r="N46" s="433"/>
      <c r="O46" s="433"/>
      <c r="P46" s="433"/>
      <c r="Q46" s="433"/>
      <c r="R46" s="433"/>
    </row>
    <row r="47" spans="1:18">
      <c r="A47" s="182"/>
      <c r="B47" s="428"/>
      <c r="C47" s="184"/>
      <c r="D47" s="437"/>
      <c r="E47" s="437"/>
      <c r="F47" s="434"/>
      <c r="G47" s="429"/>
      <c r="H47" s="433"/>
      <c r="I47" s="433"/>
      <c r="J47" s="433"/>
      <c r="K47" s="433"/>
      <c r="L47" s="433"/>
      <c r="M47" s="433"/>
      <c r="N47" s="433"/>
      <c r="O47" s="433"/>
      <c r="P47" s="433"/>
      <c r="Q47" s="433"/>
      <c r="R47" s="433"/>
    </row>
    <row r="48" spans="1:18">
      <c r="A48" s="182"/>
      <c r="B48" s="428"/>
      <c r="C48" s="184"/>
      <c r="D48" s="437"/>
      <c r="E48" s="437"/>
      <c r="F48" s="434"/>
      <c r="G48" s="429"/>
      <c r="H48" s="433"/>
      <c r="I48" s="433"/>
      <c r="J48" s="433"/>
      <c r="K48" s="433"/>
      <c r="L48" s="433"/>
      <c r="M48" s="433"/>
      <c r="N48" s="433"/>
      <c r="O48" s="433"/>
      <c r="P48" s="433"/>
      <c r="Q48" s="433"/>
      <c r="R48" s="433"/>
    </row>
    <row r="49" spans="1:18">
      <c r="A49" s="182"/>
      <c r="B49" s="428"/>
      <c r="C49" s="184"/>
      <c r="D49" s="437"/>
      <c r="E49" s="437"/>
      <c r="F49" s="434"/>
      <c r="G49" s="429"/>
      <c r="H49" s="433"/>
      <c r="I49" s="433"/>
      <c r="J49" s="433"/>
      <c r="K49" s="433"/>
      <c r="L49" s="433"/>
      <c r="M49" s="433"/>
      <c r="N49" s="433"/>
      <c r="O49" s="433"/>
      <c r="P49" s="433"/>
      <c r="Q49" s="433"/>
      <c r="R49" s="433"/>
    </row>
    <row r="50" spans="1:18">
      <c r="A50" s="182"/>
      <c r="B50" s="428"/>
      <c r="C50" s="184"/>
      <c r="D50" s="437"/>
      <c r="E50" s="437"/>
      <c r="F50" s="434"/>
      <c r="G50" s="429"/>
      <c r="H50" s="433"/>
      <c r="I50" s="433"/>
      <c r="J50" s="433"/>
      <c r="K50" s="433"/>
      <c r="L50" s="433"/>
      <c r="M50" s="433"/>
      <c r="N50" s="433"/>
      <c r="O50" s="433"/>
      <c r="P50" s="433"/>
      <c r="Q50" s="433"/>
      <c r="R50" s="433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3"/>
  <sheetViews>
    <sheetView workbookViewId="0">
      <selection activeCell="A2" sqref="A2:W19"/>
    </sheetView>
  </sheetViews>
  <sheetFormatPr defaultColWidth="11.42578125" defaultRowHeight="12.75"/>
  <cols>
    <col min="8" max="15" width="0" hidden="1" customWidth="1"/>
    <col min="16" max="16" width="12.28515625" customWidth="1"/>
    <col min="17" max="17" width="12.42578125" bestFit="1" customWidth="1"/>
    <col min="18" max="18" width="13.140625" bestFit="1" customWidth="1"/>
    <col min="26" max="27" width="15" customWidth="1"/>
    <col min="28" max="28" width="13.7109375" bestFit="1" customWidth="1"/>
    <col min="32" max="32" width="13.140625" bestFit="1" customWidth="1"/>
    <col min="39" max="39" width="13.140625" bestFit="1" customWidth="1"/>
    <col min="45" max="45" width="13.140625" bestFit="1" customWidth="1"/>
  </cols>
  <sheetData>
    <row r="1" spans="1:43">
      <c r="A1" s="181" t="s">
        <v>183</v>
      </c>
      <c r="B1" s="181" t="s">
        <v>16</v>
      </c>
      <c r="C1" s="181" t="s">
        <v>33</v>
      </c>
      <c r="D1" s="181" t="s">
        <v>539</v>
      </c>
      <c r="E1" s="181" t="s">
        <v>540</v>
      </c>
      <c r="F1" s="181" t="s">
        <v>541</v>
      </c>
      <c r="G1" s="181" t="s">
        <v>450</v>
      </c>
      <c r="H1" s="181" t="s">
        <v>542</v>
      </c>
      <c r="I1" s="181" t="s">
        <v>543</v>
      </c>
      <c r="J1" s="181" t="s">
        <v>544</v>
      </c>
      <c r="K1" s="181" t="s">
        <v>545</v>
      </c>
      <c r="L1" s="181" t="s">
        <v>546</v>
      </c>
      <c r="M1" s="181" t="s">
        <v>547</v>
      </c>
      <c r="N1" s="181" t="s">
        <v>548</v>
      </c>
      <c r="O1" s="181" t="s">
        <v>549</v>
      </c>
      <c r="P1" s="181" t="s">
        <v>550</v>
      </c>
      <c r="Q1" s="181" t="s">
        <v>551</v>
      </c>
      <c r="R1" s="181" t="s">
        <v>552</v>
      </c>
      <c r="S1" s="181" t="s">
        <v>553</v>
      </c>
      <c r="T1" s="181" t="s">
        <v>554</v>
      </c>
      <c r="U1" s="181" t="s">
        <v>555</v>
      </c>
      <c r="V1" s="181" t="s">
        <v>556</v>
      </c>
      <c r="W1" s="181" t="s">
        <v>557</v>
      </c>
      <c r="X1" s="181" t="s">
        <v>558</v>
      </c>
      <c r="Y1" s="181" t="s">
        <v>559</v>
      </c>
      <c r="Z1" s="181" t="s">
        <v>560</v>
      </c>
      <c r="AA1" s="181" t="s">
        <v>624</v>
      </c>
      <c r="AB1" s="181" t="s">
        <v>0</v>
      </c>
      <c r="AE1" s="181" t="s">
        <v>561</v>
      </c>
      <c r="AH1" s="181" t="s">
        <v>625</v>
      </c>
      <c r="AI1" s="181" t="s">
        <v>626</v>
      </c>
      <c r="AJ1" s="181" t="s">
        <v>17</v>
      </c>
      <c r="AK1" s="181" t="s">
        <v>633</v>
      </c>
      <c r="AL1" s="181"/>
      <c r="AO1" s="181"/>
    </row>
    <row r="2" spans="1:43">
      <c r="A2" s="438" t="s">
        <v>600</v>
      </c>
      <c r="B2" s="438" t="s">
        <v>537</v>
      </c>
      <c r="C2" s="438" t="s">
        <v>38</v>
      </c>
      <c r="D2" s="438">
        <v>999846</v>
      </c>
      <c r="E2" s="438">
        <v>1716</v>
      </c>
      <c r="F2" s="438">
        <v>1592.03</v>
      </c>
      <c r="G2" s="438">
        <v>20</v>
      </c>
      <c r="H2" s="438">
        <v>0.25</v>
      </c>
      <c r="I2" s="438">
        <v>10</v>
      </c>
      <c r="J2" s="438">
        <v>7.5000000000000002E-6</v>
      </c>
      <c r="K2" s="438">
        <v>2.7500000000000001E-5</v>
      </c>
      <c r="L2" s="438">
        <v>10</v>
      </c>
      <c r="M2" s="438">
        <v>0</v>
      </c>
      <c r="N2" s="438">
        <v>0</v>
      </c>
      <c r="O2" s="438">
        <v>10</v>
      </c>
      <c r="P2" s="439">
        <v>9.9992128170980319E-7</v>
      </c>
      <c r="Q2" s="438">
        <v>4.590068210131768E-11</v>
      </c>
      <c r="R2" s="438">
        <v>2.0239427291867189</v>
      </c>
      <c r="S2" s="438">
        <v>1.717897097415511E-6</v>
      </c>
      <c r="T2" s="438">
        <v>3.7844379049465149E-7</v>
      </c>
      <c r="U2" s="438">
        <v>2.2183785082220808</v>
      </c>
      <c r="V2" s="438">
        <v>2.1998393823389051E-11</v>
      </c>
      <c r="W2" s="438">
        <v>2.700629670831828E-7</v>
      </c>
      <c r="X2" s="85">
        <f t="shared" ref="X2:X18" si="0">Q2/V2</f>
        <v>2.086546975648528</v>
      </c>
      <c r="Y2" s="85">
        <f t="shared" ref="Y2:Y18" si="1">T2/W2</f>
        <v>1.4013168654037857</v>
      </c>
      <c r="Z2" t="str">
        <f>A2&amp;B2</f>
        <v>1 microF1.6k</v>
      </c>
      <c r="AA2" s="258">
        <v>1000000</v>
      </c>
      <c r="AB2" s="440">
        <f>P2*AA2</f>
        <v>0.99992128170980321</v>
      </c>
      <c r="AC2" s="350">
        <f>Q2*AA2</f>
        <v>4.590068210131768E-5</v>
      </c>
      <c r="AD2" s="85">
        <f t="shared" ref="AD2:AD17" si="2">R2</f>
        <v>2.0239427291867189</v>
      </c>
      <c r="AE2" s="258">
        <f t="shared" ref="AE2:AE17" si="3">S2</f>
        <v>1.717897097415511E-6</v>
      </c>
      <c r="AF2" s="258">
        <f t="shared" ref="AF2:AF17" si="4">T2</f>
        <v>3.7844379049465149E-7</v>
      </c>
      <c r="AG2" s="85">
        <f t="shared" ref="AG2:AG17" si="5">U2</f>
        <v>2.2183785082220808</v>
      </c>
      <c r="AH2" s="65">
        <f t="shared" ref="AH2:AH18" si="6">ATAN(S2/(2*PI()*F2*P2))*1000</f>
        <v>0.1717513717035469</v>
      </c>
      <c r="AI2" s="65">
        <f>ATAN(T2/(2*PI()*F2*P2))*1000</f>
        <v>3.7835933733186937E-2</v>
      </c>
      <c r="AJ2" s="85">
        <f>U2</f>
        <v>2.2183785082220808</v>
      </c>
      <c r="AL2" s="181"/>
      <c r="AO2" s="181"/>
    </row>
    <row r="3" spans="1:43">
      <c r="A3" s="438" t="s">
        <v>538</v>
      </c>
      <c r="B3" s="438" t="s">
        <v>537</v>
      </c>
      <c r="C3" s="438" t="s">
        <v>38</v>
      </c>
      <c r="D3" s="438">
        <v>0</v>
      </c>
      <c r="E3" s="438">
        <v>-2</v>
      </c>
      <c r="F3" s="438">
        <v>1592.02</v>
      </c>
      <c r="G3" s="438">
        <v>20</v>
      </c>
      <c r="H3" s="438">
        <v>0.25</v>
      </c>
      <c r="I3" s="438">
        <v>10</v>
      </c>
      <c r="J3" s="438">
        <v>0</v>
      </c>
      <c r="K3" s="438">
        <v>0</v>
      </c>
      <c r="L3" s="438">
        <v>10</v>
      </c>
      <c r="M3" s="438">
        <v>0</v>
      </c>
      <c r="N3" s="438">
        <v>0</v>
      </c>
      <c r="O3" s="438">
        <v>10</v>
      </c>
      <c r="P3" s="439">
        <v>0</v>
      </c>
      <c r="Q3" s="438">
        <v>0</v>
      </c>
      <c r="R3" s="438">
        <v>0</v>
      </c>
      <c r="S3" s="438">
        <v>0</v>
      </c>
      <c r="T3" s="438">
        <v>0</v>
      </c>
      <c r="U3" s="438">
        <v>0</v>
      </c>
      <c r="V3" s="438">
        <v>1.2562656248037091E-16</v>
      </c>
      <c r="W3" s="438">
        <v>0</v>
      </c>
      <c r="X3" s="85">
        <f t="shared" si="0"/>
        <v>0</v>
      </c>
      <c r="Y3" s="85" t="e">
        <f t="shared" si="1"/>
        <v>#DIV/0!</v>
      </c>
      <c r="Z3" t="str">
        <f>A3&amp;B3</f>
        <v>coax zero1.6k</v>
      </c>
      <c r="AA3" s="258">
        <v>1000000</v>
      </c>
      <c r="AB3" s="440">
        <f t="shared" ref="AB3:AB19" si="7">P3*AA3</f>
        <v>0</v>
      </c>
      <c r="AC3" s="350">
        <f t="shared" ref="AC3:AC19" si="8">Q3*AA3</f>
        <v>0</v>
      </c>
      <c r="AD3" s="85">
        <f t="shared" si="2"/>
        <v>0</v>
      </c>
      <c r="AE3" s="258">
        <f t="shared" si="3"/>
        <v>0</v>
      </c>
      <c r="AF3" s="258">
        <f t="shared" si="4"/>
        <v>0</v>
      </c>
      <c r="AG3" s="85">
        <f t="shared" si="5"/>
        <v>0</v>
      </c>
      <c r="AH3" s="65" t="e">
        <f t="shared" si="6"/>
        <v>#DIV/0!</v>
      </c>
      <c r="AI3" s="65" t="e">
        <f t="shared" ref="AI3:AI19" si="9">ATAN(T3/(2*PI()*F3*P3))*1000</f>
        <v>#DIV/0!</v>
      </c>
      <c r="AJ3" s="85">
        <f t="shared" ref="AJ3:AJ19" si="10">U3</f>
        <v>0</v>
      </c>
    </row>
    <row r="4" spans="1:43">
      <c r="A4" s="438" t="s">
        <v>538</v>
      </c>
      <c r="B4" s="438" t="s">
        <v>537</v>
      </c>
      <c r="C4" s="438" t="s">
        <v>95</v>
      </c>
      <c r="D4" s="438">
        <v>0</v>
      </c>
      <c r="E4" s="438">
        <v>-1</v>
      </c>
      <c r="F4" s="438">
        <v>1591.73</v>
      </c>
      <c r="G4" s="438">
        <v>20</v>
      </c>
      <c r="H4" s="438">
        <v>0.25</v>
      </c>
      <c r="I4" s="438">
        <v>10</v>
      </c>
      <c r="J4" s="438">
        <v>0</v>
      </c>
      <c r="K4" s="438">
        <v>0</v>
      </c>
      <c r="L4" s="438">
        <v>10</v>
      </c>
      <c r="M4" s="438">
        <v>0</v>
      </c>
      <c r="N4" s="438">
        <v>0</v>
      </c>
      <c r="O4" s="438">
        <v>10</v>
      </c>
      <c r="P4" s="439">
        <v>0</v>
      </c>
      <c r="Q4" s="438">
        <v>0</v>
      </c>
      <c r="R4" s="438">
        <v>0</v>
      </c>
      <c r="S4" s="438">
        <v>0</v>
      </c>
      <c r="T4" s="438">
        <v>0</v>
      </c>
      <c r="U4" s="438">
        <v>0</v>
      </c>
      <c r="V4" s="438">
        <v>1.256494505977773E-16</v>
      </c>
      <c r="W4" s="438">
        <v>0</v>
      </c>
      <c r="X4" s="85">
        <f t="shared" si="0"/>
        <v>0</v>
      </c>
      <c r="Y4" s="85" t="e">
        <f t="shared" si="1"/>
        <v>#DIV/0!</v>
      </c>
      <c r="Z4" t="str">
        <f t="shared" ref="Z4:Z17" si="11">A4&amp;B4</f>
        <v>coax zero1.6k</v>
      </c>
      <c r="AA4" s="258">
        <v>1000000</v>
      </c>
      <c r="AB4" s="440">
        <f t="shared" si="7"/>
        <v>0</v>
      </c>
      <c r="AC4" s="350">
        <f t="shared" si="8"/>
        <v>0</v>
      </c>
      <c r="AD4" s="85">
        <f t="shared" si="2"/>
        <v>0</v>
      </c>
      <c r="AE4" s="258">
        <f t="shared" si="3"/>
        <v>0</v>
      </c>
      <c r="AF4" s="258">
        <f t="shared" si="4"/>
        <v>0</v>
      </c>
      <c r="AG4" s="85">
        <f t="shared" si="5"/>
        <v>0</v>
      </c>
      <c r="AH4" s="65" t="e">
        <f t="shared" si="6"/>
        <v>#DIV/0!</v>
      </c>
      <c r="AI4" s="65" t="e">
        <f t="shared" si="9"/>
        <v>#DIV/0!</v>
      </c>
      <c r="AJ4" s="85">
        <f t="shared" si="10"/>
        <v>0</v>
      </c>
    </row>
    <row r="5" spans="1:43">
      <c r="A5" s="438" t="s">
        <v>601</v>
      </c>
      <c r="B5" s="438" t="s">
        <v>537</v>
      </c>
      <c r="C5" s="438" t="s">
        <v>95</v>
      </c>
      <c r="D5" s="438">
        <v>999964</v>
      </c>
      <c r="E5" s="438">
        <v>412</v>
      </c>
      <c r="F5" s="438">
        <v>1591.65</v>
      </c>
      <c r="G5" s="438">
        <v>20</v>
      </c>
      <c r="H5" s="438">
        <v>0.25</v>
      </c>
      <c r="I5" s="438">
        <v>10</v>
      </c>
      <c r="J5" s="438">
        <v>7.5000000000000002E-6</v>
      </c>
      <c r="K5" s="438">
        <v>2.7500000000000001E-5</v>
      </c>
      <c r="L5" s="438">
        <v>10</v>
      </c>
      <c r="M5" s="438">
        <v>0</v>
      </c>
      <c r="N5" s="438">
        <v>0</v>
      </c>
      <c r="O5" s="438">
        <v>10</v>
      </c>
      <c r="P5" s="439">
        <v>1.000039290594413E-7</v>
      </c>
      <c r="Q5" s="438">
        <v>4.5906087527501538E-12</v>
      </c>
      <c r="R5" s="438">
        <v>2.023942805998185</v>
      </c>
      <c r="S5" s="438">
        <v>4.129752626499454E-8</v>
      </c>
      <c r="T5" s="438">
        <v>3.7830912041095049E-8</v>
      </c>
      <c r="U5" s="438">
        <v>2.2183700638724111</v>
      </c>
      <c r="V5" s="438">
        <v>2.2002120950737371E-12</v>
      </c>
      <c r="W5" s="438">
        <v>2.7005467197960271E-8</v>
      </c>
      <c r="X5" s="85">
        <f t="shared" si="0"/>
        <v>2.0864391951250982</v>
      </c>
      <c r="Y5" s="85">
        <f t="shared" si="1"/>
        <v>1.4008612316824656</v>
      </c>
      <c r="Z5" t="str">
        <f t="shared" si="11"/>
        <v>0.1 microF1.6k</v>
      </c>
      <c r="AA5" s="258">
        <v>1000000</v>
      </c>
      <c r="AB5" s="440">
        <f t="shared" si="7"/>
        <v>0.1000039290594413</v>
      </c>
      <c r="AC5" s="350">
        <f t="shared" si="8"/>
        <v>4.5906087527501537E-6</v>
      </c>
      <c r="AD5" s="85">
        <f t="shared" si="2"/>
        <v>2.023942805998185</v>
      </c>
      <c r="AE5" s="258">
        <f t="shared" si="3"/>
        <v>4.129752626499454E-8</v>
      </c>
      <c r="AF5" s="258">
        <f t="shared" si="4"/>
        <v>3.7830912041095049E-8</v>
      </c>
      <c r="AG5" s="85">
        <f t="shared" si="5"/>
        <v>2.2183700638724111</v>
      </c>
      <c r="AH5" s="65">
        <f t="shared" si="6"/>
        <v>4.1293294401709549E-2</v>
      </c>
      <c r="AI5" s="65">
        <f t="shared" si="9"/>
        <v>3.7827035414106099E-2</v>
      </c>
      <c r="AJ5" s="85">
        <f t="shared" si="10"/>
        <v>2.2183700638724111</v>
      </c>
      <c r="AK5" s="85"/>
      <c r="AL5" s="258"/>
      <c r="AN5" s="85"/>
      <c r="AQ5" s="85"/>
    </row>
    <row r="6" spans="1:43">
      <c r="A6" s="438" t="s">
        <v>602</v>
      </c>
      <c r="B6" s="438" t="s">
        <v>537</v>
      </c>
      <c r="C6" s="438" t="s">
        <v>42</v>
      </c>
      <c r="D6" s="438">
        <v>1000024</v>
      </c>
      <c r="E6" s="438">
        <v>498</v>
      </c>
      <c r="F6" s="438">
        <v>1591.58</v>
      </c>
      <c r="G6" s="438">
        <v>20</v>
      </c>
      <c r="H6" s="438">
        <v>0.25</v>
      </c>
      <c r="I6" s="438">
        <v>10</v>
      </c>
      <c r="J6" s="438">
        <v>7.5000000000000002E-6</v>
      </c>
      <c r="K6" s="438">
        <v>2.7500000000000001E-5</v>
      </c>
      <c r="L6" s="438">
        <v>10</v>
      </c>
      <c r="M6" s="438">
        <v>0</v>
      </c>
      <c r="N6" s="438">
        <v>0</v>
      </c>
      <c r="O6" s="438">
        <v>10</v>
      </c>
      <c r="P6" s="439">
        <v>1.0001002951873049E-8</v>
      </c>
      <c r="Q6" s="438">
        <v>4.5908856031900876E-13</v>
      </c>
      <c r="R6" s="438">
        <v>2.0239428886830959</v>
      </c>
      <c r="S6" s="438">
        <v>4.9597029122124191E-9</v>
      </c>
      <c r="T6" s="438">
        <v>3.7829911004234424E-9</v>
      </c>
      <c r="U6" s="438">
        <v>2.2183688620089681</v>
      </c>
      <c r="V6" s="438">
        <v>2.2014750621719449E-13</v>
      </c>
      <c r="W6" s="438">
        <v>2.703020013035261E-9</v>
      </c>
      <c r="X6" s="85">
        <f t="shared" si="0"/>
        <v>2.0853679798947091</v>
      </c>
      <c r="Y6" s="85">
        <f t="shared" si="1"/>
        <v>1.3995423941295448</v>
      </c>
      <c r="Z6" t="str">
        <f t="shared" si="11"/>
        <v>0.01 microF1.6k</v>
      </c>
      <c r="AA6" s="258">
        <v>1000000</v>
      </c>
      <c r="AB6" s="440">
        <f t="shared" si="7"/>
        <v>1.0001002951873049E-2</v>
      </c>
      <c r="AC6" s="350">
        <f t="shared" si="8"/>
        <v>4.5908856031900874E-7</v>
      </c>
      <c r="AD6" s="85">
        <f t="shared" si="2"/>
        <v>2.0239428886830959</v>
      </c>
      <c r="AE6" s="258">
        <f t="shared" si="3"/>
        <v>4.9597029122124191E-9</v>
      </c>
      <c r="AF6" s="258">
        <f t="shared" si="4"/>
        <v>3.7829911004234424E-9</v>
      </c>
      <c r="AG6" s="85">
        <f t="shared" si="5"/>
        <v>2.2183688620089681</v>
      </c>
      <c r="AH6" s="65">
        <f t="shared" si="6"/>
        <v>4.959110273473219E-2</v>
      </c>
      <c r="AI6" s="65">
        <f t="shared" si="9"/>
        <v>3.7825390691860701E-2</v>
      </c>
      <c r="AJ6" s="85">
        <f t="shared" si="10"/>
        <v>2.2183688620089681</v>
      </c>
      <c r="AL6" s="258"/>
    </row>
    <row r="7" spans="1:43">
      <c r="A7" s="438" t="s">
        <v>538</v>
      </c>
      <c r="B7" s="438" t="s">
        <v>537</v>
      </c>
      <c r="C7" s="438" t="s">
        <v>42</v>
      </c>
      <c r="D7" s="438">
        <v>-1</v>
      </c>
      <c r="E7" s="438">
        <v>2</v>
      </c>
      <c r="F7" s="438">
        <v>1591.52</v>
      </c>
      <c r="G7" s="438">
        <v>20</v>
      </c>
      <c r="H7" s="438">
        <v>0.25</v>
      </c>
      <c r="I7" s="438">
        <v>10</v>
      </c>
      <c r="J7" s="438">
        <v>0</v>
      </c>
      <c r="K7" s="438">
        <v>0</v>
      </c>
      <c r="L7" s="438">
        <v>10</v>
      </c>
      <c r="M7" s="438">
        <v>0</v>
      </c>
      <c r="N7" s="438">
        <v>0</v>
      </c>
      <c r="O7" s="438">
        <v>10</v>
      </c>
      <c r="P7" s="439">
        <v>0</v>
      </c>
      <c r="Q7" s="438">
        <v>0</v>
      </c>
      <c r="R7" s="438">
        <v>0</v>
      </c>
      <c r="S7" s="438">
        <v>0</v>
      </c>
      <c r="T7" s="438">
        <v>0</v>
      </c>
      <c r="U7" s="438">
        <v>0</v>
      </c>
      <c r="V7" s="438">
        <v>1.254460133942544E-16</v>
      </c>
      <c r="W7" s="438">
        <v>2.697249918262477E-12</v>
      </c>
      <c r="X7" s="85">
        <f t="shared" si="0"/>
        <v>0</v>
      </c>
      <c r="Y7" s="85">
        <f t="shared" si="1"/>
        <v>0</v>
      </c>
      <c r="Z7" t="str">
        <f t="shared" si="11"/>
        <v>coax zero1.6k</v>
      </c>
      <c r="AA7" s="258">
        <v>1000000</v>
      </c>
      <c r="AB7" s="440">
        <f t="shared" si="7"/>
        <v>0</v>
      </c>
      <c r="AC7" s="350">
        <f t="shared" si="8"/>
        <v>0</v>
      </c>
      <c r="AD7" s="85">
        <f t="shared" si="2"/>
        <v>0</v>
      </c>
      <c r="AE7" s="258">
        <f t="shared" si="3"/>
        <v>0</v>
      </c>
      <c r="AF7" s="258">
        <f t="shared" si="4"/>
        <v>0</v>
      </c>
      <c r="AG7" s="85">
        <f t="shared" si="5"/>
        <v>0</v>
      </c>
      <c r="AH7" s="65" t="e">
        <f t="shared" si="6"/>
        <v>#DIV/0!</v>
      </c>
      <c r="AI7" s="65" t="e">
        <f t="shared" si="9"/>
        <v>#DIV/0!</v>
      </c>
      <c r="AJ7" s="85">
        <f t="shared" si="10"/>
        <v>0</v>
      </c>
      <c r="AK7" s="85"/>
      <c r="AL7" s="258"/>
      <c r="AN7" s="85"/>
      <c r="AQ7" s="85"/>
    </row>
    <row r="8" spans="1:43">
      <c r="A8" s="438" t="s">
        <v>538</v>
      </c>
      <c r="B8" s="438" t="s">
        <v>537</v>
      </c>
      <c r="C8" s="438" t="s">
        <v>37</v>
      </c>
      <c r="D8" s="438">
        <v>0</v>
      </c>
      <c r="E8" s="438">
        <v>14</v>
      </c>
      <c r="F8" s="438">
        <v>1591.77</v>
      </c>
      <c r="G8" s="438">
        <v>20</v>
      </c>
      <c r="H8" s="438">
        <v>0.25</v>
      </c>
      <c r="I8" s="438">
        <v>10</v>
      </c>
      <c r="J8" s="438">
        <v>0</v>
      </c>
      <c r="K8" s="438">
        <v>0</v>
      </c>
      <c r="L8" s="438">
        <v>10</v>
      </c>
      <c r="M8" s="438">
        <v>0</v>
      </c>
      <c r="N8" s="438">
        <v>0</v>
      </c>
      <c r="O8" s="438">
        <v>10</v>
      </c>
      <c r="P8" s="439">
        <v>0</v>
      </c>
      <c r="Q8" s="438">
        <v>0</v>
      </c>
      <c r="R8" s="438">
        <v>0</v>
      </c>
      <c r="S8" s="438">
        <v>0</v>
      </c>
      <c r="T8" s="438">
        <v>0</v>
      </c>
      <c r="U8" s="438">
        <v>0</v>
      </c>
      <c r="V8" s="438">
        <v>1.2564629312023721E-16</v>
      </c>
      <c r="W8" s="438">
        <v>0</v>
      </c>
      <c r="X8" s="85">
        <f t="shared" si="0"/>
        <v>0</v>
      </c>
      <c r="Y8" s="85" t="e">
        <f t="shared" si="1"/>
        <v>#DIV/0!</v>
      </c>
      <c r="Z8" t="str">
        <f t="shared" si="11"/>
        <v>coax zero1.6k</v>
      </c>
      <c r="AA8" s="258">
        <v>1000000000000</v>
      </c>
      <c r="AB8" s="440">
        <f t="shared" si="7"/>
        <v>0</v>
      </c>
      <c r="AC8" s="350">
        <f t="shared" si="8"/>
        <v>0</v>
      </c>
      <c r="AD8" s="85">
        <f t="shared" si="2"/>
        <v>0</v>
      </c>
      <c r="AE8" s="258">
        <f t="shared" si="3"/>
        <v>0</v>
      </c>
      <c r="AF8" s="258">
        <f t="shared" si="4"/>
        <v>0</v>
      </c>
      <c r="AG8" s="85">
        <f t="shared" si="5"/>
        <v>0</v>
      </c>
      <c r="AH8" s="65" t="e">
        <f t="shared" si="6"/>
        <v>#DIV/0!</v>
      </c>
      <c r="AI8" s="65" t="e">
        <f t="shared" si="9"/>
        <v>#DIV/0!</v>
      </c>
      <c r="AJ8" s="85">
        <f t="shared" si="10"/>
        <v>0</v>
      </c>
      <c r="AL8" s="258"/>
    </row>
    <row r="9" spans="1:43">
      <c r="A9" s="438" t="s">
        <v>603</v>
      </c>
      <c r="B9" s="438" t="s">
        <v>537</v>
      </c>
      <c r="C9" s="438" t="s">
        <v>37</v>
      </c>
      <c r="D9" s="438">
        <v>999731</v>
      </c>
      <c r="E9" s="438">
        <v>-187</v>
      </c>
      <c r="F9" s="438">
        <v>1591.75</v>
      </c>
      <c r="G9" s="438">
        <v>20</v>
      </c>
      <c r="H9" s="438">
        <v>0.25</v>
      </c>
      <c r="I9" s="438">
        <v>10</v>
      </c>
      <c r="J9" s="438">
        <v>3.0000000000000001E-5</v>
      </c>
      <c r="K9" s="438">
        <v>9.0000000000000002E-6</v>
      </c>
      <c r="L9" s="438">
        <v>10</v>
      </c>
      <c r="M9" s="438">
        <v>0</v>
      </c>
      <c r="N9" s="438">
        <v>0</v>
      </c>
      <c r="O9" s="438">
        <v>10</v>
      </c>
      <c r="P9" s="439">
        <v>9.9986886144324992E-10</v>
      </c>
      <c r="Q9" s="438">
        <v>4.8907277087306671E-14</v>
      </c>
      <c r="R9" s="438">
        <v>2.041587877643805</v>
      </c>
      <c r="S9" s="438">
        <v>-2.0100054270776881E-10</v>
      </c>
      <c r="T9" s="438">
        <v>3.7829244332911261E-10</v>
      </c>
      <c r="U9" s="438">
        <v>2.218368375808891</v>
      </c>
      <c r="V9" s="438">
        <v>2.212276282359067E-14</v>
      </c>
      <c r="W9" s="438">
        <v>2.7269895412800429E-10</v>
      </c>
      <c r="X9" s="85">
        <f t="shared" si="0"/>
        <v>2.2107219372778459</v>
      </c>
      <c r="Y9" s="85">
        <f t="shared" si="1"/>
        <v>1.387216333626065</v>
      </c>
      <c r="Z9" t="str">
        <f t="shared" si="11"/>
        <v>1000 pF1.6k</v>
      </c>
      <c r="AA9" s="258">
        <v>1000000000000</v>
      </c>
      <c r="AB9" s="440">
        <f t="shared" si="7"/>
        <v>999.8688614432499</v>
      </c>
      <c r="AC9" s="350">
        <f t="shared" si="8"/>
        <v>4.8907277087306668E-2</v>
      </c>
      <c r="AD9" s="85">
        <f t="shared" si="2"/>
        <v>2.041587877643805</v>
      </c>
      <c r="AE9" s="258">
        <f t="shared" si="3"/>
        <v>-2.0100054270776881E-10</v>
      </c>
      <c r="AF9" s="258">
        <f t="shared" si="4"/>
        <v>3.7829244332911261E-10</v>
      </c>
      <c r="AG9" s="85">
        <f t="shared" si="5"/>
        <v>2.218368375808891</v>
      </c>
      <c r="AH9" s="65">
        <f t="shared" si="6"/>
        <v>-2.0100157458513335E-2</v>
      </c>
      <c r="AI9" s="65">
        <f t="shared" si="9"/>
        <v>3.7829438524117305E-2</v>
      </c>
      <c r="AJ9" s="85">
        <f t="shared" si="10"/>
        <v>2.218368375808891</v>
      </c>
      <c r="AK9" s="85"/>
      <c r="AL9" s="258"/>
      <c r="AN9" s="85"/>
      <c r="AQ9" s="85"/>
    </row>
    <row r="10" spans="1:43">
      <c r="A10" s="438" t="s">
        <v>148</v>
      </c>
      <c r="B10" s="438" t="s">
        <v>537</v>
      </c>
      <c r="C10" s="438" t="s">
        <v>37</v>
      </c>
      <c r="D10" s="438">
        <v>999890</v>
      </c>
      <c r="E10" s="438">
        <v>-150</v>
      </c>
      <c r="F10" s="438">
        <v>1591.67</v>
      </c>
      <c r="G10" s="438">
        <v>20</v>
      </c>
      <c r="H10" s="438">
        <v>0.25</v>
      </c>
      <c r="I10" s="438">
        <v>10</v>
      </c>
      <c r="J10" s="438">
        <v>0</v>
      </c>
      <c r="K10" s="438">
        <v>0</v>
      </c>
      <c r="L10" s="438">
        <v>10</v>
      </c>
      <c r="M10" s="438">
        <v>0</v>
      </c>
      <c r="N10" s="438">
        <v>0</v>
      </c>
      <c r="O10" s="438">
        <v>10</v>
      </c>
      <c r="P10" s="439">
        <v>1.0000278833691169E-9</v>
      </c>
      <c r="Q10" s="438">
        <v>3.3333568085007332E-14</v>
      </c>
      <c r="R10" s="438">
        <v>2.1262151551754398</v>
      </c>
      <c r="S10" s="438">
        <v>-1.640004428063387E-10</v>
      </c>
      <c r="T10" s="438">
        <v>3.7831443449606349E-10</v>
      </c>
      <c r="U10" s="438">
        <v>2.218369286801146</v>
      </c>
      <c r="V10" s="438">
        <v>2.2126267621232228E-14</v>
      </c>
      <c r="W10" s="438">
        <v>2.7272818768333739E-10</v>
      </c>
      <c r="X10" s="85">
        <f t="shared" si="0"/>
        <v>1.5065156336182361</v>
      </c>
      <c r="Y10" s="85">
        <f t="shared" si="1"/>
        <v>1.3871482728265752</v>
      </c>
      <c r="Z10" t="str">
        <f t="shared" si="11"/>
        <v>GR1000A1.6k</v>
      </c>
      <c r="AA10" s="258">
        <v>1000000000000</v>
      </c>
      <c r="AB10" s="440">
        <f t="shared" si="7"/>
        <v>1000.0278833691169</v>
      </c>
      <c r="AC10" s="350">
        <f t="shared" si="8"/>
        <v>3.3333568085007335E-2</v>
      </c>
      <c r="AD10" s="85">
        <f t="shared" si="2"/>
        <v>2.1262151551754398</v>
      </c>
      <c r="AE10" s="258">
        <f t="shared" si="3"/>
        <v>-1.640004428063387E-10</v>
      </c>
      <c r="AF10" s="258">
        <f t="shared" si="4"/>
        <v>3.7831443449606349E-10</v>
      </c>
      <c r="AG10" s="85">
        <f t="shared" si="5"/>
        <v>2.218369286801146</v>
      </c>
      <c r="AH10" s="65">
        <f t="shared" si="6"/>
        <v>-1.6398344733901261E-2</v>
      </c>
      <c r="AI10" s="65">
        <f t="shared" si="9"/>
        <v>3.7827522939069984E-2</v>
      </c>
      <c r="AJ10" s="85">
        <f t="shared" si="10"/>
        <v>2.218369286801146</v>
      </c>
      <c r="AK10" s="65">
        <f>AH27000A!G5</f>
        <v>8.745779276883343E-3</v>
      </c>
      <c r="AL10" s="258"/>
    </row>
    <row r="11" spans="1:43">
      <c r="A11" s="438" t="s">
        <v>36</v>
      </c>
      <c r="B11" s="438" t="s">
        <v>537</v>
      </c>
      <c r="C11" s="438" t="s">
        <v>37</v>
      </c>
      <c r="D11" s="438">
        <v>999876</v>
      </c>
      <c r="E11" s="438">
        <v>-146</v>
      </c>
      <c r="F11" s="438">
        <v>1591.6</v>
      </c>
      <c r="G11" s="438">
        <v>20</v>
      </c>
      <c r="H11" s="438">
        <v>0.25</v>
      </c>
      <c r="I11" s="438">
        <v>10</v>
      </c>
      <c r="J11" s="438">
        <v>0</v>
      </c>
      <c r="K11" s="438">
        <v>0</v>
      </c>
      <c r="L11" s="438">
        <v>10</v>
      </c>
      <c r="M11" s="438">
        <v>0</v>
      </c>
      <c r="N11" s="438">
        <v>0</v>
      </c>
      <c r="O11" s="438">
        <v>10</v>
      </c>
      <c r="P11" s="439">
        <v>1.0000138814385381E-9</v>
      </c>
      <c r="Q11" s="438">
        <v>3.333311131640678E-14</v>
      </c>
      <c r="R11" s="438">
        <v>2.1262148352276431</v>
      </c>
      <c r="S11" s="438">
        <v>-1.6000043200618411E-10</v>
      </c>
      <c r="T11" s="438">
        <v>3.7827619360870978E-10</v>
      </c>
      <c r="U11" s="438">
        <v>2.2183671825388922</v>
      </c>
      <c r="V11" s="438">
        <v>2.2125965105143689E-14</v>
      </c>
      <c r="W11" s="438">
        <v>2.7271241273840661E-10</v>
      </c>
      <c r="X11" s="85">
        <f t="shared" si="0"/>
        <v>1.5065155873656211</v>
      </c>
      <c r="Y11" s="85">
        <f t="shared" si="1"/>
        <v>1.3870882876591426</v>
      </c>
      <c r="Z11" t="str">
        <f t="shared" si="11"/>
        <v>GR1000B1.6k</v>
      </c>
      <c r="AA11" s="258">
        <v>1000000000000</v>
      </c>
      <c r="AB11" s="440">
        <f t="shared" si="7"/>
        <v>1000.0138814385381</v>
      </c>
      <c r="AC11" s="350">
        <f t="shared" si="8"/>
        <v>3.3333111316406781E-2</v>
      </c>
      <c r="AD11" s="85">
        <f t="shared" si="2"/>
        <v>2.1262148352276431</v>
      </c>
      <c r="AE11" s="258">
        <f t="shared" si="3"/>
        <v>-1.6000043200618411E-10</v>
      </c>
      <c r="AF11" s="258">
        <f t="shared" si="4"/>
        <v>3.7827619360870978E-10</v>
      </c>
      <c r="AG11" s="85">
        <f t="shared" si="5"/>
        <v>2.2183671825388922</v>
      </c>
      <c r="AH11" s="65">
        <f t="shared" si="6"/>
        <v>-1.5999312744705247E-2</v>
      </c>
      <c r="AI11" s="65">
        <f t="shared" si="9"/>
        <v>3.7825892387705763E-2</v>
      </c>
      <c r="AJ11" s="85">
        <f t="shared" si="10"/>
        <v>2.2183671825388922</v>
      </c>
      <c r="AK11" s="65"/>
      <c r="AL11" s="258"/>
      <c r="AN11" s="85"/>
      <c r="AQ11" s="85"/>
    </row>
    <row r="12" spans="1:43">
      <c r="A12" s="438" t="s">
        <v>604</v>
      </c>
      <c r="B12" s="438" t="s">
        <v>537</v>
      </c>
      <c r="C12" s="438" t="s">
        <v>37</v>
      </c>
      <c r="D12" s="438">
        <v>99985</v>
      </c>
      <c r="E12" s="438">
        <v>104</v>
      </c>
      <c r="F12" s="438">
        <v>1591.5</v>
      </c>
      <c r="G12" s="438">
        <v>20</v>
      </c>
      <c r="H12" s="438">
        <v>0.25</v>
      </c>
      <c r="I12" s="438">
        <v>10</v>
      </c>
      <c r="J12" s="438">
        <v>0</v>
      </c>
      <c r="K12" s="438">
        <v>0</v>
      </c>
      <c r="L12" s="438">
        <v>10</v>
      </c>
      <c r="M12" s="438">
        <v>0</v>
      </c>
      <c r="N12" s="438">
        <v>0</v>
      </c>
      <c r="O12" s="438">
        <v>10</v>
      </c>
      <c r="P12" s="439">
        <v>9.9998787785317591E-11</v>
      </c>
      <c r="Q12" s="438">
        <v>5.3758214225826931E-15</v>
      </c>
      <c r="R12" s="438">
        <v>2.005850974358319</v>
      </c>
      <c r="S12" s="438">
        <v>9.0000243003478557E-11</v>
      </c>
      <c r="T12" s="438">
        <v>5.5765070862277158E-11</v>
      </c>
      <c r="U12" s="438">
        <v>2.018736016845379</v>
      </c>
      <c r="V12" s="438">
        <v>2.3256409404507219E-15</v>
      </c>
      <c r="W12" s="438">
        <v>2.9698750278838727E-11</v>
      </c>
      <c r="X12" s="85">
        <f t="shared" si="0"/>
        <v>2.3115440260270055</v>
      </c>
      <c r="Y12" s="85">
        <f t="shared" si="1"/>
        <v>1.8776908233075209</v>
      </c>
      <c r="Z12" t="str">
        <f t="shared" si="11"/>
        <v>AH11C1.6k</v>
      </c>
      <c r="AA12" s="258">
        <v>1000000000000</v>
      </c>
      <c r="AB12" s="440">
        <f t="shared" si="7"/>
        <v>99.998787785317589</v>
      </c>
      <c r="AC12" s="350">
        <f t="shared" si="8"/>
        <v>5.375821422582693E-3</v>
      </c>
      <c r="AD12" s="85">
        <f t="shared" si="2"/>
        <v>2.005850974358319</v>
      </c>
      <c r="AE12" s="258">
        <f t="shared" si="3"/>
        <v>9.0000243003478557E-11</v>
      </c>
      <c r="AF12" s="258">
        <f t="shared" si="4"/>
        <v>5.5765070862277158E-11</v>
      </c>
      <c r="AG12" s="85">
        <f t="shared" si="5"/>
        <v>2.018736016845379</v>
      </c>
      <c r="AH12" s="65">
        <f t="shared" si="6"/>
        <v>9.0004129150695777E-2</v>
      </c>
      <c r="AI12" s="65">
        <f t="shared" si="9"/>
        <v>5.5767478851604248E-2</v>
      </c>
      <c r="AJ12" s="85">
        <f t="shared" si="10"/>
        <v>2.018736016845379</v>
      </c>
      <c r="AK12" s="65">
        <f>AH27000A!G7</f>
        <v>1.5880512109843279E-3</v>
      </c>
      <c r="AL12" s="258"/>
    </row>
    <row r="13" spans="1:43">
      <c r="A13" s="438" t="s">
        <v>605</v>
      </c>
      <c r="B13" s="438" t="s">
        <v>537</v>
      </c>
      <c r="C13" s="438" t="s">
        <v>37</v>
      </c>
      <c r="D13" s="438">
        <v>99990</v>
      </c>
      <c r="E13" s="438">
        <v>-15</v>
      </c>
      <c r="F13" s="438">
        <v>1591.42</v>
      </c>
      <c r="G13" s="438">
        <v>20</v>
      </c>
      <c r="H13" s="438">
        <v>0.25</v>
      </c>
      <c r="I13" s="438">
        <v>10</v>
      </c>
      <c r="J13" s="438">
        <v>3.0000000000000001E-5</v>
      </c>
      <c r="K13" s="438">
        <v>9.0000000000000002E-6</v>
      </c>
      <c r="L13" s="438">
        <v>10</v>
      </c>
      <c r="M13" s="438">
        <v>0</v>
      </c>
      <c r="N13" s="438">
        <v>0</v>
      </c>
      <c r="O13" s="438">
        <v>10</v>
      </c>
      <c r="P13" s="439">
        <v>1.000037884748102E-10</v>
      </c>
      <c r="Q13" s="438">
        <v>6.4601276177089601E-15</v>
      </c>
      <c r="R13" s="438">
        <v>1.996889294284323</v>
      </c>
      <c r="S13" s="438">
        <v>-2.9000078301120868E-11</v>
      </c>
      <c r="T13" s="438">
        <v>5.5764297628271381E-11</v>
      </c>
      <c r="U13" s="438">
        <v>2.0187330806127961</v>
      </c>
      <c r="V13" s="438">
        <v>2.325757272876309E-15</v>
      </c>
      <c r="W13" s="438">
        <v>2.9698607486822217E-11</v>
      </c>
      <c r="X13" s="85">
        <f t="shared" si="0"/>
        <v>2.7776448097352806</v>
      </c>
      <c r="Y13" s="85">
        <f t="shared" si="1"/>
        <v>1.8776738152795533</v>
      </c>
      <c r="AA13" s="258">
        <v>1000000000000</v>
      </c>
      <c r="AB13" s="440">
        <f t="shared" si="7"/>
        <v>100.00378847481019</v>
      </c>
      <c r="AC13" s="350">
        <f t="shared" si="8"/>
        <v>6.4601276177089599E-3</v>
      </c>
      <c r="AD13" s="85">
        <f t="shared" si="2"/>
        <v>1.996889294284323</v>
      </c>
      <c r="AE13" s="258">
        <f t="shared" si="3"/>
        <v>-2.9000078301120868E-11</v>
      </c>
      <c r="AF13" s="258">
        <f t="shared" si="4"/>
        <v>5.5764297628271381E-11</v>
      </c>
      <c r="AG13" s="85">
        <f t="shared" si="5"/>
        <v>2.0187330806127961</v>
      </c>
      <c r="AH13" s="65">
        <f t="shared" si="6"/>
        <v>-2.900133817427571E-2</v>
      </c>
      <c r="AI13" s="65">
        <f t="shared" si="9"/>
        <v>5.5766720198229994E-2</v>
      </c>
      <c r="AJ13" s="85">
        <f t="shared" si="10"/>
        <v>2.0187330806127961</v>
      </c>
      <c r="AK13" s="65"/>
      <c r="AL13" s="258"/>
      <c r="AN13" s="85"/>
      <c r="AQ13" s="85"/>
    </row>
    <row r="14" spans="1:43">
      <c r="A14" s="438" t="s">
        <v>605</v>
      </c>
      <c r="B14" s="438" t="s">
        <v>537</v>
      </c>
      <c r="C14" s="438" t="s">
        <v>44</v>
      </c>
      <c r="D14" s="438">
        <v>999946</v>
      </c>
      <c r="E14" s="438">
        <v>1996</v>
      </c>
      <c r="F14" s="438">
        <v>1591.32</v>
      </c>
      <c r="G14" s="438">
        <v>20</v>
      </c>
      <c r="H14" s="438">
        <v>0.25</v>
      </c>
      <c r="I14" s="438">
        <v>10</v>
      </c>
      <c r="J14" s="438">
        <v>3.0000000000000001E-5</v>
      </c>
      <c r="K14" s="438">
        <v>9.0000000000000002E-6</v>
      </c>
      <c r="L14" s="438">
        <v>10</v>
      </c>
      <c r="M14" s="438">
        <v>0</v>
      </c>
      <c r="N14" s="438">
        <v>0</v>
      </c>
      <c r="O14" s="438">
        <v>10</v>
      </c>
      <c r="P14" s="439">
        <v>1.00000288942483E-10</v>
      </c>
      <c r="Q14" s="438">
        <v>4.891397406262606E-15</v>
      </c>
      <c r="R14" s="438">
        <v>2.041588201834267</v>
      </c>
      <c r="S14" s="438">
        <v>1.9768570724653741E-10</v>
      </c>
      <c r="T14" s="438">
        <v>3.7814017476936E-11</v>
      </c>
      <c r="U14" s="438">
        <v>2.218359412869658</v>
      </c>
      <c r="V14" s="438">
        <v>2.3257013814594452E-15</v>
      </c>
      <c r="W14" s="438">
        <v>2.9695958565830608E-11</v>
      </c>
      <c r="X14" s="85">
        <f t="shared" si="0"/>
        <v>2.1031923725276855</v>
      </c>
      <c r="Y14" s="85">
        <f t="shared" si="1"/>
        <v>1.2733725160987517</v>
      </c>
      <c r="Z14" t="str">
        <f t="shared" si="11"/>
        <v>100 pF1.6k</v>
      </c>
      <c r="AA14" s="258">
        <v>1000000000000</v>
      </c>
      <c r="AB14" s="440">
        <f t="shared" si="7"/>
        <v>100.000288942483</v>
      </c>
      <c r="AC14" s="350">
        <f t="shared" si="8"/>
        <v>4.8913974062626056E-3</v>
      </c>
      <c r="AD14" s="85">
        <f t="shared" si="2"/>
        <v>2.041588201834267</v>
      </c>
      <c r="AE14" s="258">
        <f t="shared" si="3"/>
        <v>1.9768570724653741E-10</v>
      </c>
      <c r="AF14" s="258">
        <f t="shared" si="4"/>
        <v>3.7814017476936E-11</v>
      </c>
      <c r="AG14" s="85">
        <f t="shared" si="5"/>
        <v>2.218359412869658</v>
      </c>
      <c r="AH14" s="65">
        <f t="shared" si="6"/>
        <v>0.19771363502135503</v>
      </c>
      <c r="AI14" s="65">
        <f t="shared" si="9"/>
        <v>3.7819360074707847E-2</v>
      </c>
      <c r="AJ14" s="85">
        <f t="shared" si="10"/>
        <v>2.218359412869658</v>
      </c>
      <c r="AK14" s="65">
        <f>AH27000A!G11</f>
        <v>4.2999531220445859E-4</v>
      </c>
    </row>
    <row r="15" spans="1:43">
      <c r="A15" s="438" t="s">
        <v>604</v>
      </c>
      <c r="B15" s="438" t="s">
        <v>537</v>
      </c>
      <c r="C15" s="438" t="s">
        <v>44</v>
      </c>
      <c r="D15" s="438">
        <v>999901</v>
      </c>
      <c r="E15" s="438">
        <v>2930</v>
      </c>
      <c r="F15" s="438">
        <v>1591.19</v>
      </c>
      <c r="G15" s="438">
        <v>20</v>
      </c>
      <c r="H15" s="438">
        <v>0.25</v>
      </c>
      <c r="I15" s="438">
        <v>10</v>
      </c>
      <c r="J15" s="438">
        <v>0</v>
      </c>
      <c r="K15" s="438">
        <v>0</v>
      </c>
      <c r="L15" s="438">
        <v>10</v>
      </c>
      <c r="M15" s="438">
        <v>0</v>
      </c>
      <c r="N15" s="438">
        <v>0</v>
      </c>
      <c r="O15" s="438">
        <v>10</v>
      </c>
      <c r="P15" s="439">
        <v>9.9995788659463619E-11</v>
      </c>
      <c r="Q15" s="438">
        <v>3.3331295578663761E-15</v>
      </c>
      <c r="R15" s="438">
        <v>2.1262132067607138</v>
      </c>
      <c r="S15" s="438">
        <v>2.9107895487843722E-10</v>
      </c>
      <c r="T15" s="438">
        <v>3.780620537589154E-11</v>
      </c>
      <c r="U15" s="438">
        <v>2.2183551192349049</v>
      </c>
      <c r="V15" s="438">
        <v>2.3256126434204171E-15</v>
      </c>
      <c r="W15" s="438">
        <v>2.9692317806372073E-11</v>
      </c>
      <c r="X15" s="85">
        <f t="shared" si="0"/>
        <v>1.4332264520905527</v>
      </c>
      <c r="Y15" s="85">
        <f t="shared" si="1"/>
        <v>1.2732655504508374</v>
      </c>
      <c r="Z15" t="str">
        <f t="shared" si="11"/>
        <v>AH11C1.6k</v>
      </c>
      <c r="AA15" s="258">
        <v>1000000000000</v>
      </c>
      <c r="AB15" s="440">
        <f t="shared" si="7"/>
        <v>99.995788659463614</v>
      </c>
      <c r="AC15" s="350">
        <f t="shared" si="8"/>
        <v>3.3331295578663761E-3</v>
      </c>
      <c r="AD15" s="85">
        <f t="shared" si="2"/>
        <v>2.1262132067607138</v>
      </c>
      <c r="AE15" s="258">
        <f t="shared" si="3"/>
        <v>2.9107895487843722E-10</v>
      </c>
      <c r="AF15" s="258">
        <f t="shared" si="4"/>
        <v>3.780620537589154E-11</v>
      </c>
      <c r="AG15" s="85">
        <f t="shared" si="5"/>
        <v>2.2183551192349049</v>
      </c>
      <c r="AH15" s="65">
        <f t="shared" si="6"/>
        <v>0.29115695954061455</v>
      </c>
      <c r="AI15" s="65">
        <f t="shared" si="9"/>
        <v>3.7816337905320505E-2</v>
      </c>
      <c r="AJ15" s="85">
        <f t="shared" si="10"/>
        <v>2.2183551192349049</v>
      </c>
      <c r="AK15" s="65">
        <f>AH27000A!G7</f>
        <v>1.5880512109843279E-3</v>
      </c>
    </row>
    <row r="16" spans="1:43">
      <c r="A16" s="438" t="s">
        <v>538</v>
      </c>
      <c r="B16" s="438" t="s">
        <v>537</v>
      </c>
      <c r="C16" s="438" t="s">
        <v>44</v>
      </c>
      <c r="D16" s="438">
        <v>6</v>
      </c>
      <c r="E16" s="438">
        <v>19</v>
      </c>
      <c r="F16" s="438">
        <v>1591.12</v>
      </c>
      <c r="G16" s="438">
        <v>20</v>
      </c>
      <c r="H16" s="438">
        <v>0.25</v>
      </c>
      <c r="I16" s="438">
        <v>10</v>
      </c>
      <c r="J16" s="438">
        <v>0</v>
      </c>
      <c r="K16" s="438">
        <v>0</v>
      </c>
      <c r="L16" s="438">
        <v>10</v>
      </c>
      <c r="M16" s="438">
        <v>0</v>
      </c>
      <c r="N16" s="438">
        <v>0</v>
      </c>
      <c r="O16" s="438">
        <v>10</v>
      </c>
      <c r="P16" s="439">
        <v>0</v>
      </c>
      <c r="Q16" s="438">
        <v>0</v>
      </c>
      <c r="R16" s="438">
        <v>0</v>
      </c>
      <c r="S16" s="438">
        <v>0</v>
      </c>
      <c r="T16" s="438">
        <v>0</v>
      </c>
      <c r="U16" s="438">
        <v>0</v>
      </c>
      <c r="V16" s="438">
        <v>1.2571082263118579E-16</v>
      </c>
      <c r="W16" s="438">
        <v>2.699433454084293E-12</v>
      </c>
      <c r="X16" s="85">
        <f t="shared" si="0"/>
        <v>0</v>
      </c>
      <c r="Y16" s="85">
        <f t="shared" si="1"/>
        <v>0</v>
      </c>
      <c r="Z16" t="str">
        <f t="shared" si="11"/>
        <v>coax zero1.6k</v>
      </c>
      <c r="AA16" s="258">
        <v>1000000000000</v>
      </c>
      <c r="AB16" s="440">
        <f t="shared" si="7"/>
        <v>0</v>
      </c>
      <c r="AC16" s="350">
        <f t="shared" si="8"/>
        <v>0</v>
      </c>
      <c r="AD16" s="85">
        <f t="shared" si="2"/>
        <v>0</v>
      </c>
      <c r="AE16" s="258">
        <f t="shared" si="3"/>
        <v>0</v>
      </c>
      <c r="AF16" s="258">
        <f t="shared" si="4"/>
        <v>0</v>
      </c>
      <c r="AG16" s="85">
        <f t="shared" si="5"/>
        <v>0</v>
      </c>
      <c r="AH16" s="65" t="e">
        <f t="shared" si="6"/>
        <v>#DIV/0!</v>
      </c>
      <c r="AI16" s="65" t="e">
        <f t="shared" si="9"/>
        <v>#DIV/0!</v>
      </c>
      <c r="AJ16" s="85">
        <f t="shared" si="10"/>
        <v>0</v>
      </c>
      <c r="AK16" s="65"/>
    </row>
    <row r="17" spans="1:37">
      <c r="A17" s="438" t="s">
        <v>606</v>
      </c>
      <c r="B17" s="438" t="s">
        <v>537</v>
      </c>
      <c r="C17" s="438" t="s">
        <v>44</v>
      </c>
      <c r="D17" s="438">
        <v>99995</v>
      </c>
      <c r="E17" s="438">
        <v>201</v>
      </c>
      <c r="F17" s="438">
        <v>1591.82</v>
      </c>
      <c r="G17" s="438">
        <v>20</v>
      </c>
      <c r="H17" s="438">
        <v>0.25</v>
      </c>
      <c r="I17" s="438">
        <v>10</v>
      </c>
      <c r="J17" s="438">
        <v>0</v>
      </c>
      <c r="K17" s="438">
        <v>0</v>
      </c>
      <c r="L17" s="438">
        <v>10</v>
      </c>
      <c r="M17" s="438">
        <v>0</v>
      </c>
      <c r="N17" s="438">
        <v>0</v>
      </c>
      <c r="O17" s="438">
        <v>10</v>
      </c>
      <c r="P17" s="439">
        <v>9.9995288628017029E-12</v>
      </c>
      <c r="Q17" s="438">
        <v>5.3756456494789255E-16</v>
      </c>
      <c r="R17" s="438">
        <v>2.0058515819977498</v>
      </c>
      <c r="S17" s="438">
        <v>1.8198684228057561E-11</v>
      </c>
      <c r="T17" s="438">
        <v>5.5772203061428667E-12</v>
      </c>
      <c r="U17" s="438">
        <v>2.018756742066997</v>
      </c>
      <c r="V17" s="438">
        <v>3.4564518230829091E-16</v>
      </c>
      <c r="W17" s="438">
        <v>5.4009528283261049E-12</v>
      </c>
      <c r="X17" s="85">
        <f t="shared" si="0"/>
        <v>1.5552496966916298</v>
      </c>
      <c r="Y17" s="85">
        <f t="shared" si="1"/>
        <v>1.0326363668448095</v>
      </c>
      <c r="Z17" t="str">
        <f t="shared" si="11"/>
        <v>AH11A1.6k</v>
      </c>
      <c r="AA17" s="258">
        <v>1000000000000</v>
      </c>
      <c r="AB17" s="440">
        <f t="shared" si="7"/>
        <v>9.9995288628017036</v>
      </c>
      <c r="AC17" s="350">
        <f t="shared" si="8"/>
        <v>5.3756456494789254E-4</v>
      </c>
      <c r="AD17" s="85">
        <f t="shared" si="2"/>
        <v>2.0058515819977498</v>
      </c>
      <c r="AE17" s="258">
        <f t="shared" si="3"/>
        <v>1.8198684228057561E-11</v>
      </c>
      <c r="AF17" s="258">
        <f t="shared" si="4"/>
        <v>5.5772203061428667E-12</v>
      </c>
      <c r="AG17" s="85">
        <f t="shared" si="5"/>
        <v>2.018756742066997</v>
      </c>
      <c r="AH17" s="65">
        <f t="shared" si="6"/>
        <v>0.18196448014218808</v>
      </c>
      <c r="AI17" s="65">
        <f t="shared" si="9"/>
        <v>5.5765350454847783E-2</v>
      </c>
      <c r="AJ17" s="85">
        <f t="shared" si="10"/>
        <v>2.018756742066997</v>
      </c>
      <c r="AK17" s="65">
        <f>AH27000A!G6</f>
        <v>-7.8502636343229584E-4</v>
      </c>
    </row>
    <row r="18" spans="1:37">
      <c r="A18" s="438" t="s">
        <v>184</v>
      </c>
      <c r="B18" s="438" t="s">
        <v>537</v>
      </c>
      <c r="C18" s="438" t="s">
        <v>44</v>
      </c>
      <c r="D18" s="438">
        <v>99987</v>
      </c>
      <c r="E18" s="438">
        <v>210</v>
      </c>
      <c r="F18" s="438">
        <v>1591.77</v>
      </c>
      <c r="G18" s="438">
        <v>20</v>
      </c>
      <c r="H18" s="438">
        <v>0.25</v>
      </c>
      <c r="I18" s="438">
        <v>10</v>
      </c>
      <c r="J18" s="438">
        <v>3.0000000000000001E-5</v>
      </c>
      <c r="K18" s="438">
        <v>9.0000000000000002E-6</v>
      </c>
      <c r="L18" s="438">
        <v>10</v>
      </c>
      <c r="M18" s="438">
        <v>0</v>
      </c>
      <c r="N18" s="438">
        <v>0</v>
      </c>
      <c r="O18" s="438">
        <v>10</v>
      </c>
      <c r="P18" s="438">
        <v>9.998728812487145E-12</v>
      </c>
      <c r="Q18" s="438">
        <v>6.4595565951650808E-16</v>
      </c>
      <c r="R18" s="438">
        <v>1.9968883616096651</v>
      </c>
      <c r="S18" s="438">
        <v>1.9098619162412049E-11</v>
      </c>
      <c r="T18" s="438">
        <v>5.5769238171457462E-12</v>
      </c>
      <c r="U18" s="438">
        <v>2.0187492845943709</v>
      </c>
      <c r="V18" s="438">
        <v>3.4563152782514458E-16</v>
      </c>
      <c r="W18" s="438">
        <v>5.4005671377076937E-12</v>
      </c>
      <c r="X18" s="85">
        <f t="shared" si="0"/>
        <v>1.8689141687424355</v>
      </c>
      <c r="Y18" s="85">
        <f t="shared" si="1"/>
        <v>1.0326552147100811</v>
      </c>
      <c r="Z18" t="str">
        <f t="shared" ref="Z18:Z19" si="12">A18&amp;B18</f>
        <v>10 pF1.6k</v>
      </c>
      <c r="AA18" s="258">
        <v>1000000000000</v>
      </c>
      <c r="AB18" s="440">
        <f t="shared" si="7"/>
        <v>9.9987288124871458</v>
      </c>
      <c r="AC18" s="350">
        <f t="shared" si="8"/>
        <v>6.4595565951650806E-4</v>
      </c>
      <c r="AD18" s="85">
        <f t="shared" ref="AD18:AD19" si="13">R18</f>
        <v>1.9968883616096651</v>
      </c>
      <c r="AE18" s="258">
        <f t="shared" ref="AE18:AE19" si="14">S18</f>
        <v>1.9098619162412049E-11</v>
      </c>
      <c r="AF18" s="258">
        <f t="shared" ref="AF18:AF19" si="15">T18</f>
        <v>5.5769238171457462E-12</v>
      </c>
      <c r="AG18" s="85">
        <f t="shared" ref="AG18:AG19" si="16">U18</f>
        <v>2.0187492845943709</v>
      </c>
      <c r="AH18" s="65">
        <f t="shared" si="6"/>
        <v>0.19098400229219054</v>
      </c>
      <c r="AI18" s="65">
        <f t="shared" si="9"/>
        <v>5.5768599492208207E-2</v>
      </c>
      <c r="AJ18" s="85">
        <f t="shared" si="10"/>
        <v>2.0187492845943709</v>
      </c>
      <c r="AK18" s="65">
        <f>AH27000A!G10</f>
        <v>-1.9472128150785583E-3</v>
      </c>
    </row>
    <row r="19" spans="1:37">
      <c r="A19" s="438" t="s">
        <v>185</v>
      </c>
      <c r="B19" s="438" t="s">
        <v>537</v>
      </c>
      <c r="C19" s="438" t="s">
        <v>44</v>
      </c>
      <c r="D19" s="438">
        <v>10004</v>
      </c>
      <c r="E19" s="438">
        <v>46</v>
      </c>
      <c r="F19" s="438">
        <v>1591.72</v>
      </c>
      <c r="G19" s="438">
        <v>20</v>
      </c>
      <c r="H19" s="438">
        <v>0.25</v>
      </c>
      <c r="I19" s="438">
        <v>10</v>
      </c>
      <c r="J19" s="438">
        <v>4.0000000000000003E-5</v>
      </c>
      <c r="K19" s="438">
        <v>1.2E-5</v>
      </c>
      <c r="L19" s="438">
        <v>10</v>
      </c>
      <c r="M19" s="438">
        <v>0</v>
      </c>
      <c r="N19" s="438">
        <v>0</v>
      </c>
      <c r="O19" s="438">
        <v>10</v>
      </c>
      <c r="P19" s="438">
        <v>9.9986288061978247E-13</v>
      </c>
      <c r="Q19" s="438">
        <v>4.4518488097795055E-16</v>
      </c>
      <c r="R19" s="438">
        <v>2.0205982573840648</v>
      </c>
      <c r="S19" s="438">
        <v>2.699804803063483E-12</v>
      </c>
      <c r="T19" s="438">
        <v>4.4299081942795144E-12</v>
      </c>
      <c r="U19" s="438">
        <v>2.021965147590723</v>
      </c>
      <c r="V19" s="438">
        <v>1.4766042419578381E-16</v>
      </c>
      <c r="W19" s="438">
        <v>2.970443301342949E-12</v>
      </c>
      <c r="X19" s="85">
        <f t="shared" ref="X19" si="17">Q19/V19</f>
        <v>3.0149234867947916</v>
      </c>
      <c r="Y19" s="85">
        <f t="shared" ref="Y19" si="18">T19/W19</f>
        <v>1.4913289852315093</v>
      </c>
      <c r="Z19" t="str">
        <f t="shared" si="12"/>
        <v>1 pF1.6k</v>
      </c>
      <c r="AA19" s="258">
        <v>1000000000000</v>
      </c>
      <c r="AB19" s="440">
        <f t="shared" si="7"/>
        <v>0.99986288061978246</v>
      </c>
      <c r="AC19" s="350">
        <f t="shared" si="8"/>
        <v>4.4518488097795053E-4</v>
      </c>
      <c r="AD19" s="85">
        <f t="shared" si="13"/>
        <v>2.0205982573840648</v>
      </c>
      <c r="AE19" s="258">
        <f t="shared" si="14"/>
        <v>2.699804803063483E-12</v>
      </c>
      <c r="AF19" s="258">
        <f t="shared" si="15"/>
        <v>4.4299081942795144E-12</v>
      </c>
      <c r="AG19" s="85">
        <f t="shared" si="16"/>
        <v>2.021965147590723</v>
      </c>
      <c r="AH19" s="65">
        <f>ATAN(S19/(2*PI()*F19*P19))*1000</f>
        <v>0.2699885632412159</v>
      </c>
      <c r="AI19" s="65">
        <f t="shared" si="9"/>
        <v>0.44300406389633651</v>
      </c>
      <c r="AJ19" s="85">
        <f t="shared" si="10"/>
        <v>2.021965147590723</v>
      </c>
      <c r="AK19" s="65">
        <f>AH27000A!G9</f>
        <v>-1.4040292700863457E-2</v>
      </c>
    </row>
    <row r="20" spans="1:37">
      <c r="A20" s="438"/>
      <c r="B20" s="438"/>
      <c r="C20" s="438"/>
      <c r="D20" s="438"/>
      <c r="E20" s="438"/>
      <c r="F20" s="438"/>
      <c r="G20" s="438"/>
      <c r="H20" s="438"/>
      <c r="I20" s="438"/>
      <c r="J20" s="438"/>
      <c r="K20" s="438"/>
      <c r="L20" s="438"/>
      <c r="M20" s="438"/>
      <c r="N20" s="438"/>
      <c r="O20" s="438"/>
      <c r="P20" s="438"/>
      <c r="Q20" s="438"/>
      <c r="R20" s="438"/>
      <c r="S20" s="438"/>
      <c r="T20" s="438"/>
      <c r="U20" s="438"/>
      <c r="V20" s="438"/>
      <c r="W20" s="438"/>
      <c r="X20" s="85"/>
      <c r="Y20" s="85"/>
      <c r="AB20" s="85"/>
      <c r="AC20" s="85"/>
      <c r="AD20" s="85"/>
      <c r="AE20" s="441"/>
      <c r="AF20" s="441"/>
      <c r="AG20" s="85"/>
      <c r="AH20" s="85"/>
    </row>
    <row r="21" spans="1:37">
      <c r="A21" s="438"/>
      <c r="B21" s="438"/>
      <c r="C21" s="438"/>
      <c r="D21" s="438"/>
      <c r="E21" s="438"/>
      <c r="F21" s="438"/>
      <c r="G21" s="438"/>
      <c r="H21" s="438"/>
      <c r="I21" s="438"/>
      <c r="J21" s="438"/>
      <c r="K21" s="438"/>
      <c r="L21" s="438"/>
      <c r="M21" s="438"/>
      <c r="N21" s="438"/>
      <c r="O21" s="438"/>
      <c r="P21" s="438"/>
      <c r="Q21" s="438"/>
      <c r="R21" s="438"/>
      <c r="S21" s="438"/>
      <c r="T21" s="438"/>
      <c r="U21" s="438"/>
      <c r="V21" s="438"/>
      <c r="W21" s="438"/>
      <c r="X21" s="85"/>
      <c r="Y21" s="85"/>
      <c r="AB21" s="85"/>
      <c r="AC21" s="85"/>
      <c r="AD21" s="85"/>
      <c r="AE21" s="441"/>
      <c r="AF21" s="441"/>
      <c r="AG21" s="85"/>
    </row>
    <row r="22" spans="1:37">
      <c r="A22" s="438"/>
      <c r="B22" s="438"/>
      <c r="C22" s="438"/>
      <c r="D22" s="438"/>
      <c r="E22" s="438"/>
      <c r="F22" s="438"/>
      <c r="G22" s="438"/>
      <c r="H22" s="438"/>
      <c r="I22" s="438"/>
      <c r="J22" s="438"/>
      <c r="K22" s="438"/>
      <c r="L22" s="438"/>
      <c r="M22" s="438"/>
      <c r="N22" s="438"/>
      <c r="O22" s="438"/>
      <c r="P22" s="438"/>
      <c r="Q22" s="438"/>
      <c r="R22" s="438"/>
      <c r="S22" s="438"/>
      <c r="T22" s="438"/>
      <c r="U22" s="438"/>
      <c r="V22" s="438"/>
      <c r="W22" s="438"/>
      <c r="X22" s="85"/>
      <c r="Y22" s="85"/>
      <c r="AB22" s="85"/>
      <c r="AC22" s="85"/>
      <c r="AD22" s="85"/>
      <c r="AE22" s="441"/>
      <c r="AF22" s="441"/>
      <c r="AG22" s="85"/>
      <c r="AH22" s="85"/>
    </row>
    <row r="23" spans="1:37">
      <c r="A23" s="438"/>
      <c r="B23" s="438"/>
      <c r="C23" s="438"/>
      <c r="D23" s="438"/>
      <c r="E23" s="438"/>
      <c r="F23" s="438"/>
      <c r="G23" s="438"/>
      <c r="H23" s="438"/>
      <c r="I23" s="438"/>
      <c r="J23" s="438"/>
      <c r="K23" s="438"/>
      <c r="L23" s="438"/>
      <c r="M23" s="438"/>
      <c r="N23" s="438"/>
      <c r="O23" s="438"/>
      <c r="P23" s="438"/>
      <c r="Q23" s="438"/>
      <c r="R23" s="438"/>
      <c r="S23" s="438"/>
      <c r="T23" s="438"/>
      <c r="U23" s="438"/>
      <c r="V23" s="438"/>
      <c r="W23" s="438"/>
      <c r="X23" s="85"/>
      <c r="Y23" s="85"/>
      <c r="AB23" s="85"/>
      <c r="AC23" s="85"/>
      <c r="AD23" s="85"/>
      <c r="AE23" s="441"/>
      <c r="AF23" s="441"/>
      <c r="AG23" s="85"/>
      <c r="AH23" s="85"/>
      <c r="AK23" s="85" t="s">
        <v>629</v>
      </c>
    </row>
    <row r="24" spans="1:37">
      <c r="A24" s="438"/>
      <c r="B24" s="438"/>
      <c r="C24" s="438"/>
      <c r="D24" s="438"/>
      <c r="E24" s="438"/>
      <c r="F24" s="438"/>
      <c r="G24" s="438"/>
      <c r="H24" s="438"/>
      <c r="I24" s="438"/>
      <c r="J24" s="438"/>
      <c r="K24" s="438"/>
      <c r="L24" s="438"/>
      <c r="M24" s="438"/>
      <c r="N24" s="438"/>
      <c r="O24" s="438"/>
      <c r="P24" s="438"/>
      <c r="Q24" s="438"/>
      <c r="R24" s="438"/>
      <c r="S24" s="438"/>
      <c r="T24" s="438"/>
      <c r="U24" s="438"/>
      <c r="V24" s="438"/>
      <c r="W24" s="438"/>
      <c r="X24" s="85"/>
      <c r="Y24" s="85"/>
      <c r="AB24" s="85"/>
      <c r="AC24" s="85"/>
      <c r="AD24" s="85"/>
      <c r="AE24" s="440"/>
      <c r="AF24" s="440"/>
      <c r="AG24" s="85"/>
      <c r="AH24" s="85"/>
    </row>
    <row r="25" spans="1:37">
      <c r="A25" s="438"/>
      <c r="B25" s="438"/>
      <c r="C25" s="438"/>
      <c r="D25" s="438"/>
      <c r="E25" s="438"/>
      <c r="F25" s="438"/>
      <c r="G25" s="438"/>
      <c r="H25" s="438"/>
      <c r="I25" s="438"/>
      <c r="J25" s="438"/>
      <c r="K25" s="438"/>
      <c r="L25" s="438"/>
      <c r="M25" s="438"/>
      <c r="N25" s="438"/>
      <c r="O25" s="438"/>
      <c r="P25" s="438"/>
      <c r="Q25" s="438"/>
      <c r="R25" s="438"/>
      <c r="S25" s="438"/>
      <c r="T25" s="438"/>
      <c r="U25" s="438"/>
      <c r="V25" s="438"/>
      <c r="W25" s="438"/>
      <c r="X25" s="85"/>
      <c r="Y25" s="85"/>
      <c r="AB25" s="85"/>
      <c r="AC25" s="85"/>
      <c r="AD25" s="85"/>
      <c r="AE25" s="440"/>
      <c r="AF25" s="440"/>
      <c r="AG25" s="85"/>
      <c r="AH25" s="85"/>
    </row>
    <row r="26" spans="1:37">
      <c r="A26" s="438"/>
      <c r="B26" s="438"/>
      <c r="C26" s="438"/>
      <c r="D26" s="438"/>
      <c r="E26" s="438"/>
      <c r="F26" s="438"/>
      <c r="G26" s="438"/>
      <c r="H26" s="438"/>
      <c r="I26" s="438"/>
      <c r="J26" s="438"/>
      <c r="K26" s="438"/>
      <c r="L26" s="438"/>
      <c r="M26" s="438"/>
      <c r="N26" s="438"/>
      <c r="O26" s="438"/>
      <c r="P26" s="438"/>
      <c r="Q26" s="438"/>
      <c r="R26" s="438"/>
      <c r="S26" s="438"/>
      <c r="T26" s="438"/>
      <c r="U26" s="438"/>
      <c r="V26" s="438"/>
      <c r="W26" s="438"/>
      <c r="X26" s="85"/>
      <c r="Y26" s="85"/>
      <c r="AB26" s="85"/>
      <c r="AC26" s="85"/>
      <c r="AD26" s="85"/>
      <c r="AE26" s="440"/>
      <c r="AF26" s="440"/>
      <c r="AG26" s="85"/>
      <c r="AH26" s="85"/>
    </row>
    <row r="27" spans="1:37">
      <c r="A27" s="438"/>
      <c r="B27" s="438"/>
      <c r="C27" s="438"/>
      <c r="D27" s="438"/>
      <c r="E27" s="438"/>
      <c r="F27" s="438"/>
      <c r="G27" s="438"/>
      <c r="H27" s="438"/>
      <c r="I27" s="438"/>
      <c r="J27" s="438"/>
      <c r="K27" s="438"/>
      <c r="L27" s="438"/>
      <c r="M27" s="438"/>
      <c r="N27" s="438"/>
      <c r="O27" s="438"/>
      <c r="P27" s="438"/>
      <c r="Q27" s="438"/>
      <c r="R27" s="438"/>
      <c r="S27" s="438"/>
      <c r="T27" s="438"/>
      <c r="U27" s="438"/>
      <c r="V27" s="438"/>
      <c r="W27" s="438"/>
      <c r="X27" s="85"/>
      <c r="Y27" s="85"/>
      <c r="AB27" s="85"/>
      <c r="AC27" s="85"/>
      <c r="AD27" s="85"/>
      <c r="AE27" s="440"/>
      <c r="AF27" s="440"/>
      <c r="AG27" s="85"/>
      <c r="AH27" s="85"/>
    </row>
    <row r="28" spans="1:37">
      <c r="A28" s="438"/>
      <c r="B28" s="438"/>
      <c r="C28" s="438"/>
      <c r="D28" s="438"/>
      <c r="E28" s="438"/>
      <c r="F28" s="438"/>
      <c r="G28" s="438"/>
      <c r="H28" s="438"/>
      <c r="I28" s="438"/>
      <c r="J28" s="438"/>
      <c r="K28" s="438"/>
      <c r="L28" s="438"/>
      <c r="M28" s="438"/>
      <c r="N28" s="438"/>
      <c r="O28" s="438"/>
      <c r="P28" s="438"/>
      <c r="Q28" s="438"/>
      <c r="R28" s="438"/>
      <c r="S28" s="438"/>
      <c r="T28" s="438"/>
      <c r="U28" s="438"/>
      <c r="V28" s="438"/>
      <c r="W28" s="438"/>
      <c r="X28" s="85"/>
      <c r="Y28" s="85"/>
      <c r="AB28" s="85"/>
      <c r="AC28" s="85"/>
    </row>
    <row r="36" spans="16:19">
      <c r="Q36" s="465"/>
    </row>
    <row r="37" spans="16:19">
      <c r="Q37" s="465"/>
    </row>
    <row r="38" spans="16:19">
      <c r="P38" t="str">
        <f>C9</f>
        <v>6Y</v>
      </c>
      <c r="Q38" s="465">
        <f>P9/D9</f>
        <v>1.0001378985379567E-15</v>
      </c>
      <c r="R38" s="465">
        <f>Q38*1000000000000000</f>
        <v>1.0001378985379568</v>
      </c>
      <c r="S38">
        <f>(R38/1-1)*1000000</f>
        <v>137.89853795675987</v>
      </c>
    </row>
    <row r="39" spans="16:19">
      <c r="P39" t="str">
        <f t="shared" ref="P39:P42" si="19">C10</f>
        <v>6Y</v>
      </c>
      <c r="Q39" s="465">
        <f>P10/D10</f>
        <v>1.0001378985379561E-15</v>
      </c>
      <c r="R39" s="465">
        <f t="shared" ref="R39:R42" si="20">Q39*1000000000000000</f>
        <v>1.0001378985379561</v>
      </c>
      <c r="S39">
        <f t="shared" ref="S39:S42" si="21">(R39/1-1)*1000000</f>
        <v>137.89853795609375</v>
      </c>
    </row>
    <row r="40" spans="16:19">
      <c r="P40" t="str">
        <f t="shared" si="19"/>
        <v>6Y</v>
      </c>
      <c r="Q40" s="465">
        <f>P11/D11</f>
        <v>1.0001378985379569E-15</v>
      </c>
      <c r="R40" s="465">
        <f t="shared" si="20"/>
        <v>1.0001378985379568</v>
      </c>
      <c r="S40">
        <f t="shared" si="21"/>
        <v>137.89853795675987</v>
      </c>
    </row>
    <row r="41" spans="16:19">
      <c r="P41" t="str">
        <f t="shared" si="19"/>
        <v>6Y</v>
      </c>
      <c r="Q41" s="465">
        <f>P12/D12</f>
        <v>1.0001378985379567E-15</v>
      </c>
      <c r="R41" s="465">
        <f t="shared" si="20"/>
        <v>1.0001378985379568</v>
      </c>
      <c r="S41">
        <f t="shared" si="21"/>
        <v>137.89853795675987</v>
      </c>
    </row>
    <row r="42" spans="16:19">
      <c r="P42" t="str">
        <f t="shared" si="19"/>
        <v>6Y</v>
      </c>
      <c r="Q42" s="465">
        <f>P13/D13</f>
        <v>1.0001378985379557E-15</v>
      </c>
      <c r="R42" s="465">
        <f t="shared" si="20"/>
        <v>1.0001378985379556</v>
      </c>
      <c r="S42">
        <f t="shared" si="21"/>
        <v>137.89853795564966</v>
      </c>
    </row>
    <row r="43" spans="16:19">
      <c r="Q43" s="465"/>
    </row>
  </sheetData>
  <pageMargins left="0.7" right="0.7" top="0.75" bottom="0.75" header="0.3" footer="0.3"/>
  <pageSetup paperSize="9" scale="3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5" sqref="B5"/>
    </sheetView>
  </sheetViews>
  <sheetFormatPr defaultRowHeight="12.75"/>
  <cols>
    <col min="1" max="1" width="10.140625" bestFit="1" customWidth="1"/>
    <col min="3" max="3" width="14.85546875" customWidth="1"/>
    <col min="4" max="4" width="10.5703125" bestFit="1" customWidth="1"/>
  </cols>
  <sheetData>
    <row r="1" spans="1:7">
      <c r="A1" t="s">
        <v>630</v>
      </c>
    </row>
    <row r="2" spans="1:7">
      <c r="A2" t="s">
        <v>631</v>
      </c>
      <c r="G2">
        <v>1591.5</v>
      </c>
    </row>
    <row r="3" spans="1:7">
      <c r="A3" s="1">
        <v>43059</v>
      </c>
      <c r="B3" t="s">
        <v>183</v>
      </c>
      <c r="C3" t="s">
        <v>34</v>
      </c>
      <c r="D3" t="s">
        <v>35</v>
      </c>
      <c r="G3" t="s">
        <v>632</v>
      </c>
    </row>
    <row r="4" spans="1:7">
      <c r="C4" t="s">
        <v>107</v>
      </c>
      <c r="D4" t="s">
        <v>1</v>
      </c>
      <c r="G4" t="s">
        <v>246</v>
      </c>
    </row>
    <row r="5" spans="1:7">
      <c r="B5" t="s">
        <v>148</v>
      </c>
      <c r="C5">
        <v>1000.0308</v>
      </c>
      <c r="D5">
        <v>8.7459999999999996E-2</v>
      </c>
      <c r="G5" s="93">
        <f>ATAN(D5*0.000000001/(2*PI()*G$2*C5*0.000000000001)*1000)</f>
        <v>8.745779276883343E-3</v>
      </c>
    </row>
    <row r="6" spans="1:7">
      <c r="B6" t="s">
        <v>606</v>
      </c>
      <c r="C6">
        <v>9.9999727000000007</v>
      </c>
      <c r="D6">
        <v>-7.8499999999999997E-5</v>
      </c>
      <c r="G6" s="93">
        <f t="shared" ref="G6:G12" si="0">ATAN(D6*0.000000001/(2*PI()*G$2*C6*0.000000000001)*1000)</f>
        <v>-7.8502636343229584E-4</v>
      </c>
    </row>
    <row r="7" spans="1:7">
      <c r="B7" t="s">
        <v>604</v>
      </c>
      <c r="C7">
        <v>99.999797000000001</v>
      </c>
      <c r="D7">
        <v>1.588E-3</v>
      </c>
      <c r="G7" s="93">
        <f t="shared" si="0"/>
        <v>1.5880512109843279E-3</v>
      </c>
    </row>
    <row r="8" spans="1:7">
      <c r="G8" s="93"/>
    </row>
    <row r="9" spans="1:7">
      <c r="B9" t="s">
        <v>185</v>
      </c>
      <c r="C9">
        <v>0.99994450000000001</v>
      </c>
      <c r="D9">
        <v>-1.404E-4</v>
      </c>
      <c r="E9">
        <v>20.75</v>
      </c>
      <c r="G9" s="93">
        <f t="shared" si="0"/>
        <v>-1.4040292700863457E-2</v>
      </c>
    </row>
    <row r="10" spans="1:7">
      <c r="B10" t="s">
        <v>184</v>
      </c>
      <c r="C10">
        <v>9.9992049999999999</v>
      </c>
      <c r="D10">
        <v>-1.9469999999999999E-4</v>
      </c>
      <c r="E10">
        <v>20.75</v>
      </c>
      <c r="G10" s="93">
        <f t="shared" si="0"/>
        <v>-1.9472128150785583E-3</v>
      </c>
    </row>
    <row r="11" spans="1:7">
      <c r="B11" t="s">
        <v>605</v>
      </c>
      <c r="C11">
        <v>100.00418999999999</v>
      </c>
      <c r="D11">
        <v>4.2999999999999999E-4</v>
      </c>
      <c r="E11">
        <v>20.75</v>
      </c>
      <c r="G11" s="93">
        <f t="shared" si="0"/>
        <v>4.2999531220445859E-4</v>
      </c>
    </row>
    <row r="12" spans="1:7">
      <c r="B12" t="s">
        <v>603</v>
      </c>
      <c r="C12">
        <v>999.86287000000004</v>
      </c>
      <c r="D12">
        <v>1.197E-2</v>
      </c>
      <c r="E12">
        <v>20.77</v>
      </c>
      <c r="G12" s="93">
        <f t="shared" si="0"/>
        <v>1.1972007782567575E-3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4"/>
  <sheetViews>
    <sheetView showGridLines="0" workbookViewId="0"/>
  </sheetViews>
  <sheetFormatPr defaultRowHeight="12.75"/>
  <cols>
    <col min="2" max="3" width="13.85546875" customWidth="1"/>
    <col min="4" max="4" width="9.42578125" customWidth="1"/>
    <col min="5" max="5" width="12.85546875" customWidth="1"/>
    <col min="6" max="6" width="12.5703125" customWidth="1"/>
    <col min="7" max="7" width="6.7109375" customWidth="1"/>
    <col min="8" max="8" width="13" customWidth="1"/>
    <col min="9" max="9" width="12.7109375" bestFit="1" customWidth="1"/>
    <col min="10" max="10" width="6.7109375" customWidth="1"/>
    <col min="12" max="12" width="13.85546875" customWidth="1"/>
    <col min="13" max="13" width="11.140625" customWidth="1"/>
    <col min="14" max="14" width="12.85546875" customWidth="1"/>
    <col min="15" max="15" width="12.5703125" customWidth="1"/>
    <col min="16" max="16" width="13.28515625" customWidth="1"/>
    <col min="17" max="17" width="13" customWidth="1"/>
    <col min="18" max="18" width="12.7109375" bestFit="1" customWidth="1"/>
    <col min="20" max="20" width="13.85546875" customWidth="1"/>
    <col min="21" max="21" width="9.42578125" customWidth="1"/>
    <col min="22" max="22" width="12.85546875" customWidth="1"/>
    <col min="23" max="23" width="12.5703125" customWidth="1"/>
    <col min="25" max="25" width="13" customWidth="1"/>
    <col min="26" max="26" width="12.7109375" bestFit="1" customWidth="1"/>
  </cols>
  <sheetData>
    <row r="1" spans="1:26">
      <c r="C1" s="181" t="s">
        <v>634</v>
      </c>
      <c r="L1" s="181" t="s">
        <v>638</v>
      </c>
      <c r="T1" s="181" t="s">
        <v>562</v>
      </c>
    </row>
    <row r="2" spans="1:26">
      <c r="C2" s="15"/>
      <c r="D2" s="15"/>
      <c r="E2" s="15"/>
      <c r="F2" s="15"/>
      <c r="G2" s="15"/>
      <c r="H2" s="15"/>
      <c r="I2" s="15"/>
      <c r="J2" s="15"/>
      <c r="L2" s="15"/>
      <c r="M2" s="15"/>
      <c r="N2" s="15"/>
      <c r="O2" s="15"/>
      <c r="P2" s="15"/>
      <c r="Q2" s="15"/>
      <c r="R2" s="15"/>
    </row>
    <row r="3" spans="1:26" ht="45" customHeight="1">
      <c r="C3" s="198"/>
      <c r="D3" s="442" t="s">
        <v>635</v>
      </c>
      <c r="E3" s="442" t="s">
        <v>627</v>
      </c>
      <c r="F3" s="442" t="s">
        <v>628</v>
      </c>
      <c r="G3" s="376" t="s">
        <v>17</v>
      </c>
      <c r="H3" s="442" t="s">
        <v>564</v>
      </c>
      <c r="I3" s="442" t="s">
        <v>565</v>
      </c>
      <c r="J3" s="376" t="s">
        <v>17</v>
      </c>
      <c r="L3" s="442" t="s">
        <v>635</v>
      </c>
      <c r="M3" s="442" t="s">
        <v>627</v>
      </c>
      <c r="N3" s="442" t="s">
        <v>628</v>
      </c>
      <c r="O3" s="376" t="s">
        <v>17</v>
      </c>
      <c r="P3" s="442" t="s">
        <v>564</v>
      </c>
      <c r="Q3" s="442" t="s">
        <v>565</v>
      </c>
      <c r="R3" s="376" t="s">
        <v>17</v>
      </c>
      <c r="T3" s="442" t="s">
        <v>635</v>
      </c>
      <c r="U3" s="442" t="s">
        <v>627</v>
      </c>
      <c r="V3" s="442" t="s">
        <v>628</v>
      </c>
      <c r="W3" s="376" t="s">
        <v>17</v>
      </c>
      <c r="X3" s="442" t="s">
        <v>564</v>
      </c>
      <c r="Y3" s="442" t="s">
        <v>565</v>
      </c>
      <c r="Z3" s="376" t="s">
        <v>17</v>
      </c>
    </row>
    <row r="4" spans="1:26">
      <c r="A4" t="s">
        <v>617</v>
      </c>
      <c r="C4" s="198"/>
      <c r="D4" s="470">
        <v>1000</v>
      </c>
      <c r="E4" s="444">
        <f>VLOOKUP(A4,pyvalues,3,FALSE)</f>
        <v>999.8688614432499</v>
      </c>
      <c r="F4" s="444">
        <f>VLOOKUP(A4,pyvalues,4,FALSE)</f>
        <v>4.8907277087306668E-2</v>
      </c>
      <c r="G4" s="445">
        <f>VLOOKUP(A4,pyvalues,5,FALSE)</f>
        <v>2.041587877643805</v>
      </c>
      <c r="H4" s="448">
        <f>VLOOKUP(A4,pyvalues,12,FALSE)</f>
        <v>0</v>
      </c>
      <c r="I4" s="448">
        <f>VLOOKUP(A4,pyvalues,10,FALSE)</f>
        <v>3.7829438524117305E-2</v>
      </c>
      <c r="J4" s="445">
        <f>VLOOKUP(A4,pyvalues,11,FALSE)</f>
        <v>2.218368375808891</v>
      </c>
      <c r="L4" s="470">
        <v>1000</v>
      </c>
      <c r="M4" s="444">
        <f>Report!N5</f>
        <v>999.86882918397339</v>
      </c>
      <c r="N4" s="444">
        <f>Report!O5</f>
        <v>5.027260158025957E-2</v>
      </c>
      <c r="O4" s="445">
        <f>Report!P5</f>
        <v>2.1371461707448796</v>
      </c>
      <c r="P4" s="448">
        <f>Report!Q5</f>
        <v>-2.0103315295774495E-2</v>
      </c>
      <c r="Q4" s="448">
        <f>Report!R5</f>
        <v>3.4531216965908079E-2</v>
      </c>
      <c r="R4" s="445">
        <f>Report!S5</f>
        <v>2.15004478616975</v>
      </c>
      <c r="T4" s="474">
        <f>D4-L4</f>
        <v>0</v>
      </c>
      <c r="U4" s="443">
        <f t="shared" ref="U4:Z4" si="0">E4-M4</f>
        <v>3.2259276508739276E-5</v>
      </c>
      <c r="V4" s="444">
        <f t="shared" si="0"/>
        <v>-1.3653244929529018E-3</v>
      </c>
      <c r="W4" s="444">
        <f t="shared" si="0"/>
        <v>-9.5558293101074554E-2</v>
      </c>
      <c r="X4" s="445">
        <f t="shared" si="0"/>
        <v>2.0103315295774495E-2</v>
      </c>
      <c r="Y4" s="446">
        <f t="shared" si="0"/>
        <v>3.2982215582092259E-3</v>
      </c>
      <c r="Z4" s="446">
        <f t="shared" si="0"/>
        <v>6.832358963914098E-2</v>
      </c>
    </row>
    <row r="5" spans="1:26">
      <c r="A5" t="s">
        <v>618</v>
      </c>
      <c r="C5" s="198"/>
      <c r="D5" s="470">
        <v>100</v>
      </c>
      <c r="E5" s="447">
        <f>VLOOKUP(A5,pyvalues,3,FALSE)</f>
        <v>100.000288942483</v>
      </c>
      <c r="F5" s="447">
        <f>VLOOKUP(A5,pyvalues,4,FALSE)</f>
        <v>4.8913974062626056E-3</v>
      </c>
      <c r="G5" s="445">
        <f>VLOOKUP(A5,pyvalues,5,FALSE)</f>
        <v>2.041588201834267</v>
      </c>
      <c r="H5" s="448">
        <f>VLOOKUP(A5,pyvalues,12,FALSE)</f>
        <v>4.2999531220445859E-4</v>
      </c>
      <c r="I5" s="448">
        <f>VLOOKUP(A5,pyvalues,10,FALSE)</f>
        <v>3.7819360074707847E-2</v>
      </c>
      <c r="J5" s="445">
        <f>VLOOKUP(A5,pyvalues,11,FALSE)</f>
        <v>2.218359412869658</v>
      </c>
      <c r="L5" s="470">
        <v>100</v>
      </c>
      <c r="M5" s="447">
        <f>Report!N6</f>
        <v>100.00028522236404</v>
      </c>
      <c r="N5" s="447">
        <f>Report!O6</f>
        <v>5.0283380543389624E-3</v>
      </c>
      <c r="O5" s="445">
        <f>Report!P6</f>
        <v>2.1371469092382602</v>
      </c>
      <c r="P5" s="448">
        <f>Report!Q6</f>
        <v>0.19769127805612174</v>
      </c>
      <c r="Q5" s="448">
        <f>Report!R6</f>
        <v>3.4533981047499884E-2</v>
      </c>
      <c r="R5" s="445">
        <f>Report!S6</f>
        <v>2.150046024308164</v>
      </c>
      <c r="T5" s="198">
        <f t="shared" ref="T5:T7" si="1">D5-L5</f>
        <v>0</v>
      </c>
      <c r="U5" s="443">
        <f t="shared" ref="U5:U7" si="2">E5-M5</f>
        <v>3.7201189542201973E-6</v>
      </c>
      <c r="V5" s="447">
        <f t="shared" ref="V5:V7" si="3">F5-N5</f>
        <v>-1.3694064807635679E-4</v>
      </c>
      <c r="W5" s="447">
        <f t="shared" ref="W5:W7" si="4">G5-O5</f>
        <v>-9.5558707403993193E-2</v>
      </c>
      <c r="X5" s="445">
        <f t="shared" ref="X5:X7" si="5">H5-P5</f>
        <v>-0.1972612827439173</v>
      </c>
      <c r="Y5" s="448">
        <f t="shared" ref="Y5:Y7" si="6">I5-Q5</f>
        <v>3.285379027207963E-3</v>
      </c>
      <c r="Z5" s="448">
        <f t="shared" ref="Z5:Z7" si="7">J5-R5</f>
        <v>6.8313388561493937E-2</v>
      </c>
    </row>
    <row r="6" spans="1:26">
      <c r="A6" t="s">
        <v>619</v>
      </c>
      <c r="C6" s="198"/>
      <c r="D6" s="470">
        <v>10</v>
      </c>
      <c r="E6" s="450">
        <f>VLOOKUP(A6,pyvalues,3,FALSE)</f>
        <v>9.9987288124871458</v>
      </c>
      <c r="F6" s="450">
        <f>VLOOKUP(A6,pyvalues,4,FALSE)</f>
        <v>6.4595565951650806E-4</v>
      </c>
      <c r="G6" s="445">
        <f>VLOOKUP(A6,pyvalues,5,FALSE)</f>
        <v>1.9968883616096651</v>
      </c>
      <c r="H6" s="448">
        <f>VLOOKUP(A6,pyvalues,12,FALSE)</f>
        <v>-1.9472128150785583E-3</v>
      </c>
      <c r="I6" s="448">
        <f>VLOOKUP(A6,pyvalues,10,FALSE)</f>
        <v>5.5768599492208207E-2</v>
      </c>
      <c r="J6" s="445">
        <f>VLOOKUP(A6,pyvalues,11,FALSE)</f>
        <v>2.0187492845943709</v>
      </c>
      <c r="L6" s="470">
        <v>10</v>
      </c>
      <c r="M6" s="450">
        <f>Report!N7</f>
        <v>9.9987284405236085</v>
      </c>
      <c r="N6" s="450">
        <f>Report!O7</f>
        <v>5.9597384516450714E-4</v>
      </c>
      <c r="O6" s="445">
        <f>Report!P7</f>
        <v>2.0955393967720135</v>
      </c>
      <c r="P6" s="446">
        <f>Report!Q7</f>
        <v>0.19101640726342323</v>
      </c>
      <c r="Q6" s="446">
        <f>Report!R7</f>
        <v>4.4020680014484073E-2</v>
      </c>
      <c r="R6" s="445">
        <f>Report!S7</f>
        <v>2.0612813342294927</v>
      </c>
      <c r="T6" s="198">
        <f t="shared" si="1"/>
        <v>0</v>
      </c>
      <c r="U6" s="449">
        <f t="shared" si="2"/>
        <v>3.7196353730450937E-7</v>
      </c>
      <c r="V6" s="450">
        <f t="shared" si="3"/>
        <v>4.9981814352000921E-5</v>
      </c>
      <c r="W6" s="450">
        <f t="shared" si="4"/>
        <v>-9.8651035162348411E-2</v>
      </c>
      <c r="X6" s="445">
        <f t="shared" si="5"/>
        <v>-0.19296362007850179</v>
      </c>
      <c r="Y6" s="448">
        <f t="shared" si="6"/>
        <v>1.1747919477724134E-2</v>
      </c>
      <c r="Z6" s="448">
        <f t="shared" si="7"/>
        <v>-4.2532049635121805E-2</v>
      </c>
    </row>
    <row r="7" spans="1:26">
      <c r="A7" t="s">
        <v>620</v>
      </c>
      <c r="C7" s="198"/>
      <c r="D7" s="470">
        <v>1</v>
      </c>
      <c r="E7" s="450">
        <f>VLOOKUP(A7,pyvalues,3,FALSE)</f>
        <v>0.99986288061978246</v>
      </c>
      <c r="F7" s="450">
        <f>VLOOKUP(A7,pyvalues,4,FALSE)</f>
        <v>4.4518488097795053E-4</v>
      </c>
      <c r="G7" s="445">
        <f>VLOOKUP(A7,pyvalues,5,FALSE)</f>
        <v>2.0205982573840648</v>
      </c>
      <c r="H7" s="446">
        <f>VLOOKUP(A7,pyvalues,12,FALSE)</f>
        <v>-1.4040292700863457E-2</v>
      </c>
      <c r="I7" s="446">
        <f>VLOOKUP(A7,pyvalues,10,FALSE)</f>
        <v>0.44300406389633651</v>
      </c>
      <c r="J7" s="445">
        <f>VLOOKUP(A7,pyvalues,11,FALSE)</f>
        <v>2.021965147590723</v>
      </c>
      <c r="L7" s="470">
        <v>1</v>
      </c>
      <c r="M7" s="450">
        <f>Report!N8</f>
        <v>0.99986284342380105</v>
      </c>
      <c r="N7" s="450">
        <f>Report!O8</f>
        <v>4.1578284159589628E-4</v>
      </c>
      <c r="O7" s="445">
        <f>Report!P8</f>
        <v>2.5531887290894928</v>
      </c>
      <c r="P7" s="473">
        <f>Report!Q8</f>
        <v>0.27002589428582913</v>
      </c>
      <c r="Q7" s="473">
        <f>Report!R8</f>
        <v>0.31070996609245055</v>
      </c>
      <c r="R7" s="445">
        <f>Report!S8</f>
        <v>2.1827453941864152</v>
      </c>
      <c r="T7" s="198">
        <f t="shared" si="1"/>
        <v>0</v>
      </c>
      <c r="U7" s="451">
        <f t="shared" si="2"/>
        <v>3.7195981406057399E-8</v>
      </c>
      <c r="V7" s="450">
        <f t="shared" si="3"/>
        <v>2.9402039382054245E-5</v>
      </c>
      <c r="W7" s="450">
        <f t="shared" si="4"/>
        <v>-0.53259047170542795</v>
      </c>
      <c r="X7" s="445">
        <f t="shared" si="5"/>
        <v>-0.28406618698669256</v>
      </c>
      <c r="Y7" s="448">
        <f t="shared" si="6"/>
        <v>0.13229409780388596</v>
      </c>
      <c r="Z7" s="448">
        <f t="shared" si="7"/>
        <v>-0.16078024659569223</v>
      </c>
    </row>
    <row r="8" spans="1:26">
      <c r="C8" s="198"/>
      <c r="D8" s="466"/>
      <c r="E8" s="450"/>
      <c r="F8" s="450"/>
      <c r="G8" s="445"/>
      <c r="H8" s="448"/>
      <c r="I8" s="448"/>
      <c r="J8" s="445"/>
      <c r="L8" s="466"/>
      <c r="M8" s="450"/>
      <c r="N8" s="450"/>
      <c r="O8" s="445"/>
      <c r="P8" s="448"/>
      <c r="Q8" s="448"/>
      <c r="R8" s="445"/>
      <c r="T8" s="198"/>
      <c r="U8" s="451"/>
      <c r="V8" s="450"/>
      <c r="W8" s="450"/>
      <c r="X8" s="445"/>
      <c r="Y8" s="448"/>
      <c r="Z8" s="448"/>
    </row>
    <row r="9" spans="1:26">
      <c r="C9" s="198"/>
      <c r="D9" s="466"/>
      <c r="E9" s="450"/>
      <c r="F9" s="450"/>
      <c r="G9" s="445"/>
      <c r="H9" s="448"/>
      <c r="I9" s="448"/>
      <c r="J9" s="445"/>
      <c r="L9" s="466"/>
      <c r="M9" s="450"/>
      <c r="N9" s="450"/>
      <c r="O9" s="445"/>
      <c r="P9" s="448"/>
      <c r="Q9" s="448"/>
      <c r="R9" s="445"/>
      <c r="T9" s="198"/>
      <c r="U9" s="451"/>
      <c r="V9" s="450"/>
      <c r="W9" s="450"/>
      <c r="X9" s="445"/>
      <c r="Y9" s="448"/>
      <c r="Z9" s="448"/>
    </row>
    <row r="10" spans="1:26">
      <c r="C10" s="198"/>
      <c r="D10" s="466"/>
      <c r="E10" s="450"/>
      <c r="F10" s="450"/>
      <c r="G10" s="445"/>
      <c r="H10" s="448"/>
      <c r="I10" s="448"/>
      <c r="J10" s="445"/>
      <c r="L10" s="466"/>
      <c r="M10" s="450"/>
      <c r="N10" s="450"/>
      <c r="O10" s="445"/>
      <c r="P10" s="448"/>
      <c r="Q10" s="448"/>
      <c r="R10" s="445"/>
      <c r="T10" s="198"/>
      <c r="U10" s="451"/>
      <c r="V10" s="450"/>
      <c r="W10" s="450"/>
      <c r="X10" s="445"/>
      <c r="Y10" s="448"/>
      <c r="Z10" s="448"/>
    </row>
    <row r="11" spans="1:26" ht="45" customHeight="1">
      <c r="C11" s="198"/>
      <c r="D11" s="442" t="s">
        <v>563</v>
      </c>
      <c r="E11" s="442" t="s">
        <v>636</v>
      </c>
      <c r="F11" s="442" t="s">
        <v>637</v>
      </c>
      <c r="G11" s="376" t="s">
        <v>17</v>
      </c>
      <c r="H11" s="442" t="s">
        <v>564</v>
      </c>
      <c r="I11" s="442" t="s">
        <v>565</v>
      </c>
      <c r="J11" s="376" t="s">
        <v>17</v>
      </c>
      <c r="L11" s="442" t="s">
        <v>563</v>
      </c>
      <c r="M11" s="442" t="s">
        <v>636</v>
      </c>
      <c r="N11" s="442" t="s">
        <v>637</v>
      </c>
      <c r="O11" s="376" t="s">
        <v>17</v>
      </c>
      <c r="P11" s="442" t="s">
        <v>564</v>
      </c>
      <c r="Q11" s="442" t="s">
        <v>565</v>
      </c>
      <c r="R11" s="376" t="s">
        <v>17</v>
      </c>
      <c r="T11" s="442" t="s">
        <v>563</v>
      </c>
      <c r="U11" s="442" t="s">
        <v>636</v>
      </c>
      <c r="V11" s="442" t="s">
        <v>637</v>
      </c>
      <c r="W11" s="376" t="s">
        <v>17</v>
      </c>
      <c r="X11" s="442" t="s">
        <v>564</v>
      </c>
      <c r="Y11" s="442" t="s">
        <v>565</v>
      </c>
      <c r="Z11" s="376" t="s">
        <v>17</v>
      </c>
    </row>
    <row r="12" spans="1:26">
      <c r="A12" t="s">
        <v>621</v>
      </c>
      <c r="C12" s="198"/>
      <c r="D12" s="470">
        <v>1</v>
      </c>
      <c r="E12" s="467">
        <f>VLOOKUP(A12,pyvalues,3,FALSE)</f>
        <v>0.99992128170980321</v>
      </c>
      <c r="F12" s="467">
        <f>VLOOKUP(A12,pyvalues,4,FALSE)</f>
        <v>4.590068210131768E-5</v>
      </c>
      <c r="G12" s="445">
        <f>VLOOKUP(A12,pyvalues,5,FALSE)</f>
        <v>2.0239427291867189</v>
      </c>
      <c r="H12" s="448">
        <f>VLOOKUP(A12,pyvalues,9,FALSE)</f>
        <v>0.1717513717035469</v>
      </c>
      <c r="I12" s="448">
        <f>VLOOKUP(A12,pyvalues,10,FALSE)</f>
        <v>3.7835933733186937E-2</v>
      </c>
      <c r="J12" s="445">
        <f>VLOOKUP(A12,pyvalues,11,FALSE)</f>
        <v>2.2183785082220808</v>
      </c>
      <c r="L12" s="470">
        <v>1</v>
      </c>
      <c r="M12" s="467">
        <f>Report!N9</f>
        <v>0.99992124230590029</v>
      </c>
      <c r="N12" s="467">
        <f>Report!O9</f>
        <v>4.2879445133159838E-5</v>
      </c>
      <c r="O12" s="445">
        <f>Report!P9</f>
        <v>2.2941425031017615</v>
      </c>
      <c r="P12" s="448">
        <f>Report!Q9</f>
        <v>0.17180857195085403</v>
      </c>
      <c r="Q12" s="448">
        <f>Report!R9</f>
        <v>3.4533361710514569E-2</v>
      </c>
      <c r="R12" s="445">
        <f>Report!S9</f>
        <v>2.1500454269547329</v>
      </c>
      <c r="T12" s="474">
        <f>D12-L12</f>
        <v>0</v>
      </c>
      <c r="U12" s="443">
        <f t="shared" ref="U12:U14" si="8">E12-M12</f>
        <v>3.9403902918344613E-8</v>
      </c>
      <c r="V12" s="444">
        <f t="shared" ref="V12:V14" si="9">F12-N12</f>
        <v>3.0212369681578414E-6</v>
      </c>
      <c r="W12" s="444">
        <f t="shared" ref="W12:W14" si="10">G12-O12</f>
        <v>-0.27019977391504257</v>
      </c>
      <c r="X12" s="445">
        <f t="shared" ref="X12:X14" si="11">H12-P12</f>
        <v>-5.7200247307126473E-5</v>
      </c>
      <c r="Y12" s="446">
        <f t="shared" ref="Y12:Y14" si="12">I12-Q12</f>
        <v>3.3025720226723676E-3</v>
      </c>
      <c r="Z12" s="446">
        <f t="shared" ref="Z12:Z14" si="13">J12-R12</f>
        <v>6.8333081267347939E-2</v>
      </c>
    </row>
    <row r="13" spans="1:26">
      <c r="A13" t="s">
        <v>622</v>
      </c>
      <c r="C13" s="198"/>
      <c r="D13" s="471">
        <v>0.1</v>
      </c>
      <c r="E13" s="468">
        <f>VLOOKUP(A13,pyvalues,3,FALSE)</f>
        <v>0.1000039290594413</v>
      </c>
      <c r="F13" s="468">
        <f>VLOOKUP(A13,pyvalues,4,FALSE)</f>
        <v>4.5906087527501537E-6</v>
      </c>
      <c r="G13" s="445">
        <f>VLOOKUP(A13,pyvalues,5,FALSE)</f>
        <v>2.023942805998185</v>
      </c>
      <c r="H13" s="448">
        <f>VLOOKUP(A13,pyvalues,9,FALSE)</f>
        <v>4.1293294401709549E-2</v>
      </c>
      <c r="I13" s="448">
        <f>VLOOKUP(A13,pyvalues,10,FALSE)</f>
        <v>3.7827035414106099E-2</v>
      </c>
      <c r="J13" s="445">
        <f>VLOOKUP(A13,pyvalues,11,FALSE)</f>
        <v>2.2183700638724111</v>
      </c>
      <c r="L13" s="471">
        <v>0.1</v>
      </c>
      <c r="M13" s="468">
        <f>Report!N10</f>
        <v>0.10000392511858601</v>
      </c>
      <c r="N13" s="468">
        <f>Report!O10</f>
        <v>4.2884492820231318E-6</v>
      </c>
      <c r="O13" s="445">
        <f>Report!P10</f>
        <v>2.2941438367094689</v>
      </c>
      <c r="P13" s="448">
        <f>Report!Q10</f>
        <v>4.1297186842445453E-2</v>
      </c>
      <c r="Q13" s="448">
        <f>Report!R10</f>
        <v>3.4533339988042581E-2</v>
      </c>
      <c r="R13" s="445">
        <f>Report!S10</f>
        <v>2.1500462400229141</v>
      </c>
      <c r="T13" s="198">
        <f t="shared" ref="T13:T14" si="14">D13-L13</f>
        <v>0</v>
      </c>
      <c r="U13" s="443">
        <f t="shared" si="8"/>
        <v>3.9408552948705378E-9</v>
      </c>
      <c r="V13" s="447">
        <f t="shared" si="9"/>
        <v>3.0215947072702191E-7</v>
      </c>
      <c r="W13" s="447">
        <f t="shared" si="10"/>
        <v>-0.27020103071128387</v>
      </c>
      <c r="X13" s="445">
        <f t="shared" si="11"/>
        <v>-3.892440735904501E-6</v>
      </c>
      <c r="Y13" s="448">
        <f t="shared" si="12"/>
        <v>3.2936954260635171E-3</v>
      </c>
      <c r="Z13" s="448">
        <f t="shared" si="13"/>
        <v>6.8323823849496979E-2</v>
      </c>
    </row>
    <row r="14" spans="1:26">
      <c r="A14" t="s">
        <v>623</v>
      </c>
      <c r="C14" s="198"/>
      <c r="D14" s="472">
        <v>0.01</v>
      </c>
      <c r="E14" s="469">
        <f>VLOOKUP(A14,pyvalues,3,FALSE)</f>
        <v>1.0001002951873049E-2</v>
      </c>
      <c r="F14" s="469">
        <f>VLOOKUP(A14,pyvalues,4,FALSE)</f>
        <v>4.5908856031900874E-7</v>
      </c>
      <c r="G14" s="445">
        <f>VLOOKUP(A14,pyvalues,5,FALSE)</f>
        <v>2.0239428886830959</v>
      </c>
      <c r="H14" s="448">
        <f>VLOOKUP(A14,pyvalues,9,FALSE)</f>
        <v>4.959110273473219E-2</v>
      </c>
      <c r="I14" s="448">
        <f>VLOOKUP(A14,pyvalues,10,FALSE)</f>
        <v>3.7825390691860701E-2</v>
      </c>
      <c r="J14" s="445">
        <f>VLOOKUP(A14,pyvalues,11,FALSE)</f>
        <v>2.2183688620089681</v>
      </c>
      <c r="L14" s="472">
        <v>0.01</v>
      </c>
      <c r="M14" s="469">
        <f>Report!N11</f>
        <v>1.0001002557763476E-2</v>
      </c>
      <c r="N14" s="469">
        <f>Report!O11</f>
        <v>4.2887059519124335E-7</v>
      </c>
      <c r="O14" s="445">
        <f>Report!P11</f>
        <v>2.2941445062808827</v>
      </c>
      <c r="P14" s="448">
        <f>Report!Q11</f>
        <v>4.9593596168049051E-2</v>
      </c>
      <c r="Q14" s="448">
        <f>Report!R11</f>
        <v>3.4533295474734139E-2</v>
      </c>
      <c r="R14" s="445">
        <f>Report!S11</f>
        <v>2.1500466130674445</v>
      </c>
      <c r="T14" s="198">
        <f t="shared" si="14"/>
        <v>0</v>
      </c>
      <c r="U14" s="449">
        <f t="shared" si="8"/>
        <v>3.9410957310137551E-10</v>
      </c>
      <c r="V14" s="450">
        <f t="shared" si="9"/>
        <v>3.0217965127765383E-8</v>
      </c>
      <c r="W14" s="450">
        <f t="shared" si="10"/>
        <v>-0.27020161759778683</v>
      </c>
      <c r="X14" s="445">
        <f t="shared" si="11"/>
        <v>-2.4934333168608047E-6</v>
      </c>
      <c r="Y14" s="448">
        <f t="shared" si="12"/>
        <v>3.2920952171265616E-3</v>
      </c>
      <c r="Z14" s="448">
        <f t="shared" si="13"/>
        <v>6.8322248941523611E-2</v>
      </c>
    </row>
    <row r="15" spans="1:26">
      <c r="C15" s="198"/>
      <c r="D15" s="455"/>
      <c r="E15" s="452"/>
      <c r="F15" s="453"/>
      <c r="G15" s="445"/>
      <c r="H15" s="454"/>
      <c r="I15" s="454"/>
      <c r="J15" s="445"/>
      <c r="T15" s="198"/>
      <c r="U15" s="451"/>
      <c r="V15" s="450"/>
      <c r="W15" s="450"/>
      <c r="X15" s="445"/>
      <c r="Y15" s="448"/>
      <c r="Z15" s="448"/>
    </row>
    <row r="16" spans="1:26">
      <c r="C16" s="198"/>
      <c r="D16" s="455"/>
      <c r="E16" s="452"/>
      <c r="F16" s="453"/>
      <c r="G16" s="445"/>
      <c r="H16" s="454"/>
      <c r="I16" s="454"/>
      <c r="J16" s="445"/>
    </row>
    <row r="17" spans="3:10">
      <c r="C17" s="198"/>
      <c r="D17" s="455"/>
      <c r="E17" s="455"/>
      <c r="F17" s="456"/>
      <c r="G17" s="445"/>
      <c r="H17" s="454"/>
      <c r="I17" s="454"/>
      <c r="J17" s="445"/>
    </row>
    <row r="18" spans="3:10">
      <c r="C18" s="198"/>
      <c r="D18" s="455"/>
      <c r="E18" s="455"/>
      <c r="F18" s="456"/>
      <c r="G18" s="445"/>
      <c r="H18" s="454"/>
      <c r="I18" s="454"/>
      <c r="J18" s="445"/>
    </row>
    <row r="19" spans="3:10">
      <c r="C19" s="198"/>
      <c r="D19" s="457"/>
      <c r="E19" s="458"/>
      <c r="F19" s="453"/>
      <c r="G19" s="445"/>
      <c r="H19" s="459"/>
      <c r="I19" s="459"/>
      <c r="J19" s="445"/>
    </row>
    <row r="20" spans="3:10">
      <c r="C20" s="198"/>
      <c r="D20" s="457"/>
      <c r="E20" s="458"/>
      <c r="F20" s="453"/>
      <c r="G20" s="445"/>
      <c r="H20" s="459"/>
      <c r="I20" s="459"/>
      <c r="J20" s="445"/>
    </row>
    <row r="21" spans="3:10">
      <c r="C21" s="198"/>
      <c r="D21" s="457"/>
      <c r="E21" s="458"/>
      <c r="F21" s="453"/>
      <c r="G21" s="445"/>
      <c r="H21" s="459"/>
      <c r="I21" s="459"/>
      <c r="J21" s="445"/>
    </row>
    <row r="22" spans="3:10">
      <c r="C22" s="198"/>
      <c r="D22" s="457"/>
      <c r="E22" s="458"/>
      <c r="F22" s="453"/>
      <c r="G22" s="445"/>
      <c r="H22" s="459"/>
      <c r="I22" s="459"/>
      <c r="J22" s="445"/>
    </row>
    <row r="23" spans="3:10">
      <c r="C23" s="198"/>
      <c r="D23" s="457"/>
      <c r="E23" s="458"/>
      <c r="F23" s="453"/>
      <c r="G23" s="445"/>
      <c r="H23" s="459"/>
      <c r="I23" s="459"/>
      <c r="J23" s="445"/>
    </row>
    <row r="24" spans="3:10">
      <c r="C24" s="198"/>
      <c r="D24" s="457"/>
      <c r="E24" s="458"/>
      <c r="F24" s="453"/>
      <c r="G24" s="445"/>
      <c r="H24" s="459"/>
      <c r="I24" s="459"/>
      <c r="J24" s="445"/>
    </row>
  </sheetData>
  <pageMargins left="0.7" right="0.7" top="0.75" bottom="0.75" header="0.3" footer="0.3"/>
  <pageSetup paperSize="9" scale="4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28"/>
  <sheetViews>
    <sheetView topLeftCell="A79" workbookViewId="0">
      <selection activeCell="AD104" sqref="AD104"/>
    </sheetView>
  </sheetViews>
  <sheetFormatPr defaultRowHeight="12.75"/>
  <cols>
    <col min="1" max="1" width="19" customWidth="1"/>
    <col min="2" max="2" width="16.5703125" customWidth="1"/>
    <col min="3" max="3" width="10.7109375" customWidth="1"/>
    <col min="6" max="6" width="10.140625" bestFit="1" customWidth="1"/>
    <col min="7" max="7" width="10" bestFit="1" customWidth="1"/>
    <col min="8" max="8" width="11.42578125" customWidth="1"/>
    <col min="10" max="10" width="12.42578125" bestFit="1" customWidth="1"/>
    <col min="11" max="11" width="10" bestFit="1" customWidth="1"/>
    <col min="15" max="16" width="10" bestFit="1" customWidth="1"/>
    <col min="18" max="18" width="10.140625" bestFit="1" customWidth="1"/>
    <col min="19" max="19" width="10" bestFit="1" customWidth="1"/>
    <col min="22" max="22" width="11" customWidth="1"/>
    <col min="23" max="25" width="9.85546875" bestFit="1" customWidth="1"/>
    <col min="26" max="29" width="9.85546875" customWidth="1"/>
    <col min="30" max="30" width="10.140625" bestFit="1" customWidth="1"/>
    <col min="31" max="31" width="12.42578125" bestFit="1" customWidth="1"/>
    <col min="34" max="34" width="10.140625" bestFit="1" customWidth="1"/>
  </cols>
  <sheetData>
    <row r="1" spans="1:30">
      <c r="A1" s="189" t="s">
        <v>639</v>
      </c>
      <c r="D1" s="475" t="s">
        <v>154</v>
      </c>
      <c r="E1" s="90" t="s">
        <v>640</v>
      </c>
    </row>
    <row r="2" spans="1:30">
      <c r="A2" s="476" t="s">
        <v>641</v>
      </c>
      <c r="B2" s="15"/>
      <c r="C2" s="15"/>
      <c r="D2" s="15"/>
      <c r="E2" s="15"/>
      <c r="F2" s="15"/>
      <c r="G2" s="15"/>
      <c r="H2" s="15"/>
      <c r="I2" s="15"/>
    </row>
    <row r="3" spans="1:30">
      <c r="A3" s="477" t="s">
        <v>642</v>
      </c>
      <c r="B3" s="478"/>
      <c r="C3" s="478"/>
      <c r="D3" s="478"/>
      <c r="E3" s="478"/>
      <c r="F3" s="478"/>
      <c r="G3" s="478"/>
      <c r="H3" s="478"/>
      <c r="I3" s="479"/>
    </row>
    <row r="4" spans="1:30">
      <c r="A4" s="480">
        <v>43049</v>
      </c>
      <c r="B4" s="519" t="s">
        <v>598</v>
      </c>
      <c r="C4" s="15"/>
      <c r="D4" s="15"/>
      <c r="E4" s="15"/>
      <c r="F4" s="15"/>
      <c r="G4" s="15"/>
      <c r="H4" s="15"/>
      <c r="I4" s="15"/>
    </row>
    <row r="5" spans="1:30">
      <c r="A5" s="480"/>
      <c r="B5" s="90"/>
      <c r="C5" s="15"/>
      <c r="D5" s="15"/>
      <c r="E5" s="15"/>
      <c r="F5" s="15"/>
      <c r="G5" s="15"/>
      <c r="H5" s="15"/>
      <c r="I5" s="15"/>
    </row>
    <row r="6" spans="1:30">
      <c r="A6" s="485" t="s">
        <v>650</v>
      </c>
      <c r="B6" s="481"/>
      <c r="C6" s="15"/>
      <c r="D6" s="15"/>
      <c r="E6" s="15"/>
      <c r="F6" s="15"/>
      <c r="G6" s="15"/>
      <c r="I6" s="15">
        <f>pyReport!E12</f>
        <v>0.99992128170980321</v>
      </c>
      <c r="J6" s="15">
        <f>pyReport!F12</f>
        <v>4.590068210131768E-5</v>
      </c>
      <c r="K6" s="15">
        <f>pyReport!G12</f>
        <v>2.0239427291867189</v>
      </c>
      <c r="L6" s="15">
        <f>pyReport!H12</f>
        <v>0.1717513717035469</v>
      </c>
      <c r="M6" s="15">
        <f>pyReport!I12</f>
        <v>3.7835933733186937E-2</v>
      </c>
      <c r="N6" s="15">
        <f>pyReport!J12</f>
        <v>2.2183785082220808</v>
      </c>
      <c r="O6" s="15"/>
    </row>
    <row r="7" spans="1:30">
      <c r="A7" s="485" t="s">
        <v>651</v>
      </c>
      <c r="B7" s="481"/>
      <c r="C7" s="15"/>
      <c r="D7" s="15"/>
      <c r="E7" s="15"/>
      <c r="F7" s="15"/>
      <c r="G7" s="15"/>
      <c r="I7" s="15">
        <f>pyReport!E13</f>
        <v>0.1000039290594413</v>
      </c>
      <c r="J7" s="15">
        <f>pyReport!F13</f>
        <v>4.5906087527501537E-6</v>
      </c>
      <c r="K7" s="15">
        <f>pyReport!G13</f>
        <v>2.023942805998185</v>
      </c>
      <c r="L7" s="15">
        <f>pyReport!H13</f>
        <v>4.1293294401709549E-2</v>
      </c>
      <c r="M7" s="15">
        <f>pyReport!I13</f>
        <v>3.7827035414106099E-2</v>
      </c>
      <c r="N7" s="15">
        <f>pyReport!J13</f>
        <v>2.2183700638724111</v>
      </c>
      <c r="O7" s="15"/>
    </row>
    <row r="8" spans="1:30">
      <c r="A8" s="485" t="s">
        <v>652</v>
      </c>
      <c r="B8" s="481"/>
      <c r="C8" s="15"/>
      <c r="D8" s="15"/>
      <c r="E8" s="15"/>
      <c r="F8" s="15"/>
      <c r="G8" s="15"/>
      <c r="I8" s="15">
        <f>pyReport!E14</f>
        <v>1.0001002951873049E-2</v>
      </c>
      <c r="J8" s="15">
        <f>pyReport!F14</f>
        <v>4.5908856031900874E-7</v>
      </c>
      <c r="K8" s="15">
        <f>pyReport!G14</f>
        <v>2.0239428886830959</v>
      </c>
      <c r="L8" s="15">
        <f>pyReport!H14</f>
        <v>4.959110273473219E-2</v>
      </c>
      <c r="M8" s="15">
        <f>pyReport!I14</f>
        <v>3.7825390691860701E-2</v>
      </c>
      <c r="N8" s="15">
        <f>pyReport!J14</f>
        <v>2.2183688620089681</v>
      </c>
      <c r="O8" s="15"/>
    </row>
    <row r="9" spans="1:30">
      <c r="A9" s="485" t="s">
        <v>653</v>
      </c>
      <c r="B9" s="481"/>
      <c r="C9" s="15"/>
      <c r="D9" s="15"/>
      <c r="E9" s="15"/>
      <c r="F9" s="15"/>
      <c r="G9" s="15"/>
      <c r="H9" s="15"/>
      <c r="I9" s="15">
        <f>pyReport!E4</f>
        <v>999.8688614432499</v>
      </c>
      <c r="J9" s="15">
        <f>pyReport!F4</f>
        <v>4.8907277087306668E-2</v>
      </c>
      <c r="K9" s="15">
        <f>pyReport!G4</f>
        <v>2.041587877643805</v>
      </c>
      <c r="L9" s="15">
        <f>pyReport!H4</f>
        <v>0</v>
      </c>
      <c r="M9" s="15">
        <f>pyReport!I4</f>
        <v>3.7829438524117305E-2</v>
      </c>
      <c r="N9" s="15">
        <f>pyReport!J4</f>
        <v>2.218368375808891</v>
      </c>
    </row>
    <row r="10" spans="1:30">
      <c r="A10" s="485" t="s">
        <v>654</v>
      </c>
      <c r="B10" s="481"/>
      <c r="C10" s="15"/>
      <c r="D10" s="15"/>
      <c r="E10" s="15"/>
      <c r="F10" s="15"/>
      <c r="G10" s="15"/>
      <c r="H10" s="15"/>
      <c r="I10" s="15">
        <f>pyReport!E5</f>
        <v>100.000288942483</v>
      </c>
      <c r="J10" s="15">
        <f>pyReport!F5</f>
        <v>4.8913974062626056E-3</v>
      </c>
      <c r="K10" s="15">
        <f>pyReport!G5</f>
        <v>2.041588201834267</v>
      </c>
      <c r="L10" s="15">
        <f>pyReport!H5</f>
        <v>4.2999531220445859E-4</v>
      </c>
      <c r="M10" s="15">
        <f>pyReport!I5</f>
        <v>3.7819360074707847E-2</v>
      </c>
      <c r="N10" s="15">
        <f>pyReport!J5</f>
        <v>2.218359412869658</v>
      </c>
    </row>
    <row r="11" spans="1:30">
      <c r="A11" s="485" t="s">
        <v>655</v>
      </c>
      <c r="B11" s="481"/>
      <c r="C11" s="15"/>
      <c r="D11" s="15"/>
      <c r="E11" s="15"/>
      <c r="F11" s="15"/>
      <c r="G11" s="15"/>
      <c r="H11" s="15"/>
      <c r="I11" s="15">
        <f>pyReport!E6</f>
        <v>9.9987288124871458</v>
      </c>
      <c r="J11" s="15">
        <f>pyReport!F6</f>
        <v>6.4595565951650806E-4</v>
      </c>
      <c r="K11" s="15">
        <f>pyReport!G6</f>
        <v>1.9968883616096651</v>
      </c>
      <c r="L11" s="15">
        <f>pyReport!H6</f>
        <v>-1.9472128150785583E-3</v>
      </c>
      <c r="M11" s="15">
        <f>pyReport!I6</f>
        <v>5.5768599492208207E-2</v>
      </c>
      <c r="N11" s="15">
        <f>pyReport!J6</f>
        <v>2.0187492845943709</v>
      </c>
    </row>
    <row r="12" spans="1:30">
      <c r="A12" s="481" t="s">
        <v>656</v>
      </c>
      <c r="B12" s="481"/>
      <c r="C12" s="15"/>
      <c r="D12" s="15"/>
      <c r="E12" s="15"/>
      <c r="F12" s="15"/>
      <c r="G12" s="15"/>
      <c r="H12" s="15"/>
      <c r="I12" s="15">
        <f>pyReport!E7</f>
        <v>0.99986288061978246</v>
      </c>
      <c r="J12" s="15">
        <f>pyReport!F7</f>
        <v>4.4518488097795053E-4</v>
      </c>
      <c r="K12" s="15">
        <f>pyReport!G7</f>
        <v>2.0205982573840648</v>
      </c>
      <c r="L12" s="15">
        <f>pyReport!H7</f>
        <v>-1.4040292700863457E-2</v>
      </c>
      <c r="M12" s="15">
        <f>pyReport!I7</f>
        <v>0.44300406389633651</v>
      </c>
      <c r="N12" s="15">
        <f>pyReport!J7</f>
        <v>2.021965147590723</v>
      </c>
    </row>
    <row r="13" spans="1:30">
      <c r="A13" s="493"/>
      <c r="B13" s="493"/>
      <c r="C13" s="15"/>
      <c r="D13" s="15"/>
      <c r="E13" s="15"/>
      <c r="F13" s="15"/>
      <c r="G13" s="15"/>
      <c r="H13" s="15"/>
      <c r="I13" s="15"/>
    </row>
    <row r="14" spans="1:30">
      <c r="A14" s="480">
        <v>41863</v>
      </c>
      <c r="B14" s="481" t="s">
        <v>675</v>
      </c>
      <c r="C14" s="482"/>
      <c r="D14" s="482"/>
      <c r="E14" s="482"/>
      <c r="F14" s="482"/>
      <c r="G14" s="482"/>
      <c r="H14" s="482" t="s">
        <v>491</v>
      </c>
      <c r="I14" s="482" t="s">
        <v>34</v>
      </c>
      <c r="J14" s="482" t="s">
        <v>482</v>
      </c>
      <c r="K14" s="482" t="s">
        <v>492</v>
      </c>
      <c r="L14" s="482" t="s">
        <v>481</v>
      </c>
      <c r="M14" s="482" t="s">
        <v>482</v>
      </c>
      <c r="N14" s="483" t="s">
        <v>492</v>
      </c>
    </row>
    <row r="15" spans="1:30">
      <c r="A15" s="480"/>
      <c r="B15" s="90"/>
      <c r="C15" s="481" t="s">
        <v>33</v>
      </c>
      <c r="D15" s="481" t="s">
        <v>0</v>
      </c>
      <c r="E15" s="481" t="s">
        <v>143</v>
      </c>
      <c r="F15" s="481"/>
      <c r="G15" s="481"/>
      <c r="H15" s="102" t="s">
        <v>643</v>
      </c>
      <c r="I15" s="102" t="s">
        <v>643</v>
      </c>
      <c r="J15" s="102" t="s">
        <v>643</v>
      </c>
      <c r="K15" s="481" t="s">
        <v>493</v>
      </c>
      <c r="L15" s="481" t="s">
        <v>494</v>
      </c>
      <c r="M15" s="481" t="s">
        <v>494</v>
      </c>
      <c r="N15" s="484" t="s">
        <v>493</v>
      </c>
      <c r="P15" t="s">
        <v>134</v>
      </c>
      <c r="Q15" t="s">
        <v>644</v>
      </c>
      <c r="V15" t="s">
        <v>645</v>
      </c>
      <c r="W15" t="s">
        <v>646</v>
      </c>
      <c r="X15" t="s">
        <v>647</v>
      </c>
      <c r="Y15" t="s">
        <v>648</v>
      </c>
      <c r="AD15" t="s">
        <v>649</v>
      </c>
    </row>
    <row r="16" spans="1:30">
      <c r="A16" s="485" t="s">
        <v>650</v>
      </c>
      <c r="B16" s="481"/>
      <c r="C16" s="481" t="s">
        <v>38</v>
      </c>
      <c r="D16" s="481">
        <v>999801</v>
      </c>
      <c r="E16" s="481">
        <v>1696</v>
      </c>
      <c r="F16" s="481"/>
      <c r="G16" s="481"/>
      <c r="H16" s="486"/>
      <c r="I16" s="481">
        <v>0.9999044961601945</v>
      </c>
      <c r="J16" s="481">
        <v>4.2890875344783289E-5</v>
      </c>
      <c r="K16" s="487">
        <v>2.2947813825905605</v>
      </c>
      <c r="L16" s="486">
        <v>0.17091143732418621</v>
      </c>
      <c r="M16" s="488">
        <v>3.4533527576831355E-2</v>
      </c>
      <c r="N16" s="489">
        <v>2.1500453529048937</v>
      </c>
      <c r="P16" s="85">
        <f t="shared" ref="P16:P22" si="0">1000000*(I16-I36)/I16</f>
        <v>16.300644924776954</v>
      </c>
      <c r="Q16" s="86">
        <f>1000000*J16/I16</f>
        <v>42.894971979315663</v>
      </c>
      <c r="R16" s="86"/>
      <c r="S16" s="86"/>
      <c r="T16" s="86"/>
      <c r="U16" s="86"/>
      <c r="V16" s="83" t="s">
        <v>39</v>
      </c>
      <c r="W16" s="490">
        <f>$A$34</f>
        <v>38405</v>
      </c>
      <c r="X16" s="491">
        <f>$A$14</f>
        <v>41863</v>
      </c>
      <c r="Y16" s="86">
        <f>DAYS360(W16,X16)</f>
        <v>3410</v>
      </c>
      <c r="Z16" s="86"/>
      <c r="AA16" s="86"/>
      <c r="AB16" s="86"/>
      <c r="AC16" s="86"/>
      <c r="AD16" s="82">
        <f>P16*90/Y16</f>
        <v>0.43022230006742695</v>
      </c>
    </row>
    <row r="17" spans="1:30">
      <c r="A17" s="485" t="s">
        <v>651</v>
      </c>
      <c r="B17" s="481"/>
      <c r="C17" s="481" t="s">
        <v>95</v>
      </c>
      <c r="D17" s="481">
        <v>999928</v>
      </c>
      <c r="E17" s="481">
        <v>394</v>
      </c>
      <c r="F17" s="481"/>
      <c r="G17" s="481"/>
      <c r="H17" s="486"/>
      <c r="I17" s="481">
        <v>0.10000325051852012</v>
      </c>
      <c r="J17" s="481">
        <v>4.2896352394125101E-6</v>
      </c>
      <c r="K17" s="487">
        <v>2.2947828309607781</v>
      </c>
      <c r="L17" s="486">
        <v>4.1297477009549902E-2</v>
      </c>
      <c r="M17" s="488">
        <v>3.453350420618731E-2</v>
      </c>
      <c r="N17" s="489">
        <v>2.1500462275608814</v>
      </c>
      <c r="P17" s="85">
        <f t="shared" si="0"/>
        <v>6.2984955331519084</v>
      </c>
      <c r="Q17" s="86">
        <f t="shared" ref="Q17:Q22" si="1">1000000*J17/I17</f>
        <v>42.894958085568334</v>
      </c>
      <c r="R17" s="86"/>
      <c r="S17" s="86"/>
      <c r="T17" s="86"/>
      <c r="U17" s="86"/>
      <c r="V17" s="83" t="s">
        <v>40</v>
      </c>
      <c r="W17" s="490">
        <f t="shared" ref="W17:W22" si="2">$A$34</f>
        <v>38405</v>
      </c>
      <c r="X17" s="491">
        <f t="shared" ref="X17:X22" si="3">$A$14</f>
        <v>41863</v>
      </c>
      <c r="Y17" s="86">
        <f t="shared" ref="Y17:Y22" si="4">DAYS360(W17,X17)</f>
        <v>3410</v>
      </c>
      <c r="Z17" s="86"/>
      <c r="AA17" s="86"/>
      <c r="AB17" s="86"/>
      <c r="AC17" s="86"/>
      <c r="AD17" s="82">
        <f t="shared" ref="AD17:AD22" si="5">P17*90/Y17</f>
        <v>0.16623595248788028</v>
      </c>
    </row>
    <row r="18" spans="1:30">
      <c r="A18" s="485" t="s">
        <v>652</v>
      </c>
      <c r="B18" s="481"/>
      <c r="C18" s="481" t="s">
        <v>42</v>
      </c>
      <c r="D18" s="481">
        <v>999986</v>
      </c>
      <c r="E18" s="481">
        <v>496</v>
      </c>
      <c r="F18" s="481"/>
      <c r="G18" s="481"/>
      <c r="H18" s="486"/>
      <c r="I18" s="481">
        <v>1.0000895092041497E-2</v>
      </c>
      <c r="J18" s="481">
        <v>4.2898748670594459E-7</v>
      </c>
      <c r="K18" s="487">
        <v>2.2947834572291717</v>
      </c>
      <c r="L18" s="486">
        <v>5.0094083951913851E-2</v>
      </c>
      <c r="M18" s="488">
        <v>3.4533460366915014E-2</v>
      </c>
      <c r="N18" s="489">
        <v>2.1500465753917521</v>
      </c>
      <c r="P18" s="85">
        <f t="shared" si="0"/>
        <v>17.298033252116337</v>
      </c>
      <c r="Q18" s="86">
        <f t="shared" si="1"/>
        <v>42.894909181411556</v>
      </c>
      <c r="R18" s="86"/>
      <c r="S18" s="86"/>
      <c r="T18" s="86"/>
      <c r="U18" s="86"/>
      <c r="V18" s="83" t="s">
        <v>43</v>
      </c>
      <c r="W18" s="490">
        <f t="shared" si="2"/>
        <v>38405</v>
      </c>
      <c r="X18" s="491">
        <f t="shared" si="3"/>
        <v>41863</v>
      </c>
      <c r="Y18" s="86">
        <f t="shared" si="4"/>
        <v>3410</v>
      </c>
      <c r="Z18" s="86"/>
      <c r="AA18" s="86"/>
      <c r="AB18" s="86"/>
      <c r="AC18" s="86"/>
      <c r="AD18" s="82">
        <f t="shared" si="5"/>
        <v>0.45654633216729334</v>
      </c>
    </row>
    <row r="19" spans="1:30">
      <c r="A19" s="485" t="s">
        <v>653</v>
      </c>
      <c r="B19" s="481"/>
      <c r="C19" s="481" t="s">
        <v>37</v>
      </c>
      <c r="D19" s="481">
        <v>999660</v>
      </c>
      <c r="E19" s="481">
        <v>-205</v>
      </c>
      <c r="F19" s="481"/>
      <c r="G19" s="481"/>
      <c r="H19" s="486"/>
      <c r="I19" s="488">
        <v>999.82744737198152</v>
      </c>
      <c r="J19" s="488">
        <v>5.0848715255551305E-2</v>
      </c>
      <c r="K19" s="487">
        <v>2.1617192107800678</v>
      </c>
      <c r="L19" s="486">
        <v>2.8984232585345382E-4</v>
      </c>
      <c r="M19" s="488">
        <v>3.4531339943973463E-2</v>
      </c>
      <c r="N19" s="489">
        <v>2.150044548401937</v>
      </c>
      <c r="P19" s="85">
        <f t="shared" si="0"/>
        <v>-7.224106607658034</v>
      </c>
      <c r="Q19" s="86">
        <f t="shared" si="1"/>
        <v>50.857490849251768</v>
      </c>
      <c r="R19" s="86"/>
      <c r="S19" s="86"/>
      <c r="T19" s="86"/>
      <c r="U19" s="86"/>
      <c r="V19" s="83" t="s">
        <v>5</v>
      </c>
      <c r="W19" s="490">
        <f t="shared" si="2"/>
        <v>38405</v>
      </c>
      <c r="X19" s="491">
        <f t="shared" si="3"/>
        <v>41863</v>
      </c>
      <c r="Y19" s="86">
        <f t="shared" si="4"/>
        <v>3410</v>
      </c>
      <c r="Z19" s="86"/>
      <c r="AA19" s="86"/>
      <c r="AB19" s="86"/>
      <c r="AC19" s="86"/>
      <c r="AD19" s="82">
        <f t="shared" si="5"/>
        <v>-0.19066557029009476</v>
      </c>
    </row>
    <row r="20" spans="1:30">
      <c r="A20" s="485" t="s">
        <v>654</v>
      </c>
      <c r="B20" s="481"/>
      <c r="C20" s="481" t="s">
        <v>44</v>
      </c>
      <c r="D20" s="481">
        <v>999865</v>
      </c>
      <c r="E20" s="481">
        <v>2540</v>
      </c>
      <c r="F20" s="481"/>
      <c r="G20" s="481"/>
      <c r="H20" s="486"/>
      <c r="I20" s="488">
        <v>100.00215576247349</v>
      </c>
      <c r="J20" s="488">
        <v>5.0861142226006463E-3</v>
      </c>
      <c r="K20" s="487">
        <v>2.1617201834571733</v>
      </c>
      <c r="L20" s="486">
        <v>4.0501108048644557E-4</v>
      </c>
      <c r="M20" s="488">
        <v>3.4534169047922086E-2</v>
      </c>
      <c r="N20" s="489">
        <v>2.1500459872489377</v>
      </c>
      <c r="P20" s="85">
        <f t="shared" si="0"/>
        <v>111.31349001047687</v>
      </c>
      <c r="Q20" s="86">
        <f t="shared" si="1"/>
        <v>50.86004580422501</v>
      </c>
      <c r="R20" s="86"/>
      <c r="S20" s="86"/>
      <c r="T20" s="86"/>
      <c r="U20" s="86"/>
      <c r="V20" s="83" t="s">
        <v>2</v>
      </c>
      <c r="W20" s="490">
        <f t="shared" si="2"/>
        <v>38405</v>
      </c>
      <c r="X20" s="491">
        <f t="shared" si="3"/>
        <v>41863</v>
      </c>
      <c r="Y20" s="86">
        <f t="shared" si="4"/>
        <v>3410</v>
      </c>
      <c r="Z20" s="86"/>
      <c r="AA20" s="86"/>
      <c r="AB20" s="86"/>
      <c r="AC20" s="86"/>
      <c r="AD20" s="82">
        <f t="shared" si="5"/>
        <v>2.9378926982237297</v>
      </c>
    </row>
    <row r="21" spans="1:30">
      <c r="A21" s="485" t="s">
        <v>655</v>
      </c>
      <c r="B21" s="481"/>
      <c r="C21" s="481" t="s">
        <v>44</v>
      </c>
      <c r="D21" s="481">
        <v>99969</v>
      </c>
      <c r="E21" s="481">
        <v>260</v>
      </c>
      <c r="F21" s="481"/>
      <c r="G21" s="481"/>
      <c r="H21" s="486"/>
      <c r="I21" s="488">
        <v>9.9980953863722739</v>
      </c>
      <c r="J21" s="488">
        <v>5.9909041198663896E-4</v>
      </c>
      <c r="K21" s="487">
        <v>2.1066268982039187</v>
      </c>
      <c r="L21" s="486">
        <v>-1.5382483875996688E-3</v>
      </c>
      <c r="M21" s="488">
        <v>4.4022639153207005E-2</v>
      </c>
      <c r="N21" s="489">
        <v>2.0612805126053386</v>
      </c>
      <c r="P21" s="85">
        <f t="shared" si="0"/>
        <v>-63.713262531497215</v>
      </c>
      <c r="Q21" s="86">
        <f t="shared" si="1"/>
        <v>59.920453729939254</v>
      </c>
      <c r="R21" s="86"/>
      <c r="S21" s="86"/>
      <c r="T21" s="86"/>
      <c r="U21" s="86"/>
      <c r="V21" s="83" t="s">
        <v>3</v>
      </c>
      <c r="W21" s="490">
        <f t="shared" si="2"/>
        <v>38405</v>
      </c>
      <c r="X21" s="491">
        <f t="shared" si="3"/>
        <v>41863</v>
      </c>
      <c r="Y21" s="86">
        <f t="shared" si="4"/>
        <v>3410</v>
      </c>
      <c r="Z21" s="86"/>
      <c r="AA21" s="86"/>
      <c r="AB21" s="86"/>
      <c r="AC21" s="86"/>
      <c r="AD21" s="82">
        <f t="shared" si="5"/>
        <v>-1.6815817090424485</v>
      </c>
    </row>
    <row r="22" spans="1:30">
      <c r="A22" s="492" t="s">
        <v>656</v>
      </c>
      <c r="B22" s="493"/>
      <c r="C22" s="493" t="s">
        <v>44</v>
      </c>
      <c r="D22" s="493">
        <v>10004</v>
      </c>
      <c r="E22" s="493">
        <v>40</v>
      </c>
      <c r="F22" s="493"/>
      <c r="G22" s="493"/>
      <c r="H22" s="494"/>
      <c r="I22" s="488">
        <v>0.99988954580232448</v>
      </c>
      <c r="J22" s="488">
        <v>4.1579058307347614E-4</v>
      </c>
      <c r="K22" s="487">
        <v>2.5532362681119465</v>
      </c>
      <c r="L22" s="486">
        <v>-9.7509912484205902E-3</v>
      </c>
      <c r="M22" s="488">
        <v>0.31071164794142986</v>
      </c>
      <c r="N22" s="489">
        <v>2.1827453978375804</v>
      </c>
      <c r="P22" s="85">
        <f t="shared" si="0"/>
        <v>736.42571832406429</v>
      </c>
      <c r="Q22" s="86">
        <f t="shared" si="1"/>
        <v>415.83651396198997</v>
      </c>
      <c r="R22" s="86"/>
      <c r="S22" s="86"/>
      <c r="T22" s="86"/>
      <c r="U22" s="86"/>
      <c r="V22" s="83" t="s">
        <v>4</v>
      </c>
      <c r="W22" s="490">
        <f t="shared" si="2"/>
        <v>38405</v>
      </c>
      <c r="X22" s="491">
        <f t="shared" si="3"/>
        <v>41863</v>
      </c>
      <c r="Y22" s="86">
        <f t="shared" si="4"/>
        <v>3410</v>
      </c>
      <c r="Z22" s="86"/>
      <c r="AA22" s="86"/>
      <c r="AB22" s="86"/>
      <c r="AC22" s="86"/>
      <c r="AD22" s="82">
        <f t="shared" si="5"/>
        <v>19.43645590884627</v>
      </c>
    </row>
    <row r="23" spans="1:30">
      <c r="A23" s="481"/>
      <c r="B23" s="481"/>
      <c r="C23" s="481"/>
      <c r="D23" s="481"/>
      <c r="E23" s="481"/>
      <c r="F23" s="481"/>
      <c r="G23" s="481"/>
      <c r="H23" s="486"/>
      <c r="I23" s="481"/>
      <c r="J23" s="481"/>
      <c r="K23" s="487"/>
      <c r="L23" s="486"/>
      <c r="M23" s="488"/>
      <c r="N23" s="487"/>
      <c r="P23" s="85"/>
      <c r="Q23" s="86"/>
      <c r="R23" s="86"/>
      <c r="S23" s="86"/>
      <c r="T23" s="86"/>
      <c r="U23" s="86"/>
      <c r="V23" s="83"/>
      <c r="W23" s="490"/>
      <c r="X23" s="491"/>
      <c r="Y23" s="86"/>
      <c r="Z23" s="86"/>
      <c r="AA23" s="86"/>
      <c r="AB23" s="86"/>
      <c r="AC23" s="86"/>
      <c r="AD23" s="82"/>
    </row>
    <row r="24" spans="1:30">
      <c r="A24" s="480">
        <v>40680</v>
      </c>
      <c r="B24" s="481" t="s">
        <v>657</v>
      </c>
      <c r="C24" s="481"/>
      <c r="D24" s="481"/>
      <c r="E24" s="481"/>
      <c r="F24" s="481"/>
      <c r="G24" s="481"/>
      <c r="H24" s="486" t="s">
        <v>491</v>
      </c>
      <c r="I24" s="481" t="s">
        <v>34</v>
      </c>
      <c r="J24" s="481" t="s">
        <v>482</v>
      </c>
      <c r="K24" s="487" t="s">
        <v>492</v>
      </c>
      <c r="L24" s="486" t="s">
        <v>481</v>
      </c>
      <c r="M24" s="488" t="s">
        <v>482</v>
      </c>
      <c r="N24" s="487" t="s">
        <v>492</v>
      </c>
      <c r="P24" s="85"/>
      <c r="Q24" s="86"/>
      <c r="R24" s="86"/>
      <c r="S24" s="86"/>
      <c r="T24" s="86"/>
      <c r="U24" s="86"/>
      <c r="V24" s="83"/>
      <c r="W24" s="490"/>
      <c r="X24" s="491"/>
      <c r="Y24" s="86"/>
      <c r="Z24" s="86"/>
      <c r="AA24" s="86"/>
      <c r="AB24" s="86"/>
      <c r="AC24" s="86"/>
      <c r="AD24" s="82"/>
    </row>
    <row r="25" spans="1:30">
      <c r="A25" s="481"/>
      <c r="B25" s="481"/>
      <c r="C25" s="481" t="s">
        <v>33</v>
      </c>
      <c r="D25" s="481" t="s">
        <v>0</v>
      </c>
      <c r="E25" s="481" t="s">
        <v>143</v>
      </c>
      <c r="F25" s="481"/>
      <c r="G25" s="481"/>
      <c r="H25" s="486" t="s">
        <v>658</v>
      </c>
      <c r="I25" s="481" t="s">
        <v>658</v>
      </c>
      <c r="J25" s="481" t="s">
        <v>658</v>
      </c>
      <c r="K25" s="487" t="s">
        <v>493</v>
      </c>
      <c r="L25" s="486" t="s">
        <v>494</v>
      </c>
      <c r="M25" s="488" t="s">
        <v>494</v>
      </c>
      <c r="N25" s="487" t="s">
        <v>493</v>
      </c>
      <c r="P25" s="85"/>
      <c r="Q25" s="86"/>
      <c r="R25" s="86"/>
      <c r="S25" s="86"/>
      <c r="T25" s="86"/>
      <c r="U25" s="86"/>
      <c r="V25" s="83"/>
      <c r="W25" s="490"/>
      <c r="X25" s="491"/>
      <c r="Y25" s="86"/>
      <c r="Z25" s="86"/>
      <c r="AA25" s="86"/>
      <c r="AB25" s="86"/>
      <c r="AC25" s="86"/>
      <c r="AD25" s="82"/>
    </row>
    <row r="26" spans="1:30">
      <c r="A26" s="481" t="s">
        <v>650</v>
      </c>
      <c r="B26" s="481"/>
      <c r="C26" s="481" t="s">
        <v>38</v>
      </c>
      <c r="D26" s="481">
        <v>999831</v>
      </c>
      <c r="E26" s="481">
        <v>1710</v>
      </c>
      <c r="F26" s="481"/>
      <c r="G26" s="481"/>
      <c r="H26" s="486"/>
      <c r="I26" s="481">
        <v>0.99990093687267345</v>
      </c>
      <c r="J26" s="481">
        <v>4.289074683682029E-5</v>
      </c>
      <c r="K26" s="487">
        <v>2.161719246840593</v>
      </c>
      <c r="L26" s="486">
        <v>0.17111407920585317</v>
      </c>
      <c r="M26" s="488">
        <v>3.4533547399875526E-2</v>
      </c>
      <c r="N26" s="487">
        <v>2.1500453336756653</v>
      </c>
      <c r="P26" s="85"/>
      <c r="Q26" s="86"/>
      <c r="R26" s="86"/>
      <c r="S26" s="86"/>
      <c r="T26" s="86"/>
      <c r="U26" s="86"/>
      <c r="V26" s="83"/>
      <c r="W26" s="490"/>
      <c r="X26" s="491"/>
      <c r="Y26" s="86"/>
      <c r="Z26" s="86"/>
      <c r="AA26" s="86"/>
      <c r="AB26" s="86"/>
      <c r="AC26" s="86"/>
      <c r="AD26" s="82"/>
    </row>
    <row r="27" spans="1:30">
      <c r="A27" s="481" t="s">
        <v>651</v>
      </c>
      <c r="B27" s="481"/>
      <c r="C27" s="481" t="s">
        <v>95</v>
      </c>
      <c r="D27" s="481">
        <v>999959</v>
      </c>
      <c r="E27" s="481">
        <v>397</v>
      </c>
      <c r="F27" s="481"/>
      <c r="G27" s="481"/>
      <c r="H27" s="486"/>
      <c r="I27" s="481">
        <v>0.10000289458261064</v>
      </c>
      <c r="J27" s="481">
        <v>4.2896224014482039E-6</v>
      </c>
      <c r="K27" s="487">
        <v>2.1617200417045659</v>
      </c>
      <c r="L27" s="486">
        <v>3.9798179971278297E-2</v>
      </c>
      <c r="M27" s="488">
        <v>3.4533524009359565E-2</v>
      </c>
      <c r="N27" s="487">
        <v>2.1500462090847186</v>
      </c>
      <c r="P27" s="85"/>
      <c r="Q27" s="86"/>
      <c r="R27" s="86"/>
      <c r="S27" s="86"/>
      <c r="T27" s="86"/>
      <c r="U27" s="86"/>
      <c r="V27" s="83"/>
      <c r="W27" s="490"/>
      <c r="X27" s="491"/>
      <c r="Y27" s="86"/>
      <c r="Z27" s="86"/>
      <c r="AA27" s="86"/>
      <c r="AB27" s="86"/>
      <c r="AC27" s="86"/>
      <c r="AD27" s="82"/>
    </row>
    <row r="28" spans="1:30">
      <c r="A28" s="481" t="s">
        <v>652</v>
      </c>
      <c r="B28" s="481"/>
      <c r="C28" s="481" t="s">
        <v>42</v>
      </c>
      <c r="D28" s="481">
        <v>1000016</v>
      </c>
      <c r="E28" s="481">
        <v>505</v>
      </c>
      <c r="F28" s="481"/>
      <c r="G28" s="481"/>
      <c r="H28" s="486"/>
      <c r="I28" s="481">
        <v>1.0000869498831307E-2</v>
      </c>
      <c r="J28" s="481">
        <v>4.2898663077534626E-7</v>
      </c>
      <c r="K28" s="487">
        <v>2.1066281095523633</v>
      </c>
      <c r="L28" s="486">
        <v>5.0194792968523388E-2</v>
      </c>
      <c r="M28" s="488">
        <v>3.453348001083914E-2</v>
      </c>
      <c r="N28" s="487">
        <v>2.1500465628599463</v>
      </c>
      <c r="P28" s="85"/>
      <c r="Q28" s="86"/>
      <c r="R28" s="86"/>
      <c r="S28" s="86"/>
      <c r="T28" s="86"/>
      <c r="U28" s="86"/>
      <c r="V28" s="83"/>
      <c r="W28" s="490"/>
      <c r="X28" s="491"/>
      <c r="Y28" s="86"/>
      <c r="Z28" s="86"/>
      <c r="AA28" s="86"/>
      <c r="AB28" s="86"/>
      <c r="AC28" s="86"/>
      <c r="AD28" s="82"/>
    </row>
    <row r="29" spans="1:30">
      <c r="A29" s="481" t="s">
        <v>653</v>
      </c>
      <c r="B29" s="481"/>
      <c r="C29" s="481" t="s">
        <v>37</v>
      </c>
      <c r="D29" s="481">
        <v>999702</v>
      </c>
      <c r="E29" s="481">
        <v>-190</v>
      </c>
      <c r="F29" s="481"/>
      <c r="G29" s="481"/>
      <c r="H29" s="486"/>
      <c r="I29" s="481">
        <v>999.83688748555005</v>
      </c>
      <c r="J29" s="481">
        <v>5.0849171745248986E-2</v>
      </c>
      <c r="K29" s="487">
        <v>2.161719246840593</v>
      </c>
      <c r="L29" s="486">
        <v>-5.5039202274287068E-3</v>
      </c>
      <c r="M29" s="488">
        <v>3.4531323280436288E-2</v>
      </c>
      <c r="N29" s="487">
        <v>2.1500446046641759</v>
      </c>
      <c r="P29" s="85"/>
      <c r="Q29" s="86"/>
      <c r="R29" s="86"/>
      <c r="S29" s="86"/>
      <c r="T29" s="86"/>
      <c r="U29" s="86"/>
      <c r="V29" s="83"/>
      <c r="W29" s="490"/>
      <c r="X29" s="491"/>
      <c r="Y29" s="86"/>
      <c r="Z29" s="86"/>
      <c r="AA29" s="86"/>
      <c r="AB29" s="86"/>
      <c r="AC29" s="86"/>
      <c r="AD29" s="82"/>
    </row>
    <row r="30" spans="1:30">
      <c r="A30" s="481" t="s">
        <v>654</v>
      </c>
      <c r="B30" s="481"/>
      <c r="C30" s="481" t="s">
        <v>44</v>
      </c>
      <c r="D30" s="481">
        <v>999888</v>
      </c>
      <c r="E30" s="481">
        <v>2100</v>
      </c>
      <c r="F30" s="481"/>
      <c r="G30" s="481"/>
      <c r="H30" s="486"/>
      <c r="I30" s="481">
        <v>100.00073479451603</v>
      </c>
      <c r="J30" s="481">
        <v>5.0859265320812993E-3</v>
      </c>
      <c r="K30" s="487">
        <v>2.1617200417045659</v>
      </c>
      <c r="L30" s="486">
        <v>5.5476445301373412E-3</v>
      </c>
      <c r="M30" s="488">
        <v>3.4534215417453801E-2</v>
      </c>
      <c r="N30" s="487">
        <v>2.1500457279169041</v>
      </c>
      <c r="P30" s="85"/>
      <c r="Q30" s="86"/>
      <c r="R30" s="86"/>
      <c r="S30" s="86"/>
      <c r="T30" s="86"/>
      <c r="U30" s="86"/>
      <c r="V30" s="83"/>
      <c r="W30" s="490"/>
      <c r="X30" s="491"/>
      <c r="Y30" s="86"/>
      <c r="Z30" s="86"/>
      <c r="AA30" s="86"/>
      <c r="AB30" s="86"/>
      <c r="AC30" s="86"/>
      <c r="AD30" s="82"/>
    </row>
    <row r="31" spans="1:30">
      <c r="A31" s="481" t="s">
        <v>655</v>
      </c>
      <c r="B31" s="481"/>
      <c r="C31" s="481" t="s">
        <v>44</v>
      </c>
      <c r="D31" s="481">
        <v>99974</v>
      </c>
      <c r="E31" s="481">
        <v>213</v>
      </c>
      <c r="F31" s="481"/>
      <c r="G31" s="481"/>
      <c r="H31" s="486"/>
      <c r="I31" s="481">
        <v>9.9979232378781564</v>
      </c>
      <c r="J31" s="481">
        <v>5.9907442838277956E-4</v>
      </c>
      <c r="K31" s="487">
        <v>2.1066281095523633</v>
      </c>
      <c r="L31" s="486">
        <v>-7.9100177480623812E-3</v>
      </c>
      <c r="M31" s="488">
        <v>4.4023454745382884E-2</v>
      </c>
      <c r="N31" s="487">
        <v>2.061280143201039</v>
      </c>
      <c r="P31" s="85"/>
      <c r="Q31" s="86"/>
      <c r="R31" s="86"/>
      <c r="S31" s="86"/>
      <c r="T31" s="86"/>
      <c r="U31" s="86"/>
      <c r="V31" s="83"/>
      <c r="W31" s="490"/>
      <c r="X31" s="491"/>
      <c r="Y31" s="86"/>
      <c r="Z31" s="86"/>
      <c r="AA31" s="86"/>
      <c r="AB31" s="86"/>
      <c r="AC31" s="86"/>
      <c r="AD31" s="82"/>
    </row>
    <row r="32" spans="1:30">
      <c r="A32" s="481" t="s">
        <v>656</v>
      </c>
      <c r="B32" s="481"/>
      <c r="C32" s="481" t="s">
        <v>44</v>
      </c>
      <c r="D32" s="481">
        <v>10005</v>
      </c>
      <c r="E32" s="481">
        <v>36</v>
      </c>
      <c r="F32" s="481"/>
      <c r="G32" s="481"/>
      <c r="H32" s="486"/>
      <c r="I32" s="481">
        <v>1.0000123485069592</v>
      </c>
      <c r="J32" s="481">
        <v>4.157903735093468E-4</v>
      </c>
      <c r="K32" s="487">
        <v>2.5532279831114897</v>
      </c>
      <c r="L32" s="486">
        <v>4.0465669967069129E-3</v>
      </c>
      <c r="M32" s="488">
        <v>0.31068114893177318</v>
      </c>
      <c r="N32" s="487">
        <v>2.1827441864919299</v>
      </c>
      <c r="P32" s="85"/>
      <c r="Q32" s="86"/>
      <c r="R32" s="86"/>
      <c r="S32" s="86"/>
      <c r="T32" s="86"/>
      <c r="U32" s="86"/>
      <c r="V32" s="83"/>
      <c r="W32" s="490"/>
      <c r="X32" s="491"/>
      <c r="Y32" s="86"/>
      <c r="Z32" s="86"/>
      <c r="AA32" s="86"/>
      <c r="AB32" s="86"/>
      <c r="AC32" s="86"/>
      <c r="AD32" s="82"/>
    </row>
    <row r="33" spans="1:30">
      <c r="A33" s="481"/>
      <c r="B33" s="481"/>
      <c r="C33" s="481"/>
      <c r="D33" s="481"/>
      <c r="E33" s="481"/>
      <c r="F33" s="481"/>
      <c r="G33" s="481"/>
      <c r="H33" s="486"/>
      <c r="I33" s="481"/>
      <c r="J33" s="481"/>
      <c r="K33" s="487"/>
      <c r="L33" s="486"/>
      <c r="M33" s="488"/>
      <c r="N33" s="487"/>
      <c r="P33" s="85"/>
      <c r="Q33" s="86"/>
      <c r="R33" s="86"/>
      <c r="S33" s="86"/>
      <c r="T33" s="86"/>
      <c r="U33" s="86"/>
      <c r="V33" s="83"/>
      <c r="W33" s="490"/>
      <c r="X33" s="491"/>
      <c r="Y33" s="86"/>
      <c r="Z33" s="86"/>
      <c r="AA33" s="86"/>
      <c r="AB33" s="86"/>
      <c r="AC33" s="86"/>
      <c r="AD33" s="82"/>
    </row>
    <row r="34" spans="1:30">
      <c r="A34" s="495">
        <v>38405</v>
      </c>
      <c r="B34" s="496" t="s">
        <v>659</v>
      </c>
      <c r="C34" s="496"/>
      <c r="D34" s="496"/>
      <c r="E34" s="496"/>
      <c r="F34" s="496"/>
      <c r="G34" s="496"/>
      <c r="H34" s="497" t="s">
        <v>491</v>
      </c>
      <c r="I34" s="496" t="s">
        <v>34</v>
      </c>
      <c r="J34" s="496" t="s">
        <v>482</v>
      </c>
      <c r="K34" s="498" t="s">
        <v>492</v>
      </c>
      <c r="L34" s="497" t="s">
        <v>481</v>
      </c>
      <c r="M34" s="499" t="s">
        <v>482</v>
      </c>
      <c r="N34" s="498" t="s">
        <v>492</v>
      </c>
      <c r="P34" s="85"/>
      <c r="Q34" s="86"/>
      <c r="R34" s="86"/>
      <c r="S34" s="86"/>
      <c r="T34" s="86"/>
      <c r="U34" s="86"/>
      <c r="V34" s="83"/>
      <c r="W34" s="490"/>
      <c r="X34" s="491"/>
      <c r="Y34" s="86"/>
      <c r="Z34" s="86"/>
      <c r="AA34" s="86"/>
      <c r="AB34" s="86"/>
      <c r="AC34" s="86"/>
      <c r="AD34" s="82"/>
    </row>
    <row r="35" spans="1:30">
      <c r="A35" s="496"/>
      <c r="B35" s="496"/>
      <c r="C35" s="496" t="s">
        <v>33</v>
      </c>
      <c r="D35" s="496" t="s">
        <v>0</v>
      </c>
      <c r="E35" s="496" t="s">
        <v>143</v>
      </c>
      <c r="F35" s="496"/>
      <c r="G35" s="496"/>
      <c r="H35" s="497" t="s">
        <v>658</v>
      </c>
      <c r="I35" s="496" t="s">
        <v>658</v>
      </c>
      <c r="J35" s="496" t="s">
        <v>658</v>
      </c>
      <c r="K35" s="498" t="s">
        <v>493</v>
      </c>
      <c r="L35" s="497" t="s">
        <v>494</v>
      </c>
      <c r="M35" s="499" t="s">
        <v>494</v>
      </c>
      <c r="N35" s="498" t="s">
        <v>493</v>
      </c>
      <c r="P35" s="85"/>
      <c r="Q35" s="86"/>
      <c r="R35" s="86"/>
      <c r="S35" s="86"/>
      <c r="T35" s="86"/>
      <c r="U35" s="86"/>
      <c r="V35" s="83"/>
      <c r="W35" s="490"/>
      <c r="X35" s="491"/>
      <c r="Y35" s="86"/>
      <c r="Z35" s="86"/>
      <c r="AA35" s="86"/>
      <c r="AB35" s="86"/>
      <c r="AC35" s="86"/>
      <c r="AD35" s="82"/>
    </row>
    <row r="36" spans="1:30">
      <c r="A36" s="496" t="s">
        <v>650</v>
      </c>
      <c r="B36" s="496"/>
      <c r="C36" s="496" t="s">
        <v>38</v>
      </c>
      <c r="D36" s="496">
        <v>999820</v>
      </c>
      <c r="E36" s="496">
        <v>1653</v>
      </c>
      <c r="F36" s="496"/>
      <c r="G36" s="496"/>
      <c r="H36" s="497"/>
      <c r="I36" s="496">
        <v>0.9998881970720439</v>
      </c>
      <c r="J36" s="496">
        <v>1.1134708971278611E-4</v>
      </c>
      <c r="K36" s="498">
        <v>2.1282786830082947</v>
      </c>
      <c r="L36" s="497">
        <v>0.16474294827471472</v>
      </c>
      <c r="M36" s="499">
        <v>3.4393445337098753E-2</v>
      </c>
      <c r="N36" s="498">
        <v>2.1500336700365597</v>
      </c>
      <c r="P36" s="85"/>
      <c r="Q36" s="86"/>
      <c r="R36" s="86"/>
      <c r="S36" s="86"/>
      <c r="T36" s="86"/>
      <c r="U36" s="86"/>
      <c r="V36" s="83"/>
      <c r="W36" s="490"/>
      <c r="X36" s="491"/>
      <c r="Y36" s="86"/>
      <c r="Z36" s="86"/>
      <c r="AA36" s="86"/>
      <c r="AB36" s="86"/>
      <c r="AC36" s="86"/>
      <c r="AD36" s="82"/>
    </row>
    <row r="37" spans="1:30">
      <c r="A37" s="496" t="s">
        <v>651</v>
      </c>
      <c r="B37" s="496"/>
      <c r="C37" s="496" t="s">
        <v>95</v>
      </c>
      <c r="D37" s="496">
        <v>999958</v>
      </c>
      <c r="E37" s="496">
        <v>335</v>
      </c>
      <c r="F37" s="496"/>
      <c r="G37" s="496"/>
      <c r="H37" s="497"/>
      <c r="I37" s="496">
        <v>0.10000262064849343</v>
      </c>
      <c r="J37" s="496">
        <v>1.1136226141403421E-5</v>
      </c>
      <c r="K37" s="498">
        <v>2.1262124919590808</v>
      </c>
      <c r="L37" s="497">
        <v>3.3461905379948857E-2</v>
      </c>
      <c r="M37" s="499">
        <v>3.4393128439221606E-2</v>
      </c>
      <c r="N37" s="498">
        <v>2.1500457277254625</v>
      </c>
      <c r="P37" s="85"/>
      <c r="Q37" s="86"/>
      <c r="R37" s="86"/>
      <c r="S37" s="86"/>
      <c r="T37" s="86"/>
      <c r="U37" s="86"/>
      <c r="V37" s="83"/>
      <c r="W37" s="490"/>
      <c r="X37" s="491"/>
      <c r="Y37" s="86"/>
      <c r="Z37" s="86"/>
      <c r="AA37" s="86"/>
      <c r="AB37" s="86"/>
      <c r="AC37" s="86"/>
      <c r="AD37" s="82"/>
    </row>
    <row r="38" spans="1:30">
      <c r="A38" s="496" t="s">
        <v>652</v>
      </c>
      <c r="B38" s="496"/>
      <c r="C38" s="496" t="s">
        <v>42</v>
      </c>
      <c r="D38" s="496">
        <v>1000004</v>
      </c>
      <c r="E38" s="496">
        <v>500</v>
      </c>
      <c r="F38" s="496"/>
      <c r="G38" s="496"/>
      <c r="H38" s="497"/>
      <c r="I38" s="496">
        <v>1.0000722096225644E-2</v>
      </c>
      <c r="J38" s="496">
        <v>1.1141205860925991E-6</v>
      </c>
      <c r="K38" s="498">
        <v>2.1037936287295711</v>
      </c>
      <c r="L38" s="497">
        <v>4.9393873823438524E-2</v>
      </c>
      <c r="M38" s="499">
        <v>3.4393136222050702E-2</v>
      </c>
      <c r="N38" s="498">
        <v>2.1500454269533336</v>
      </c>
      <c r="P38" s="85"/>
      <c r="Q38" s="86"/>
      <c r="R38" s="86"/>
      <c r="S38" s="86"/>
      <c r="T38" s="86"/>
      <c r="U38" s="86"/>
      <c r="V38" s="83"/>
      <c r="W38" s="490"/>
      <c r="X38" s="491"/>
      <c r="Y38" s="86"/>
      <c r="Z38" s="86"/>
      <c r="AA38" s="86"/>
      <c r="AB38" s="86"/>
      <c r="AC38" s="86"/>
      <c r="AD38" s="82"/>
    </row>
    <row r="39" spans="1:30">
      <c r="A39" s="496" t="s">
        <v>653</v>
      </c>
      <c r="B39" s="496"/>
      <c r="C39" s="496" t="s">
        <v>37</v>
      </c>
      <c r="D39" s="496">
        <v>999703</v>
      </c>
      <c r="E39" s="496">
        <v>-227</v>
      </c>
      <c r="F39" s="496"/>
      <c r="G39" s="496"/>
      <c r="H39" s="497"/>
      <c r="I39" s="496">
        <v>999.8346702320506</v>
      </c>
      <c r="J39" s="496">
        <v>0.11136965486833708</v>
      </c>
      <c r="K39" s="498">
        <v>2.1282786830082947</v>
      </c>
      <c r="L39" s="497">
        <v>-1.3604486384239145E-2</v>
      </c>
      <c r="M39" s="499">
        <v>3.4390980461173594E-2</v>
      </c>
      <c r="N39" s="498">
        <v>2.1500443916834961</v>
      </c>
      <c r="P39" s="85"/>
      <c r="Q39" s="86"/>
      <c r="R39" s="86"/>
      <c r="S39" s="86"/>
      <c r="T39" s="86"/>
      <c r="U39" s="86"/>
      <c r="V39" s="83"/>
      <c r="W39" s="490"/>
      <c r="X39" s="491"/>
      <c r="Y39" s="86"/>
      <c r="Z39" s="86"/>
      <c r="AA39" s="86"/>
      <c r="AB39" s="86"/>
      <c r="AC39" s="86"/>
      <c r="AD39" s="82"/>
    </row>
    <row r="40" spans="1:30">
      <c r="A40" s="496" t="s">
        <v>654</v>
      </c>
      <c r="B40" s="496"/>
      <c r="C40" s="496" t="s">
        <v>44</v>
      </c>
      <c r="D40" s="496">
        <v>999863</v>
      </c>
      <c r="E40" s="496">
        <v>1834</v>
      </c>
      <c r="F40" s="496"/>
      <c r="G40" s="496"/>
      <c r="H40" s="497"/>
      <c r="I40" s="496">
        <v>99.991024173507</v>
      </c>
      <c r="J40" s="496">
        <v>1.1160554140373318E-2</v>
      </c>
      <c r="K40" s="498">
        <v>2.1262124919590808</v>
      </c>
      <c r="L40" s="497">
        <v>-9.8650337650202646E-3</v>
      </c>
      <c r="M40" s="499">
        <v>3.4394229825560244E-2</v>
      </c>
      <c r="N40" s="498">
        <v>2.1500312439198845</v>
      </c>
      <c r="P40" s="85"/>
      <c r="Q40" s="86"/>
      <c r="R40" s="86"/>
      <c r="S40" s="86"/>
      <c r="T40" s="86"/>
      <c r="U40" s="86"/>
      <c r="V40" s="83"/>
      <c r="W40" s="490"/>
      <c r="X40" s="491"/>
      <c r="Y40" s="86"/>
      <c r="Z40" s="86"/>
      <c r="AA40" s="86"/>
      <c r="AB40" s="86"/>
      <c r="AC40" s="86"/>
      <c r="AD40" s="82"/>
    </row>
    <row r="41" spans="1:30">
      <c r="A41" s="496" t="s">
        <v>655</v>
      </c>
      <c r="B41" s="496"/>
      <c r="C41" s="496" t="s">
        <v>44</v>
      </c>
      <c r="D41" s="496">
        <v>99988</v>
      </c>
      <c r="E41" s="496">
        <v>193</v>
      </c>
      <c r="F41" s="496"/>
      <c r="G41" s="496"/>
      <c r="H41" s="497"/>
      <c r="I41" s="496">
        <v>9.9987323976484408</v>
      </c>
      <c r="J41" s="496">
        <v>1.1449434764596277E-3</v>
      </c>
      <c r="K41" s="498">
        <v>2.1037936287295711</v>
      </c>
      <c r="L41" s="497">
        <v>-4.6376149277873591E-3</v>
      </c>
      <c r="M41" s="499">
        <v>4.3842236534380651E-2</v>
      </c>
      <c r="N41" s="498">
        <v>2.0612768382515143</v>
      </c>
      <c r="P41" s="85"/>
      <c r="Q41" s="86"/>
      <c r="R41" s="86"/>
      <c r="S41" s="86"/>
      <c r="T41" s="86"/>
      <c r="U41" s="86"/>
      <c r="V41" s="83"/>
      <c r="W41" s="490"/>
      <c r="X41" s="491"/>
      <c r="Y41" s="86"/>
      <c r="Z41" s="86"/>
      <c r="AA41" s="86"/>
      <c r="AB41" s="86"/>
      <c r="AC41" s="86"/>
      <c r="AD41" s="82"/>
    </row>
    <row r="42" spans="1:30">
      <c r="A42" s="496" t="s">
        <v>656</v>
      </c>
      <c r="B42" s="496"/>
      <c r="C42" s="496" t="s">
        <v>44</v>
      </c>
      <c r="D42" s="496">
        <v>9997</v>
      </c>
      <c r="E42" s="496">
        <v>42</v>
      </c>
      <c r="F42" s="496"/>
      <c r="G42" s="496"/>
      <c r="H42" s="497"/>
      <c r="I42" s="496">
        <v>0.99915320142531228</v>
      </c>
      <c r="J42" s="496">
        <v>3.5273371230283291E-4</v>
      </c>
      <c r="K42" s="498">
        <v>2.0761060348467684</v>
      </c>
      <c r="L42" s="497">
        <v>9.6162142286059044E-2</v>
      </c>
      <c r="M42" s="499">
        <v>0.30966457322811647</v>
      </c>
      <c r="N42" s="498">
        <v>2.1827527354075866</v>
      </c>
      <c r="P42" s="85"/>
      <c r="Q42" s="86"/>
      <c r="R42" s="86"/>
      <c r="S42" s="86"/>
      <c r="T42" s="86"/>
      <c r="U42" s="86"/>
      <c r="V42" s="83"/>
      <c r="W42" s="490"/>
      <c r="X42" s="491"/>
      <c r="Y42" s="86"/>
      <c r="Z42" s="86"/>
      <c r="AA42" s="86"/>
      <c r="AB42" s="86"/>
      <c r="AC42" s="86"/>
      <c r="AD42" s="82"/>
    </row>
    <row r="43" spans="1:30">
      <c r="A43" s="481"/>
      <c r="B43" s="481"/>
      <c r="C43" s="481"/>
      <c r="D43" s="481"/>
      <c r="E43" s="481"/>
      <c r="F43" s="481"/>
      <c r="G43" s="481"/>
      <c r="H43" s="486"/>
      <c r="I43" s="481"/>
      <c r="J43" s="481"/>
      <c r="K43" s="487"/>
      <c r="L43" s="486"/>
      <c r="M43" s="488"/>
      <c r="N43" s="487"/>
      <c r="P43" s="85"/>
      <c r="Q43" s="86"/>
      <c r="R43" s="86"/>
      <c r="S43" s="86"/>
      <c r="T43" s="86"/>
      <c r="U43" s="86"/>
      <c r="V43" s="83"/>
      <c r="W43" s="490"/>
      <c r="X43" s="491"/>
      <c r="Y43" s="86"/>
      <c r="Z43" s="86"/>
      <c r="AA43" s="86"/>
      <c r="AB43" s="86"/>
      <c r="AC43" s="86"/>
      <c r="AD43" s="82"/>
    </row>
    <row r="45" spans="1:30">
      <c r="A45" s="500">
        <v>37459</v>
      </c>
      <c r="B45" s="501" t="s">
        <v>660</v>
      </c>
      <c r="C45" s="501"/>
      <c r="D45" s="501"/>
      <c r="E45" s="501"/>
      <c r="F45" s="501"/>
      <c r="G45" s="501"/>
      <c r="H45" s="501" t="s">
        <v>491</v>
      </c>
      <c r="I45" s="501" t="s">
        <v>34</v>
      </c>
      <c r="J45" s="501" t="s">
        <v>482</v>
      </c>
      <c r="K45" s="501" t="s">
        <v>492</v>
      </c>
      <c r="L45" s="501" t="s">
        <v>481</v>
      </c>
      <c r="M45" s="501" t="s">
        <v>482</v>
      </c>
      <c r="N45" s="502" t="s">
        <v>492</v>
      </c>
    </row>
    <row r="46" spans="1:30">
      <c r="A46" s="503" t="s">
        <v>661</v>
      </c>
      <c r="B46" s="504"/>
      <c r="C46" s="504" t="s">
        <v>33</v>
      </c>
      <c r="D46" s="504" t="s">
        <v>34</v>
      </c>
      <c r="E46" s="504" t="s">
        <v>35</v>
      </c>
      <c r="F46" s="504"/>
      <c r="G46" s="504"/>
      <c r="H46" s="505" t="s">
        <v>643</v>
      </c>
      <c r="I46" s="505" t="s">
        <v>643</v>
      </c>
      <c r="J46" s="505" t="s">
        <v>643</v>
      </c>
      <c r="K46" s="504" t="s">
        <v>493</v>
      </c>
      <c r="L46" s="504" t="s">
        <v>494</v>
      </c>
      <c r="M46" s="504" t="s">
        <v>494</v>
      </c>
      <c r="N46" s="506" t="s">
        <v>493</v>
      </c>
    </row>
    <row r="47" spans="1:30">
      <c r="A47" s="503" t="s">
        <v>650</v>
      </c>
      <c r="B47" s="504"/>
      <c r="C47" s="504" t="s">
        <v>38</v>
      </c>
      <c r="D47" s="504">
        <v>999800</v>
      </c>
      <c r="E47" s="504">
        <v>1564</v>
      </c>
      <c r="F47" s="504"/>
      <c r="G47" s="504"/>
      <c r="H47" s="504">
        <v>1</v>
      </c>
      <c r="I47" s="504">
        <v>0.99988698428599998</v>
      </c>
      <c r="J47" s="507">
        <v>1.2347446791275286E-4</v>
      </c>
      <c r="K47" s="508">
        <v>2.4531023625558377</v>
      </c>
      <c r="L47" s="509">
        <v>0.17381356066366127</v>
      </c>
      <c r="M47" s="510">
        <v>3.9380639458263873E-2</v>
      </c>
      <c r="N47" s="511">
        <v>2.0871697169527255</v>
      </c>
    </row>
    <row r="48" spans="1:30">
      <c r="A48" s="503" t="s">
        <v>651</v>
      </c>
      <c r="B48" s="504"/>
      <c r="C48" s="504" t="s">
        <v>95</v>
      </c>
      <c r="D48" s="504">
        <v>999865</v>
      </c>
      <c r="E48" s="504">
        <v>494</v>
      </c>
      <c r="F48" s="504"/>
      <c r="G48" s="504"/>
      <c r="H48" s="504">
        <v>0.1</v>
      </c>
      <c r="I48" s="504">
        <v>0.1000025995545</v>
      </c>
      <c r="J48" s="507">
        <v>1.2347395096420009E-5</v>
      </c>
      <c r="K48" s="508">
        <v>2.4545473891647145</v>
      </c>
      <c r="L48" s="509">
        <v>6.049630986545456E-2</v>
      </c>
      <c r="M48" s="510">
        <v>3.9380639458263859E-2</v>
      </c>
      <c r="N48" s="511">
        <v>2.0871697169527255</v>
      </c>
    </row>
    <row r="49" spans="1:14">
      <c r="A49" s="503" t="s">
        <v>652</v>
      </c>
      <c r="B49" s="504"/>
      <c r="C49" s="504" t="s">
        <v>95</v>
      </c>
      <c r="D49" s="504">
        <v>100000</v>
      </c>
      <c r="E49" s="504">
        <v>54</v>
      </c>
      <c r="F49" s="504"/>
      <c r="G49" s="504"/>
      <c r="H49" s="504">
        <v>0.01</v>
      </c>
      <c r="I49" s="504">
        <v>1.00009100081E-2</v>
      </c>
      <c r="J49" s="507">
        <v>1.2549829076667638E-6</v>
      </c>
      <c r="K49" s="508">
        <v>2.3204707222049938</v>
      </c>
      <c r="L49" s="509">
        <v>6.8991306735204136E-2</v>
      </c>
      <c r="M49" s="510">
        <v>3.4310250733120169E-2</v>
      </c>
      <c r="N49" s="511">
        <v>2.1402146382865626</v>
      </c>
    </row>
    <row r="50" spans="1:14">
      <c r="A50" s="503" t="s">
        <v>653</v>
      </c>
      <c r="B50" s="504"/>
      <c r="C50" s="504" t="s">
        <v>37</v>
      </c>
      <c r="D50" s="504">
        <v>999725</v>
      </c>
      <c r="E50" s="504">
        <v>-96</v>
      </c>
      <c r="F50" s="504"/>
      <c r="G50" s="504"/>
      <c r="H50" s="504">
        <v>1000</v>
      </c>
      <c r="I50" s="504">
        <v>999.85148617031257</v>
      </c>
      <c r="J50" s="507">
        <v>7.4102010648654945E-2</v>
      </c>
      <c r="K50" s="508">
        <v>2.4352737863727554</v>
      </c>
      <c r="L50" s="509">
        <v>2.9976965025331603E-3</v>
      </c>
      <c r="M50" s="510">
        <v>3.4310250733120169E-2</v>
      </c>
      <c r="N50" s="511">
        <v>2.1402146382865626</v>
      </c>
    </row>
    <row r="51" spans="1:14">
      <c r="A51" s="503" t="s">
        <v>654</v>
      </c>
      <c r="B51" s="504"/>
      <c r="C51" s="504" t="s">
        <v>44</v>
      </c>
      <c r="D51" s="504">
        <v>999884</v>
      </c>
      <c r="E51" s="504">
        <v>1530</v>
      </c>
      <c r="F51" s="504"/>
      <c r="G51" s="504"/>
      <c r="H51" s="504">
        <v>100</v>
      </c>
      <c r="I51" s="504">
        <v>99.995496537095349</v>
      </c>
      <c r="J51" s="507">
        <v>7.4095087057193922E-3</v>
      </c>
      <c r="K51" s="508">
        <v>2.4405783600497108</v>
      </c>
      <c r="L51" s="509">
        <v>4.0065530367590502E-3</v>
      </c>
      <c r="M51" s="510">
        <v>3.4310250733120169E-2</v>
      </c>
      <c r="N51" s="511">
        <v>2.1402146382865626</v>
      </c>
    </row>
    <row r="52" spans="1:14">
      <c r="A52" s="503" t="s">
        <v>655</v>
      </c>
      <c r="B52" s="504"/>
      <c r="C52" s="504" t="s">
        <v>44</v>
      </c>
      <c r="D52" s="504">
        <v>100007</v>
      </c>
      <c r="E52" s="504">
        <v>150</v>
      </c>
      <c r="F52" s="504"/>
      <c r="G52" s="504"/>
      <c r="H52" s="504">
        <v>10</v>
      </c>
      <c r="I52" s="504">
        <v>9.9992717804192548</v>
      </c>
      <c r="J52" s="507">
        <v>7.6244295397045374E-4</v>
      </c>
      <c r="K52" s="508">
        <v>2.0900212967482901</v>
      </c>
      <c r="L52" s="509">
        <v>1.9008318936686572E-2</v>
      </c>
      <c r="M52" s="510">
        <v>3.4310250733120162E-2</v>
      </c>
      <c r="N52" s="511">
        <v>2.1402146382865626</v>
      </c>
    </row>
    <row r="53" spans="1:14">
      <c r="A53" s="512" t="s">
        <v>656</v>
      </c>
      <c r="B53" s="513"/>
      <c r="C53" s="513" t="s">
        <v>44</v>
      </c>
      <c r="D53" s="513">
        <v>10027</v>
      </c>
      <c r="E53" s="513">
        <v>24</v>
      </c>
      <c r="F53" s="513"/>
      <c r="G53" s="513"/>
      <c r="H53" s="513">
        <v>1</v>
      </c>
      <c r="I53" s="513">
        <v>0.99996199380000006</v>
      </c>
      <c r="J53" s="514">
        <v>4.9630807210427263E-4</v>
      </c>
      <c r="K53" s="515">
        <v>2.3633717719251082</v>
      </c>
      <c r="L53" s="516">
        <v>2.6003056285599041E-2</v>
      </c>
      <c r="M53" s="517">
        <v>0.10709927980015248</v>
      </c>
      <c r="N53" s="518">
        <v>2.14155732736016</v>
      </c>
    </row>
    <row r="55" spans="1:14">
      <c r="A55" t="s">
        <v>662</v>
      </c>
    </row>
    <row r="56" spans="1:14">
      <c r="A56" t="s">
        <v>661</v>
      </c>
      <c r="C56" t="s">
        <v>33</v>
      </c>
      <c r="D56" t="s">
        <v>0</v>
      </c>
      <c r="E56" t="s">
        <v>143</v>
      </c>
      <c r="F56" t="s">
        <v>663</v>
      </c>
      <c r="H56" t="s">
        <v>664</v>
      </c>
      <c r="J56" t="s">
        <v>665</v>
      </c>
    </row>
    <row r="57" spans="1:14">
      <c r="A57" t="s">
        <v>650</v>
      </c>
      <c r="C57" t="s">
        <v>38</v>
      </c>
      <c r="D57">
        <v>999806</v>
      </c>
      <c r="E57">
        <v>1734</v>
      </c>
      <c r="F57">
        <v>0.99953805199199997</v>
      </c>
      <c r="G57" t="s">
        <v>666</v>
      </c>
      <c r="H57" s="65">
        <v>1.7336011800000001E-3</v>
      </c>
      <c r="I57" t="s">
        <v>105</v>
      </c>
      <c r="J57" s="350">
        <v>1.7344023837262331E-4</v>
      </c>
    </row>
    <row r="58" spans="1:14">
      <c r="A58" t="s">
        <v>651</v>
      </c>
      <c r="C58" t="s">
        <v>95</v>
      </c>
      <c r="D58">
        <v>999945</v>
      </c>
      <c r="E58">
        <v>600</v>
      </c>
      <c r="F58">
        <v>100.00759927950001</v>
      </c>
      <c r="G58" t="s">
        <v>106</v>
      </c>
      <c r="H58" s="65">
        <v>5.9997000000000009E-2</v>
      </c>
      <c r="I58" t="s">
        <v>667</v>
      </c>
      <c r="J58" s="350">
        <v>5.9992441006729023E-5</v>
      </c>
    </row>
    <row r="59" spans="1:14">
      <c r="A59" t="s">
        <v>652</v>
      </c>
      <c r="C59" t="s">
        <v>95</v>
      </c>
      <c r="D59">
        <v>100001</v>
      </c>
      <c r="E59">
        <v>64</v>
      </c>
      <c r="F59">
        <v>10.001410013100001</v>
      </c>
      <c r="G59" t="s">
        <v>106</v>
      </c>
      <c r="H59" s="65">
        <v>6.3996800000000005E-3</v>
      </c>
      <c r="I59" t="s">
        <v>667</v>
      </c>
      <c r="J59" s="350">
        <v>6.398777763952883E-5</v>
      </c>
    </row>
    <row r="60" spans="1:14">
      <c r="A60" t="s">
        <v>653</v>
      </c>
      <c r="C60" t="s">
        <v>37</v>
      </c>
      <c r="D60">
        <v>999733</v>
      </c>
      <c r="E60">
        <v>14</v>
      </c>
      <c r="F60">
        <v>999.47906781799998</v>
      </c>
      <c r="G60" t="s">
        <v>107</v>
      </c>
      <c r="H60" s="65">
        <v>1.399685E-2</v>
      </c>
      <c r="I60" t="s">
        <v>1</v>
      </c>
      <c r="J60" s="350">
        <v>1.4004145209921249E-6</v>
      </c>
    </row>
    <row r="61" spans="1:14">
      <c r="A61" t="s">
        <v>654</v>
      </c>
      <c r="C61" t="s">
        <v>44</v>
      </c>
      <c r="D61">
        <v>999906</v>
      </c>
      <c r="E61">
        <v>1080</v>
      </c>
      <c r="F61">
        <v>103.39997948820002</v>
      </c>
      <c r="G61" t="s">
        <v>107</v>
      </c>
      <c r="H61" s="65">
        <v>0.11177881200000001</v>
      </c>
      <c r="I61" t="s">
        <v>1</v>
      </c>
      <c r="J61" s="350">
        <v>1.0810332125138977E-4</v>
      </c>
    </row>
    <row r="62" spans="1:14">
      <c r="A62" t="s">
        <v>655</v>
      </c>
      <c r="C62" t="s">
        <v>44</v>
      </c>
      <c r="D62">
        <v>100012</v>
      </c>
      <c r="E62">
        <v>110</v>
      </c>
      <c r="F62">
        <v>10.342210916400001</v>
      </c>
      <c r="G62" t="s">
        <v>107</v>
      </c>
      <c r="H62" s="65">
        <v>1.1384879000000001E-2</v>
      </c>
      <c r="I62" t="s">
        <v>1</v>
      </c>
      <c r="J62" s="350">
        <v>1.100816749148541E-4</v>
      </c>
    </row>
    <row r="63" spans="1:14">
      <c r="A63" t="s">
        <v>656</v>
      </c>
      <c r="C63" t="s">
        <v>44</v>
      </c>
      <c r="D63">
        <v>10028</v>
      </c>
      <c r="E63">
        <v>15</v>
      </c>
      <c r="F63">
        <v>1.0369924716000001</v>
      </c>
      <c r="G63" t="s">
        <v>107</v>
      </c>
      <c r="H63" s="65">
        <v>1.5524835000000001E-3</v>
      </c>
      <c r="I63" t="s">
        <v>1</v>
      </c>
      <c r="J63" s="350">
        <v>1.4971019968974673E-4</v>
      </c>
    </row>
    <row r="65" spans="1:5">
      <c r="A65" t="s">
        <v>668</v>
      </c>
    </row>
    <row r="66" spans="1:5">
      <c r="A66" t="s">
        <v>661</v>
      </c>
      <c r="C66" t="s">
        <v>33</v>
      </c>
      <c r="D66" t="s">
        <v>669</v>
      </c>
      <c r="E66" t="s">
        <v>35</v>
      </c>
    </row>
    <row r="67" spans="1:5">
      <c r="A67" t="s">
        <v>650</v>
      </c>
      <c r="C67" t="s">
        <v>38</v>
      </c>
      <c r="D67">
        <v>999768</v>
      </c>
      <c r="E67">
        <v>1756</v>
      </c>
    </row>
    <row r="68" spans="1:5">
      <c r="A68" t="s">
        <v>651</v>
      </c>
      <c r="C68" t="s">
        <v>95</v>
      </c>
      <c r="D68">
        <v>999907</v>
      </c>
      <c r="E68">
        <v>610</v>
      </c>
    </row>
    <row r="69" spans="1:5">
      <c r="A69" t="s">
        <v>652</v>
      </c>
      <c r="C69" t="s">
        <v>42</v>
      </c>
      <c r="D69">
        <v>99998</v>
      </c>
      <c r="E69">
        <v>56</v>
      </c>
    </row>
    <row r="70" spans="1:5">
      <c r="A70" t="s">
        <v>653</v>
      </c>
      <c r="C70" t="s">
        <v>37</v>
      </c>
      <c r="D70">
        <v>999756</v>
      </c>
      <c r="E70">
        <v>98</v>
      </c>
    </row>
    <row r="71" spans="1:5">
      <c r="A71" t="s">
        <v>654</v>
      </c>
      <c r="C71" t="s">
        <v>44</v>
      </c>
      <c r="D71">
        <v>999911</v>
      </c>
      <c r="E71">
        <v>1100</v>
      </c>
    </row>
    <row r="72" spans="1:5">
      <c r="A72" t="s">
        <v>655</v>
      </c>
      <c r="C72" t="s">
        <v>44</v>
      </c>
      <c r="D72">
        <v>100008</v>
      </c>
      <c r="E72">
        <v>120</v>
      </c>
    </row>
    <row r="73" spans="1:5">
      <c r="A73" t="s">
        <v>656</v>
      </c>
      <c r="C73" t="s">
        <v>44</v>
      </c>
      <c r="D73">
        <v>10028</v>
      </c>
      <c r="E73">
        <v>10</v>
      </c>
    </row>
    <row r="75" spans="1:5">
      <c r="A75" t="s">
        <v>670</v>
      </c>
    </row>
    <row r="76" spans="1:5">
      <c r="A76" t="s">
        <v>661</v>
      </c>
      <c r="C76" t="s">
        <v>33</v>
      </c>
      <c r="D76" t="s">
        <v>669</v>
      </c>
      <c r="E76" t="s">
        <v>35</v>
      </c>
    </row>
    <row r="77" spans="1:5">
      <c r="A77" t="s">
        <v>650</v>
      </c>
      <c r="C77" t="s">
        <v>38</v>
      </c>
      <c r="D77">
        <v>999775</v>
      </c>
      <c r="E77">
        <v>1750</v>
      </c>
    </row>
    <row r="78" spans="1:5">
      <c r="A78" t="s">
        <v>651</v>
      </c>
      <c r="C78" t="s">
        <v>95</v>
      </c>
      <c r="D78">
        <v>999904</v>
      </c>
      <c r="E78">
        <v>590</v>
      </c>
    </row>
    <row r="79" spans="1:5">
      <c r="A79" t="s">
        <v>652</v>
      </c>
      <c r="C79" t="s">
        <v>42</v>
      </c>
      <c r="D79">
        <v>1000254</v>
      </c>
      <c r="E79">
        <v>700</v>
      </c>
    </row>
    <row r="80" spans="1:5">
      <c r="A80" t="s">
        <v>653</v>
      </c>
      <c r="C80" t="s">
        <v>37</v>
      </c>
      <c r="D80">
        <v>999770</v>
      </c>
      <c r="E80">
        <v>69</v>
      </c>
    </row>
    <row r="81" spans="1:5">
      <c r="A81" t="s">
        <v>654</v>
      </c>
      <c r="C81" t="s">
        <v>44</v>
      </c>
      <c r="D81">
        <v>1000019</v>
      </c>
      <c r="E81">
        <v>1506</v>
      </c>
    </row>
    <row r="82" spans="1:5">
      <c r="A82" t="s">
        <v>655</v>
      </c>
      <c r="C82" t="s">
        <v>44</v>
      </c>
      <c r="D82">
        <v>100020</v>
      </c>
      <c r="E82">
        <v>150</v>
      </c>
    </row>
    <row r="83" spans="1:5">
      <c r="A83" t="s">
        <v>656</v>
      </c>
      <c r="C83" t="s">
        <v>44</v>
      </c>
      <c r="D83">
        <v>10028</v>
      </c>
      <c r="E83">
        <v>16</v>
      </c>
    </row>
    <row r="86" spans="1:5">
      <c r="A86" t="s">
        <v>671</v>
      </c>
    </row>
    <row r="87" spans="1:5">
      <c r="A87" t="s">
        <v>661</v>
      </c>
      <c r="C87" t="s">
        <v>33</v>
      </c>
      <c r="D87" t="s">
        <v>669</v>
      </c>
      <c r="E87" t="s">
        <v>35</v>
      </c>
    </row>
    <row r="88" spans="1:5">
      <c r="A88" t="s">
        <v>650</v>
      </c>
      <c r="C88" t="s">
        <v>38</v>
      </c>
      <c r="D88">
        <v>999746</v>
      </c>
      <c r="E88">
        <v>1813</v>
      </c>
    </row>
    <row r="89" spans="1:5">
      <c r="A89" t="s">
        <v>651</v>
      </c>
      <c r="C89" t="s">
        <v>95</v>
      </c>
      <c r="D89">
        <v>999882</v>
      </c>
      <c r="E89">
        <v>659</v>
      </c>
    </row>
    <row r="90" spans="1:5">
      <c r="A90" t="s">
        <v>652</v>
      </c>
      <c r="C90" t="s">
        <v>42</v>
      </c>
      <c r="D90">
        <v>1000131</v>
      </c>
      <c r="E90">
        <v>560</v>
      </c>
    </row>
    <row r="91" spans="1:5">
      <c r="A91" t="s">
        <v>653</v>
      </c>
      <c r="C91" t="s">
        <v>37</v>
      </c>
      <c r="D91">
        <v>999732</v>
      </c>
      <c r="E91">
        <v>113</v>
      </c>
    </row>
    <row r="92" spans="1:5">
      <c r="A92" t="s">
        <v>654</v>
      </c>
      <c r="C92" t="s">
        <v>44</v>
      </c>
      <c r="D92">
        <v>999893</v>
      </c>
      <c r="E92">
        <v>1520</v>
      </c>
    </row>
    <row r="93" spans="1:5">
      <c r="A93" t="s">
        <v>655</v>
      </c>
      <c r="C93" t="s">
        <v>44</v>
      </c>
      <c r="D93">
        <v>100014</v>
      </c>
      <c r="E93">
        <v>150</v>
      </c>
    </row>
    <row r="94" spans="1:5">
      <c r="A94" t="s">
        <v>656</v>
      </c>
      <c r="C94" t="s">
        <v>44</v>
      </c>
      <c r="D94">
        <v>10027</v>
      </c>
      <c r="E94">
        <v>16</v>
      </c>
    </row>
    <row r="98" spans="1:37">
      <c r="A98" t="s">
        <v>46</v>
      </c>
      <c r="B98" t="s">
        <v>672</v>
      </c>
      <c r="C98" t="s">
        <v>673</v>
      </c>
    </row>
    <row r="99" spans="1:37">
      <c r="A99" s="1">
        <v>34186</v>
      </c>
      <c r="C99">
        <v>20878</v>
      </c>
    </row>
    <row r="100" spans="1:37">
      <c r="A100" s="1">
        <v>34989</v>
      </c>
      <c r="B100">
        <v>71623</v>
      </c>
      <c r="C100">
        <v>21066</v>
      </c>
    </row>
    <row r="101" spans="1:37">
      <c r="A101" s="1">
        <v>35761</v>
      </c>
      <c r="B101">
        <v>71750</v>
      </c>
      <c r="C101">
        <v>21250</v>
      </c>
    </row>
    <row r="102" spans="1:37">
      <c r="A102" s="1">
        <v>36753</v>
      </c>
      <c r="B102">
        <v>73040</v>
      </c>
      <c r="C102">
        <v>21385</v>
      </c>
    </row>
    <row r="103" spans="1:37">
      <c r="A103" s="1">
        <v>37459</v>
      </c>
      <c r="B103">
        <v>71250</v>
      </c>
      <c r="C103">
        <v>21464</v>
      </c>
    </row>
    <row r="104" spans="1:37">
      <c r="A104" s="1">
        <v>38405</v>
      </c>
      <c r="B104">
        <v>7140032</v>
      </c>
      <c r="C104">
        <v>21580</v>
      </c>
    </row>
    <row r="105" spans="1:37">
      <c r="A105" s="1"/>
    </row>
    <row r="106" spans="1:37">
      <c r="A106" s="1"/>
    </row>
    <row r="107" spans="1:37">
      <c r="B107" s="1">
        <v>34185</v>
      </c>
      <c r="F107" s="1">
        <v>34989</v>
      </c>
      <c r="J107" s="1">
        <v>35761</v>
      </c>
      <c r="N107" s="1">
        <v>36747</v>
      </c>
      <c r="R107" s="1">
        <v>37459</v>
      </c>
      <c r="V107" s="1">
        <v>38405</v>
      </c>
      <c r="Z107" s="1">
        <v>40680</v>
      </c>
      <c r="AD107" s="1">
        <v>41863</v>
      </c>
      <c r="AH107" s="1">
        <f>pyUBreadings!B4</f>
        <v>43059</v>
      </c>
    </row>
    <row r="108" spans="1:37">
      <c r="B108" t="s">
        <v>0</v>
      </c>
      <c r="C108" t="s">
        <v>155</v>
      </c>
      <c r="D108" t="s">
        <v>156</v>
      </c>
      <c r="E108" t="s">
        <v>674</v>
      </c>
      <c r="F108" t="s">
        <v>0</v>
      </c>
      <c r="G108" t="s">
        <v>155</v>
      </c>
      <c r="H108" t="s">
        <v>156</v>
      </c>
      <c r="I108" t="s">
        <v>674</v>
      </c>
      <c r="J108" t="s">
        <v>0</v>
      </c>
      <c r="K108" t="s">
        <v>155</v>
      </c>
      <c r="L108" t="s">
        <v>156</v>
      </c>
      <c r="M108" t="s">
        <v>674</v>
      </c>
      <c r="N108" t="s">
        <v>0</v>
      </c>
      <c r="O108" t="s">
        <v>155</v>
      </c>
      <c r="P108" t="s">
        <v>156</v>
      </c>
      <c r="Q108" t="s">
        <v>674</v>
      </c>
      <c r="R108" t="s">
        <v>0</v>
      </c>
      <c r="S108" t="s">
        <v>155</v>
      </c>
      <c r="T108" t="s">
        <v>156</v>
      </c>
      <c r="U108" t="s">
        <v>674</v>
      </c>
      <c r="V108" t="s">
        <v>0</v>
      </c>
      <c r="W108" t="s">
        <v>155</v>
      </c>
      <c r="X108" t="s">
        <v>156</v>
      </c>
      <c r="Y108" t="s">
        <v>674</v>
      </c>
      <c r="Z108" t="s">
        <v>0</v>
      </c>
      <c r="AA108" t="s">
        <v>155</v>
      </c>
      <c r="AB108" t="s">
        <v>156</v>
      </c>
      <c r="AC108" t="s">
        <v>674</v>
      </c>
      <c r="AD108" t="s">
        <v>0</v>
      </c>
      <c r="AE108" t="s">
        <v>155</v>
      </c>
      <c r="AF108" t="s">
        <v>156</v>
      </c>
      <c r="AG108" t="s">
        <v>674</v>
      </c>
      <c r="AH108" t="s">
        <v>0</v>
      </c>
      <c r="AI108" t="s">
        <v>155</v>
      </c>
      <c r="AJ108" t="s">
        <v>156</v>
      </c>
      <c r="AK108" t="s">
        <v>674</v>
      </c>
    </row>
    <row r="109" spans="1:37">
      <c r="A109" t="s">
        <v>650</v>
      </c>
      <c r="B109">
        <v>0.99983999999999995</v>
      </c>
      <c r="C109" s="350">
        <f>0.0002*B109</f>
        <v>1.9996799999999999E-4</v>
      </c>
      <c r="D109">
        <v>0.18</v>
      </c>
      <c r="E109">
        <v>0.1</v>
      </c>
      <c r="F109">
        <v>0.99985999999999997</v>
      </c>
      <c r="G109">
        <v>1.2E-4</v>
      </c>
      <c r="H109">
        <v>0.17499999999999999</v>
      </c>
      <c r="I109">
        <v>3.9E-2</v>
      </c>
      <c r="J109">
        <v>0.99985000000000002</v>
      </c>
      <c r="K109">
        <v>1.2E-4</v>
      </c>
      <c r="L109">
        <v>0.17599999999999999</v>
      </c>
      <c r="M109">
        <v>3.9E-2</v>
      </c>
      <c r="N109">
        <v>0.99988999999999995</v>
      </c>
      <c r="O109">
        <v>1.2E-4</v>
      </c>
      <c r="P109">
        <v>0.17</v>
      </c>
      <c r="Q109">
        <v>0.04</v>
      </c>
      <c r="R109">
        <v>0.99987999999999999</v>
      </c>
      <c r="S109">
        <v>1.2E-4</v>
      </c>
      <c r="T109">
        <v>0.16</v>
      </c>
      <c r="U109">
        <v>0.04</v>
      </c>
      <c r="V109">
        <v>0.9998881970720439</v>
      </c>
      <c r="W109">
        <v>1.1134708971278611E-4</v>
      </c>
      <c r="X109">
        <v>0.16474294827471472</v>
      </c>
      <c r="Y109">
        <v>3.4393445337098753E-2</v>
      </c>
      <c r="Z109">
        <v>0.99990093687267345</v>
      </c>
      <c r="AA109">
        <v>4.289074683682029E-5</v>
      </c>
      <c r="AB109">
        <v>0.17111407920585317</v>
      </c>
      <c r="AC109">
        <v>3.4533547399875526E-2</v>
      </c>
      <c r="AD109">
        <f t="shared" ref="AD109:AE115" si="6">I16</f>
        <v>0.9999044961601945</v>
      </c>
      <c r="AE109">
        <f t="shared" si="6"/>
        <v>4.2890875344783289E-5</v>
      </c>
      <c r="AF109" s="65">
        <f t="shared" ref="AF109:AG115" si="7">L16</f>
        <v>0.17091143732418621</v>
      </c>
      <c r="AG109" s="82">
        <f t="shared" si="7"/>
        <v>3.4533527576831355E-2</v>
      </c>
      <c r="AH109">
        <f>I6</f>
        <v>0.99992128170980321</v>
      </c>
      <c r="AI109">
        <f>J6</f>
        <v>4.590068210131768E-5</v>
      </c>
      <c r="AJ109">
        <f>L6</f>
        <v>0.1717513717035469</v>
      </c>
      <c r="AK109">
        <f>M6</f>
        <v>3.7835933733186937E-2</v>
      </c>
    </row>
    <row r="110" spans="1:37">
      <c r="A110" t="s">
        <v>651</v>
      </c>
      <c r="B110">
        <v>9.9997000000000003E-2</v>
      </c>
      <c r="C110" s="350">
        <f t="shared" ref="C110:C115" si="8">0.0002*B110</f>
        <v>1.99994E-5</v>
      </c>
      <c r="D110">
        <v>7.0000000000000007E-2</v>
      </c>
      <c r="E110">
        <v>0.1</v>
      </c>
      <c r="F110">
        <v>9.9998000000000004E-2</v>
      </c>
      <c r="G110">
        <v>1.2E-5</v>
      </c>
      <c r="H110">
        <v>5.8999999999999997E-2</v>
      </c>
      <c r="I110">
        <v>3.9E-2</v>
      </c>
      <c r="J110">
        <v>9.9999000000000005E-2</v>
      </c>
      <c r="K110">
        <v>1.2E-5</v>
      </c>
      <c r="L110">
        <v>6.0999999999999999E-2</v>
      </c>
      <c r="M110">
        <v>3.9E-2</v>
      </c>
      <c r="N110">
        <v>0.10000299999999999</v>
      </c>
      <c r="O110">
        <v>1.2E-5</v>
      </c>
      <c r="P110">
        <v>0.06</v>
      </c>
      <c r="Q110">
        <v>0.04</v>
      </c>
      <c r="R110">
        <v>0.10000199999999999</v>
      </c>
      <c r="S110">
        <v>1.2E-5</v>
      </c>
      <c r="T110">
        <v>0.05</v>
      </c>
      <c r="U110">
        <v>0.04</v>
      </c>
      <c r="V110">
        <v>0.10000262064849343</v>
      </c>
      <c r="W110">
        <v>1.1136226141403421E-5</v>
      </c>
      <c r="X110">
        <v>3.3461905379948857E-2</v>
      </c>
      <c r="Y110">
        <v>3.4393128439221606E-2</v>
      </c>
      <c r="Z110">
        <v>0.10000289458261064</v>
      </c>
      <c r="AA110">
        <v>4.2896224014482039E-6</v>
      </c>
      <c r="AB110">
        <v>3.9798179971278297E-2</v>
      </c>
      <c r="AC110">
        <v>3.4533524009359565E-2</v>
      </c>
      <c r="AD110">
        <f t="shared" si="6"/>
        <v>0.10000325051852012</v>
      </c>
      <c r="AE110">
        <f t="shared" si="6"/>
        <v>4.2896352394125101E-6</v>
      </c>
      <c r="AF110" s="65">
        <f t="shared" si="7"/>
        <v>4.1297477009549902E-2</v>
      </c>
      <c r="AG110" s="82">
        <f t="shared" si="7"/>
        <v>3.453350420618731E-2</v>
      </c>
      <c r="AH110">
        <f t="shared" ref="AH110:AI110" si="9">I7</f>
        <v>0.1000039290594413</v>
      </c>
      <c r="AI110">
        <f t="shared" si="9"/>
        <v>4.5906087527501537E-6</v>
      </c>
      <c r="AJ110">
        <f t="shared" ref="AJ110:AK110" si="10">L7</f>
        <v>4.1293294401709549E-2</v>
      </c>
      <c r="AK110">
        <f t="shared" si="10"/>
        <v>3.7827035414106099E-2</v>
      </c>
    </row>
    <row r="111" spans="1:37">
      <c r="A111" t="s">
        <v>652</v>
      </c>
      <c r="B111">
        <v>1.00004E-2</v>
      </c>
      <c r="C111" s="350">
        <f t="shared" si="8"/>
        <v>2.00008E-6</v>
      </c>
      <c r="D111">
        <v>0.08</v>
      </c>
      <c r="E111">
        <v>0.1</v>
      </c>
      <c r="F111">
        <v>1.0003400000000001E-2</v>
      </c>
      <c r="G111">
        <v>1.3E-6</v>
      </c>
      <c r="H111">
        <v>6.4000000000000001E-2</v>
      </c>
      <c r="I111">
        <v>3.4000000000000002E-2</v>
      </c>
      <c r="J111">
        <v>1.00006E-2</v>
      </c>
      <c r="K111">
        <v>1.3E-6</v>
      </c>
      <c r="L111">
        <v>5.8999999999999997E-2</v>
      </c>
      <c r="M111">
        <v>3.4000000000000002E-2</v>
      </c>
      <c r="N111">
        <v>1.00009E-2</v>
      </c>
      <c r="O111">
        <v>1.3E-6</v>
      </c>
      <c r="P111">
        <v>7.0000000000000007E-2</v>
      </c>
      <c r="Q111">
        <v>0.04</v>
      </c>
      <c r="R111">
        <v>1.0000800000000001E-2</v>
      </c>
      <c r="S111">
        <v>1.3E-6</v>
      </c>
      <c r="T111">
        <v>0.06</v>
      </c>
      <c r="U111">
        <v>0.03</v>
      </c>
      <c r="V111">
        <v>1.0000722096225644E-2</v>
      </c>
      <c r="W111">
        <v>1.1141205860925991E-6</v>
      </c>
      <c r="X111">
        <v>4.9393873823438524E-2</v>
      </c>
      <c r="Y111">
        <v>3.4393136222050702E-2</v>
      </c>
      <c r="Z111">
        <v>1.0000869498831307E-2</v>
      </c>
      <c r="AA111">
        <v>4.2898663077534626E-7</v>
      </c>
      <c r="AB111">
        <v>5.0194792968523388E-2</v>
      </c>
      <c r="AC111">
        <v>3.453348001083914E-2</v>
      </c>
      <c r="AD111">
        <f t="shared" si="6"/>
        <v>1.0000895092041497E-2</v>
      </c>
      <c r="AE111">
        <f t="shared" si="6"/>
        <v>4.2898748670594459E-7</v>
      </c>
      <c r="AF111" s="65">
        <f t="shared" si="7"/>
        <v>5.0094083951913851E-2</v>
      </c>
      <c r="AG111" s="82">
        <f t="shared" si="7"/>
        <v>3.4533460366915014E-2</v>
      </c>
      <c r="AH111">
        <f t="shared" ref="AH111:AI111" si="11">I8</f>
        <v>1.0001002951873049E-2</v>
      </c>
      <c r="AI111">
        <f t="shared" si="11"/>
        <v>4.5908856031900874E-7</v>
      </c>
      <c r="AJ111">
        <f t="shared" ref="AJ111:AK111" si="12">L8</f>
        <v>4.959110273473219E-2</v>
      </c>
      <c r="AK111">
        <f t="shared" si="12"/>
        <v>3.7825390691860701E-2</v>
      </c>
    </row>
    <row r="112" spans="1:37">
      <c r="A112" t="s">
        <v>653</v>
      </c>
      <c r="B112" s="82">
        <v>999.87</v>
      </c>
      <c r="C112" s="82">
        <f t="shared" si="8"/>
        <v>0.19997400000000001</v>
      </c>
      <c r="D112">
        <v>0</v>
      </c>
      <c r="E112">
        <v>0.1</v>
      </c>
      <c r="F112">
        <v>999.9</v>
      </c>
      <c r="G112">
        <v>7.0000000000000007E-2</v>
      </c>
      <c r="H112">
        <v>0</v>
      </c>
      <c r="I112">
        <v>3.4000000000000002E-2</v>
      </c>
      <c r="J112">
        <v>999.89</v>
      </c>
      <c r="K112">
        <v>7.0000000000000007E-2</v>
      </c>
      <c r="L112">
        <v>0</v>
      </c>
      <c r="M112">
        <v>3.4000000000000002E-2</v>
      </c>
      <c r="N112">
        <v>999.85</v>
      </c>
      <c r="O112">
        <v>7.0000000000000007E-2</v>
      </c>
      <c r="P112">
        <v>0</v>
      </c>
      <c r="Q112">
        <v>0.03</v>
      </c>
      <c r="R112">
        <v>999.85</v>
      </c>
      <c r="S112">
        <v>7.0000000000000007E-2</v>
      </c>
      <c r="T112">
        <v>0.01</v>
      </c>
      <c r="U112">
        <v>0.03</v>
      </c>
      <c r="V112">
        <v>999.8346702320506</v>
      </c>
      <c r="W112">
        <v>0.11136965486833708</v>
      </c>
      <c r="X112">
        <v>-1.3604486384239145E-2</v>
      </c>
      <c r="Y112">
        <v>3.4390980461173594E-2</v>
      </c>
      <c r="Z112">
        <v>999.83688748555005</v>
      </c>
      <c r="AA112">
        <v>5.0849171745248986E-2</v>
      </c>
      <c r="AB112">
        <v>-5.5039202274287068E-3</v>
      </c>
      <c r="AC112">
        <v>3.4531323280436288E-2</v>
      </c>
      <c r="AD112">
        <f t="shared" si="6"/>
        <v>999.82744737198152</v>
      </c>
      <c r="AE112">
        <f t="shared" si="6"/>
        <v>5.0848715255551305E-2</v>
      </c>
      <c r="AF112" s="65">
        <f t="shared" si="7"/>
        <v>2.8984232585345382E-4</v>
      </c>
      <c r="AG112" s="82">
        <f t="shared" si="7"/>
        <v>3.4531339943973463E-2</v>
      </c>
      <c r="AH112">
        <f t="shared" ref="AH112:AI112" si="13">I9</f>
        <v>999.8688614432499</v>
      </c>
      <c r="AI112">
        <f t="shared" si="13"/>
        <v>4.8907277087306668E-2</v>
      </c>
      <c r="AJ112">
        <f t="shared" ref="AJ112:AK112" si="14">L9</f>
        <v>0</v>
      </c>
      <c r="AK112">
        <f t="shared" si="14"/>
        <v>3.7829438524117305E-2</v>
      </c>
    </row>
    <row r="113" spans="1:37">
      <c r="A113" t="s">
        <v>654</v>
      </c>
      <c r="B113">
        <v>99.992999999999995</v>
      </c>
      <c r="C113" s="65">
        <f t="shared" si="8"/>
        <v>1.9998599999999998E-2</v>
      </c>
      <c r="D113">
        <v>0</v>
      </c>
      <c r="E113">
        <v>0.1</v>
      </c>
      <c r="F113">
        <v>100.005</v>
      </c>
      <c r="G113">
        <v>8.0000000000000002E-3</v>
      </c>
      <c r="H113">
        <v>0</v>
      </c>
      <c r="I113">
        <v>3.4000000000000002E-2</v>
      </c>
      <c r="J113">
        <v>99.994</v>
      </c>
      <c r="K113">
        <v>8.0000000000000002E-3</v>
      </c>
      <c r="L113">
        <v>0</v>
      </c>
      <c r="M113">
        <v>3.4000000000000002E-2</v>
      </c>
      <c r="N113">
        <v>99.995000000000005</v>
      </c>
      <c r="O113">
        <v>7.0000000000000001E-3</v>
      </c>
      <c r="P113">
        <v>0</v>
      </c>
      <c r="Q113">
        <v>0.03</v>
      </c>
      <c r="R113">
        <v>99.992000000000004</v>
      </c>
      <c r="S113">
        <v>7.0000000000000001E-3</v>
      </c>
      <c r="T113">
        <v>7.0000000000000007E-2</v>
      </c>
      <c r="U113">
        <v>0.03</v>
      </c>
      <c r="V113">
        <v>99.991024173507</v>
      </c>
      <c r="W113">
        <v>1.1160554140373318E-2</v>
      </c>
      <c r="X113">
        <v>-9.8650337650202646E-3</v>
      </c>
      <c r="Y113">
        <v>3.4394229825560244E-2</v>
      </c>
      <c r="Z113">
        <v>100.00073479451603</v>
      </c>
      <c r="AA113">
        <v>5.0859265320812993E-3</v>
      </c>
      <c r="AB113">
        <v>5.5476445301373412E-3</v>
      </c>
      <c r="AC113">
        <v>3.4534215417453801E-2</v>
      </c>
      <c r="AD113">
        <f t="shared" si="6"/>
        <v>100.00215576247349</v>
      </c>
      <c r="AE113">
        <f t="shared" si="6"/>
        <v>5.0861142226006463E-3</v>
      </c>
      <c r="AF113" s="65">
        <f t="shared" si="7"/>
        <v>4.0501108048644557E-4</v>
      </c>
      <c r="AG113" s="82">
        <f t="shared" si="7"/>
        <v>3.4534169047922086E-2</v>
      </c>
      <c r="AH113">
        <f t="shared" ref="AH113:AI113" si="15">I10</f>
        <v>100.000288942483</v>
      </c>
      <c r="AI113">
        <f t="shared" si="15"/>
        <v>4.8913974062626056E-3</v>
      </c>
      <c r="AJ113">
        <f t="shared" ref="AJ113:AK113" si="16">L10</f>
        <v>4.2999531220445859E-4</v>
      </c>
      <c r="AK113">
        <f t="shared" si="16"/>
        <v>3.7819360074707847E-2</v>
      </c>
    </row>
    <row r="114" spans="1:37">
      <c r="A114" t="s">
        <v>655</v>
      </c>
      <c r="B114">
        <v>9.9989000000000008</v>
      </c>
      <c r="C114" s="93">
        <f t="shared" si="8"/>
        <v>1.99978E-3</v>
      </c>
      <c r="D114">
        <v>0</v>
      </c>
      <c r="E114">
        <v>0.1</v>
      </c>
      <c r="F114">
        <v>9.9997000000000007</v>
      </c>
      <c r="G114">
        <v>8.0000000000000004E-4</v>
      </c>
      <c r="H114">
        <v>0</v>
      </c>
      <c r="I114">
        <v>3.4000000000000002E-2</v>
      </c>
      <c r="J114">
        <v>9.9984000000000002</v>
      </c>
      <c r="K114">
        <v>8.0000000000000004E-4</v>
      </c>
      <c r="L114">
        <v>0</v>
      </c>
      <c r="M114">
        <v>3.4000000000000002E-2</v>
      </c>
      <c r="N114">
        <v>9.9992999999999999</v>
      </c>
      <c r="O114">
        <v>8.0000000000000004E-4</v>
      </c>
      <c r="P114">
        <v>0.02</v>
      </c>
      <c r="Q114">
        <v>0.03</v>
      </c>
      <c r="R114">
        <v>9.9985999999999997</v>
      </c>
      <c r="S114">
        <v>8.0000000000000004E-4</v>
      </c>
      <c r="T114">
        <v>0.06</v>
      </c>
      <c r="U114">
        <v>0.03</v>
      </c>
      <c r="V114">
        <v>9.9987323976484408</v>
      </c>
      <c r="W114">
        <v>1.1449434764596277E-3</v>
      </c>
      <c r="X114">
        <v>-4.6376149277873591E-3</v>
      </c>
      <c r="Y114">
        <v>4.3842236534380651E-2</v>
      </c>
      <c r="Z114">
        <v>9.9979232378781564</v>
      </c>
      <c r="AA114">
        <v>5.9907442838277956E-4</v>
      </c>
      <c r="AB114">
        <v>-7.9100177480623812E-3</v>
      </c>
      <c r="AC114">
        <v>4.4023454745382884E-2</v>
      </c>
      <c r="AD114">
        <f t="shared" si="6"/>
        <v>9.9980953863722739</v>
      </c>
      <c r="AE114">
        <f t="shared" si="6"/>
        <v>5.9909041198663896E-4</v>
      </c>
      <c r="AF114" s="65">
        <f t="shared" si="7"/>
        <v>-1.5382483875996688E-3</v>
      </c>
      <c r="AG114" s="82">
        <f t="shared" si="7"/>
        <v>4.4022639153207005E-2</v>
      </c>
      <c r="AH114">
        <f t="shared" ref="AH114:AI114" si="17">I11</f>
        <v>9.9987288124871458</v>
      </c>
      <c r="AI114">
        <f t="shared" si="17"/>
        <v>6.4595565951650806E-4</v>
      </c>
      <c r="AJ114">
        <f t="shared" ref="AJ114:AK114" si="18">L11</f>
        <v>-1.9472128150785583E-3</v>
      </c>
      <c r="AK114">
        <f t="shared" si="18"/>
        <v>5.5768599492208207E-2</v>
      </c>
    </row>
    <row r="115" spans="1:37">
      <c r="A115" t="s">
        <v>656</v>
      </c>
      <c r="B115">
        <v>0.99956999999999996</v>
      </c>
      <c r="C115" s="350">
        <f t="shared" si="8"/>
        <v>1.9991400000000001E-4</v>
      </c>
      <c r="D115">
        <v>0.16</v>
      </c>
      <c r="E115">
        <v>0.1</v>
      </c>
      <c r="F115">
        <v>0.99995999999999996</v>
      </c>
      <c r="G115">
        <v>2.5999999999999998E-4</v>
      </c>
      <c r="H115">
        <v>0.16</v>
      </c>
      <c r="I115">
        <v>0.11</v>
      </c>
      <c r="J115">
        <v>0.99985999999999997</v>
      </c>
      <c r="K115">
        <v>5.0000000000000001E-4</v>
      </c>
      <c r="L115">
        <v>0.1</v>
      </c>
      <c r="M115">
        <v>0.11</v>
      </c>
      <c r="N115">
        <v>0.99995999999999996</v>
      </c>
      <c r="O115">
        <v>5.0000000000000001E-4</v>
      </c>
      <c r="P115">
        <v>0.03</v>
      </c>
      <c r="Q115">
        <v>0.11</v>
      </c>
      <c r="R115">
        <v>0.99985999999999997</v>
      </c>
      <c r="S115">
        <v>5.0000000000000001E-4</v>
      </c>
      <c r="T115">
        <v>0.09</v>
      </c>
      <c r="U115">
        <v>0.11</v>
      </c>
      <c r="V115">
        <v>0.99915320142531228</v>
      </c>
      <c r="W115">
        <v>3.5273371230283291E-4</v>
      </c>
      <c r="X115">
        <v>9.6162142286059044E-2</v>
      </c>
      <c r="Y115">
        <v>0.30966457322811647</v>
      </c>
      <c r="Z115">
        <v>1.0000123485069592</v>
      </c>
      <c r="AA115">
        <v>4.157903735093468E-4</v>
      </c>
      <c r="AB115">
        <v>4.0465669967069129E-3</v>
      </c>
      <c r="AC115">
        <v>0.31068114893177318</v>
      </c>
      <c r="AD115">
        <f t="shared" si="6"/>
        <v>0.99988954580232448</v>
      </c>
      <c r="AE115">
        <f t="shared" si="6"/>
        <v>4.1579058307347614E-4</v>
      </c>
      <c r="AF115" s="65">
        <f t="shared" si="7"/>
        <v>-9.7509912484205902E-3</v>
      </c>
      <c r="AG115" s="82">
        <f t="shared" si="7"/>
        <v>0.31071164794142986</v>
      </c>
      <c r="AH115">
        <f t="shared" ref="AH115:AI115" si="19">I12</f>
        <v>0.99986288061978246</v>
      </c>
      <c r="AI115">
        <f t="shared" si="19"/>
        <v>4.4518488097795053E-4</v>
      </c>
      <c r="AJ115">
        <f t="shared" ref="AJ115:AK115" si="20">L12</f>
        <v>-1.4040292700863457E-2</v>
      </c>
      <c r="AK115">
        <f t="shared" si="20"/>
        <v>0.44300406389633651</v>
      </c>
    </row>
    <row r="118" spans="1:37">
      <c r="A118" s="92" t="s">
        <v>650</v>
      </c>
    </row>
    <row r="119" spans="1:37">
      <c r="A119" t="s">
        <v>46</v>
      </c>
      <c r="B119" t="s">
        <v>0</v>
      </c>
      <c r="C119" t="s">
        <v>155</v>
      </c>
      <c r="D119" t="s">
        <v>156</v>
      </c>
      <c r="E119" t="s">
        <v>674</v>
      </c>
    </row>
    <row r="120" spans="1:37">
      <c r="A120" s="1">
        <v>34186</v>
      </c>
      <c r="B120" s="350">
        <f>VLOOKUP($A$118,hist_16,2,FALSE)</f>
        <v>0.99983999999999995</v>
      </c>
      <c r="C120">
        <f>VLOOKUP($A$118,hist_16,3,FALSE)</f>
        <v>1.9996799999999999E-4</v>
      </c>
      <c r="D120" s="350">
        <f>VLOOKUP($A$118,hist_16,4,FALSE)</f>
        <v>0.18</v>
      </c>
      <c r="E120">
        <f>VLOOKUP($A$118,hist_16,5,FALSE)</f>
        <v>0.1</v>
      </c>
    </row>
    <row r="121" spans="1:37">
      <c r="A121" s="1">
        <v>34989</v>
      </c>
      <c r="B121" s="350">
        <f>VLOOKUP($A$118,hist_16,2+4,FALSE)</f>
        <v>0.99985999999999997</v>
      </c>
      <c r="C121">
        <f>VLOOKUP($A$118,hist_16,3+4,FALSE)</f>
        <v>1.2E-4</v>
      </c>
      <c r="D121" s="350">
        <f>VLOOKUP($A$118,hist_16,4+4,FALSE)</f>
        <v>0.17499999999999999</v>
      </c>
      <c r="E121">
        <f>VLOOKUP($A$118,hist_16,5+4,FALSE)</f>
        <v>3.9E-2</v>
      </c>
    </row>
    <row r="122" spans="1:37">
      <c r="A122" s="1">
        <v>35761</v>
      </c>
      <c r="B122" s="350">
        <f>VLOOKUP($A$118,hist_16,2+8,FALSE)</f>
        <v>0.99985000000000002</v>
      </c>
      <c r="C122">
        <f>VLOOKUP($A$118,hist_16,3+8,FALSE)</f>
        <v>1.2E-4</v>
      </c>
      <c r="D122" s="350">
        <f>VLOOKUP($A$118,hist_16,4+8,FALSE)</f>
        <v>0.17599999999999999</v>
      </c>
      <c r="E122">
        <f>VLOOKUP($A$118,hist_16,5+8,FALSE)</f>
        <v>3.9E-2</v>
      </c>
    </row>
    <row r="123" spans="1:37">
      <c r="A123" s="1">
        <v>36753</v>
      </c>
      <c r="B123" s="350">
        <f>VLOOKUP($A$118,hist_16,2+12,FALSE)</f>
        <v>0.99988999999999995</v>
      </c>
      <c r="C123">
        <f>VLOOKUP($A$118,hist_16,3+12,FALSE)</f>
        <v>1.2E-4</v>
      </c>
      <c r="D123" s="350">
        <f>VLOOKUP($A$118,hist_16,4+12,FALSE)</f>
        <v>0.17</v>
      </c>
      <c r="E123">
        <f>VLOOKUP($A$118,hist_16,5+12,FALSE)</f>
        <v>0.04</v>
      </c>
    </row>
    <row r="124" spans="1:37">
      <c r="A124" s="1">
        <v>37459</v>
      </c>
      <c r="B124" s="350">
        <f>VLOOKUP($A$118,hist_16,2+16,FALSE)</f>
        <v>0.99987999999999999</v>
      </c>
      <c r="C124">
        <f>VLOOKUP($A$118,hist_16,3+16,FALSE)</f>
        <v>1.2E-4</v>
      </c>
      <c r="D124" s="350">
        <f>VLOOKUP($A$118,hist_16,4+16,FALSE)</f>
        <v>0.16</v>
      </c>
      <c r="E124">
        <f>VLOOKUP($A$118,hist_16,5+16,FALSE)</f>
        <v>0.04</v>
      </c>
    </row>
    <row r="125" spans="1:37">
      <c r="A125" s="1">
        <v>38405</v>
      </c>
      <c r="B125" s="350">
        <f>VLOOKUP($A$118,hist_16,2+20,FALSE)</f>
        <v>0.9998881970720439</v>
      </c>
      <c r="C125">
        <f>VLOOKUP($A$118,hist_16,3+20,FALSE)</f>
        <v>1.1134708971278611E-4</v>
      </c>
      <c r="D125" s="350">
        <f>VLOOKUP($A$118,hist_16,4+20,FALSE)</f>
        <v>0.16474294827471472</v>
      </c>
      <c r="E125">
        <f>VLOOKUP($A$118,hist_16,5+20,FALSE)</f>
        <v>3.4393445337098753E-2</v>
      </c>
    </row>
    <row r="126" spans="1:37">
      <c r="A126" s="1">
        <v>40680</v>
      </c>
      <c r="B126" s="350">
        <f>VLOOKUP($A$118,hist_16,2+24,FALSE)</f>
        <v>0.99990093687267345</v>
      </c>
      <c r="C126">
        <f>VLOOKUP($A$118,hist_16,3+24,FALSE)</f>
        <v>4.289074683682029E-5</v>
      </c>
      <c r="D126" s="350">
        <f>VLOOKUP($A$118,hist_16,4+24,FALSE)</f>
        <v>0.17111407920585317</v>
      </c>
      <c r="E126">
        <f>VLOOKUP($A$118,hist_16,5+24,FALSE)</f>
        <v>3.4533547399875526E-2</v>
      </c>
    </row>
    <row r="127" spans="1:37">
      <c r="A127" s="1">
        <v>41863</v>
      </c>
      <c r="B127" s="350">
        <f>VLOOKUP($A$118,hist_16,2+28,FALSE)</f>
        <v>0.9999044961601945</v>
      </c>
      <c r="C127">
        <f>VLOOKUP($A$118,hist_16,3+28,FALSE)</f>
        <v>4.2890875344783289E-5</v>
      </c>
      <c r="D127" s="350">
        <f>VLOOKUP($A$118,hist_16,4+28,FALSE)</f>
        <v>0.17091143732418621</v>
      </c>
      <c r="E127">
        <f>VLOOKUP($A$118,hist_16,5+28,FALSE)</f>
        <v>3.4533527576831355E-2</v>
      </c>
    </row>
    <row r="128" spans="1:37">
      <c r="A128" s="1">
        <v>43059</v>
      </c>
      <c r="B128" s="350">
        <f>VLOOKUP($A$118,hist_16,2+32,FALSE)</f>
        <v>0.99992128170980321</v>
      </c>
      <c r="C128">
        <f>VLOOKUP($A$118,hist_16,3+32,FALSE)</f>
        <v>4.590068210131768E-5</v>
      </c>
      <c r="D128" s="350">
        <f>VLOOKUP($A$118,hist_16,4+32,FALSE)</f>
        <v>0.1717513717035469</v>
      </c>
      <c r="E128">
        <f>VLOOKUP($A$118,hist_16,5+32,FALSE)</f>
        <v>3.7835933733186937E-2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13" workbookViewId="0">
      <selection activeCell="Q9" sqref="Q9"/>
    </sheetView>
  </sheetViews>
  <sheetFormatPr defaultRowHeight="12.75"/>
  <sheetData>
    <row r="1" spans="1:1">
      <c r="A1" s="181" t="s">
        <v>254</v>
      </c>
    </row>
    <row r="2" spans="1:1">
      <c r="A2" t="s">
        <v>157</v>
      </c>
    </row>
    <row r="3" spans="1:1">
      <c r="A3" t="s">
        <v>159</v>
      </c>
    </row>
    <row r="4" spans="1:1">
      <c r="A4" t="s">
        <v>158</v>
      </c>
    </row>
    <row r="5" spans="1:1">
      <c r="A5" t="s">
        <v>182</v>
      </c>
    </row>
    <row r="6" spans="1:1">
      <c r="A6" t="s">
        <v>186</v>
      </c>
    </row>
    <row r="7" spans="1:1">
      <c r="A7" t="s">
        <v>238</v>
      </c>
    </row>
    <row r="8" spans="1:1">
      <c r="A8" t="s">
        <v>247</v>
      </c>
    </row>
    <row r="9" spans="1:1">
      <c r="A9" t="s">
        <v>248</v>
      </c>
    </row>
    <row r="11" spans="1:1">
      <c r="A11" s="181" t="s">
        <v>255</v>
      </c>
    </row>
    <row r="12" spans="1:1">
      <c r="A12" s="181" t="s">
        <v>253</v>
      </c>
    </row>
    <row r="13" spans="1:1">
      <c r="A13" s="181" t="s">
        <v>257</v>
      </c>
    </row>
    <row r="14" spans="1:1">
      <c r="A14" s="181" t="s">
        <v>258</v>
      </c>
    </row>
    <row r="15" spans="1:1">
      <c r="A15" s="181" t="s">
        <v>259</v>
      </c>
    </row>
    <row r="16" spans="1:1">
      <c r="A16" s="181" t="s">
        <v>260</v>
      </c>
    </row>
    <row r="17" spans="1:1">
      <c r="A17" s="181" t="s">
        <v>287</v>
      </c>
    </row>
    <row r="18" spans="1:1">
      <c r="A18" s="181" t="s">
        <v>288</v>
      </c>
    </row>
    <row r="20" spans="1:1">
      <c r="A20" s="181" t="s">
        <v>289</v>
      </c>
    </row>
    <row r="21" spans="1:1">
      <c r="A21" s="181" t="s">
        <v>290</v>
      </c>
    </row>
    <row r="22" spans="1:1">
      <c r="A22" s="181" t="s">
        <v>291</v>
      </c>
    </row>
    <row r="23" spans="1:1">
      <c r="A23" s="181" t="s">
        <v>336</v>
      </c>
    </row>
    <row r="24" spans="1:1">
      <c r="A24" s="181" t="s">
        <v>337</v>
      </c>
    </row>
    <row r="25" spans="1:1">
      <c r="A25" s="181" t="s">
        <v>338</v>
      </c>
    </row>
    <row r="26" spans="1:1">
      <c r="A26" s="181" t="s">
        <v>339</v>
      </c>
    </row>
    <row r="27" spans="1:1">
      <c r="A27" s="181" t="s">
        <v>374</v>
      </c>
    </row>
    <row r="28" spans="1:1">
      <c r="A28" s="247" t="s">
        <v>378</v>
      </c>
    </row>
    <row r="29" spans="1:1">
      <c r="A29" s="181" t="s">
        <v>384</v>
      </c>
    </row>
    <row r="30" spans="1:1">
      <c r="A30" s="181" t="s">
        <v>383</v>
      </c>
    </row>
    <row r="31" spans="1:1">
      <c r="A31" s="181" t="s">
        <v>393</v>
      </c>
    </row>
    <row r="32" spans="1:1">
      <c r="A32" s="181" t="s">
        <v>422</v>
      </c>
    </row>
    <row r="33" spans="1:1">
      <c r="A33" s="181" t="s">
        <v>428</v>
      </c>
    </row>
    <row r="34" spans="1:1">
      <c r="A34" s="181" t="s">
        <v>429</v>
      </c>
    </row>
    <row r="35" spans="1:1">
      <c r="A35" s="181" t="s">
        <v>448</v>
      </c>
    </row>
    <row r="36" spans="1:1">
      <c r="A36" s="181" t="s">
        <v>449</v>
      </c>
    </row>
    <row r="38" spans="1:1">
      <c r="A38" t="s">
        <v>480</v>
      </c>
    </row>
    <row r="39" spans="1:1">
      <c r="A39" t="s">
        <v>452</v>
      </c>
    </row>
    <row r="40" spans="1:1">
      <c r="A40" t="s">
        <v>453</v>
      </c>
    </row>
    <row r="41" spans="1:1">
      <c r="A41" t="s">
        <v>455</v>
      </c>
    </row>
    <row r="42" spans="1:1">
      <c r="A42" t="s">
        <v>463</v>
      </c>
    </row>
    <row r="43" spans="1:1">
      <c r="A43" s="247" t="s">
        <v>464</v>
      </c>
    </row>
    <row r="44" spans="1:1">
      <c r="A44" s="181" t="s">
        <v>473</v>
      </c>
    </row>
    <row r="45" spans="1:1">
      <c r="A45" s="181" t="s">
        <v>474</v>
      </c>
    </row>
    <row r="46" spans="1:1">
      <c r="A46" s="181" t="s">
        <v>479</v>
      </c>
    </row>
  </sheetData>
  <phoneticPr fontId="20" type="noConversion"/>
  <pageMargins left="0.75" right="0.75" top="1" bottom="1" header="0.5" footer="0.5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6"/>
  <sheetViews>
    <sheetView tabSelected="1" workbookViewId="0">
      <selection activeCell="E3" sqref="E3"/>
    </sheetView>
  </sheetViews>
  <sheetFormatPr defaultRowHeight="12.75"/>
  <cols>
    <col min="1" max="1" width="16.42578125" customWidth="1"/>
    <col min="2" max="2" width="11.140625" customWidth="1"/>
    <col min="3" max="3" width="11.28515625" customWidth="1"/>
    <col min="5" max="6" width="12.140625" customWidth="1"/>
    <col min="7" max="7" width="11.42578125" customWidth="1"/>
  </cols>
  <sheetData>
    <row r="1" spans="1:18">
      <c r="A1" s="190">
        <v>43059</v>
      </c>
      <c r="B1">
        <v>21.2</v>
      </c>
      <c r="C1">
        <v>46.7</v>
      </c>
      <c r="G1" t="s">
        <v>595</v>
      </c>
      <c r="H1">
        <v>-2.1280000000000001</v>
      </c>
      <c r="I1" t="s">
        <v>596</v>
      </c>
    </row>
    <row r="2" spans="1:18">
      <c r="A2" s="190">
        <v>43059.003472222219</v>
      </c>
      <c r="B2">
        <v>21.2</v>
      </c>
      <c r="C2">
        <v>46.7</v>
      </c>
      <c r="E2" t="s">
        <v>530</v>
      </c>
      <c r="G2" t="s">
        <v>451</v>
      </c>
    </row>
    <row r="3" spans="1:18">
      <c r="A3" s="190">
        <v>43059.006944444445</v>
      </c>
      <c r="B3">
        <v>21.2</v>
      </c>
      <c r="C3">
        <v>46.7</v>
      </c>
      <c r="E3" s="82">
        <f>Results!N23</f>
        <v>20.77</v>
      </c>
      <c r="G3">
        <f>AVERAGE(C143:C193)</f>
        <v>48.403921568627446</v>
      </c>
      <c r="H3">
        <f>G3+H1</f>
        <v>46.275921568627446</v>
      </c>
    </row>
    <row r="4" spans="1:18">
      <c r="A4" s="190">
        <v>43059.010416666664</v>
      </c>
      <c r="B4">
        <v>21.2</v>
      </c>
      <c r="C4">
        <v>46.7</v>
      </c>
      <c r="E4" s="82">
        <f>Results!N24</f>
        <v>9.1378334412485426E-2</v>
      </c>
      <c r="G4">
        <f>STDEV(C143:C193)</f>
        <v>0.62736298402558777</v>
      </c>
    </row>
    <row r="5" spans="1:18">
      <c r="A5" s="190">
        <v>43059.013888888891</v>
      </c>
      <c r="B5">
        <v>21.3</v>
      </c>
      <c r="C5">
        <v>46.5</v>
      </c>
    </row>
    <row r="6" spans="1:18">
      <c r="A6" s="190">
        <v>43059.017361111109</v>
      </c>
      <c r="B6">
        <v>21.2</v>
      </c>
      <c r="C6">
        <v>46.5</v>
      </c>
      <c r="E6" t="s">
        <v>594</v>
      </c>
    </row>
    <row r="7" spans="1:18">
      <c r="A7" s="190">
        <v>43059.020833333336</v>
      </c>
      <c r="B7">
        <v>21.2</v>
      </c>
      <c r="C7">
        <v>46.5</v>
      </c>
    </row>
    <row r="8" spans="1:18">
      <c r="A8" s="190">
        <v>43059.024305555555</v>
      </c>
      <c r="B8">
        <v>21.2</v>
      </c>
      <c r="C8">
        <v>46.4</v>
      </c>
    </row>
    <row r="9" spans="1:18">
      <c r="A9" s="190">
        <v>43059.027777777781</v>
      </c>
      <c r="B9">
        <v>21.2</v>
      </c>
      <c r="C9">
        <v>46.4</v>
      </c>
    </row>
    <row r="10" spans="1:18">
      <c r="A10" s="190">
        <v>43059.03125</v>
      </c>
      <c r="B10">
        <v>21.2</v>
      </c>
      <c r="C10">
        <v>46.3</v>
      </c>
    </row>
    <row r="11" spans="1:18">
      <c r="A11" s="190">
        <v>43059.034722222219</v>
      </c>
      <c r="B11">
        <v>21.2</v>
      </c>
      <c r="C11">
        <v>46.4</v>
      </c>
    </row>
    <row r="12" spans="1:18">
      <c r="A12" s="190">
        <v>43059.038194444445</v>
      </c>
      <c r="B12">
        <v>21.2</v>
      </c>
      <c r="C12">
        <v>46.3</v>
      </c>
      <c r="L12" t="s">
        <v>600</v>
      </c>
      <c r="M12" t="s">
        <v>537</v>
      </c>
      <c r="N12" t="s">
        <v>38</v>
      </c>
      <c r="O12">
        <v>999846</v>
      </c>
      <c r="P12">
        <v>1716</v>
      </c>
      <c r="Q12">
        <v>1592.03</v>
      </c>
      <c r="R12">
        <v>20.86</v>
      </c>
    </row>
    <row r="13" spans="1:18">
      <c r="A13" s="190">
        <v>43059.041666666664</v>
      </c>
      <c r="B13">
        <v>21.2</v>
      </c>
      <c r="C13">
        <v>46.3</v>
      </c>
      <c r="L13" t="s">
        <v>538</v>
      </c>
      <c r="M13" t="s">
        <v>537</v>
      </c>
      <c r="N13" t="s">
        <v>38</v>
      </c>
      <c r="O13">
        <v>0</v>
      </c>
      <c r="P13">
        <v>-2</v>
      </c>
      <c r="Q13">
        <v>1592.02</v>
      </c>
      <c r="R13">
        <v>20.85</v>
      </c>
    </row>
    <row r="14" spans="1:18">
      <c r="A14" s="190">
        <v>43059.045138888891</v>
      </c>
      <c r="B14">
        <v>21.2</v>
      </c>
      <c r="C14">
        <v>46.2</v>
      </c>
      <c r="L14" t="s">
        <v>538</v>
      </c>
      <c r="M14" t="s">
        <v>537</v>
      </c>
      <c r="N14" t="s">
        <v>95</v>
      </c>
      <c r="O14">
        <v>0</v>
      </c>
      <c r="P14">
        <v>-1</v>
      </c>
      <c r="Q14">
        <v>1591.73</v>
      </c>
      <c r="R14">
        <v>20.85</v>
      </c>
    </row>
    <row r="15" spans="1:18">
      <c r="A15" s="190">
        <v>43059.048611111109</v>
      </c>
      <c r="B15">
        <v>21.2</v>
      </c>
      <c r="C15">
        <v>46.1</v>
      </c>
      <c r="L15" t="s">
        <v>601</v>
      </c>
      <c r="M15" t="s">
        <v>537</v>
      </c>
      <c r="N15" t="s">
        <v>95</v>
      </c>
      <c r="O15">
        <v>999964</v>
      </c>
      <c r="P15">
        <v>412</v>
      </c>
      <c r="Q15">
        <v>1591.65</v>
      </c>
      <c r="R15">
        <v>20.86</v>
      </c>
    </row>
    <row r="16" spans="1:18">
      <c r="A16" s="190">
        <v>43059.052083333336</v>
      </c>
      <c r="B16">
        <v>21.2</v>
      </c>
      <c r="C16">
        <v>46.1</v>
      </c>
      <c r="L16" t="s">
        <v>602</v>
      </c>
      <c r="M16" t="s">
        <v>537</v>
      </c>
      <c r="N16" t="s">
        <v>42</v>
      </c>
      <c r="O16">
        <v>1000024</v>
      </c>
      <c r="P16">
        <v>498</v>
      </c>
      <c r="Q16">
        <v>1591.58</v>
      </c>
      <c r="R16">
        <v>20.8</v>
      </c>
    </row>
    <row r="17" spans="1:18">
      <c r="A17" s="190">
        <v>43059.055555555555</v>
      </c>
      <c r="B17">
        <v>21.2</v>
      </c>
      <c r="C17">
        <v>46.1</v>
      </c>
      <c r="L17" t="s">
        <v>538</v>
      </c>
      <c r="M17" t="s">
        <v>537</v>
      </c>
      <c r="N17" t="s">
        <v>42</v>
      </c>
      <c r="O17">
        <v>-1</v>
      </c>
      <c r="P17">
        <v>2</v>
      </c>
      <c r="Q17">
        <v>1591.52</v>
      </c>
      <c r="R17">
        <v>20</v>
      </c>
    </row>
    <row r="18" spans="1:18">
      <c r="A18" s="190">
        <v>43059.059027777781</v>
      </c>
      <c r="B18">
        <v>21.2</v>
      </c>
      <c r="C18">
        <v>46.1</v>
      </c>
      <c r="L18" t="s">
        <v>538</v>
      </c>
      <c r="M18" t="s">
        <v>537</v>
      </c>
      <c r="N18" t="s">
        <v>37</v>
      </c>
      <c r="O18">
        <v>0</v>
      </c>
      <c r="P18">
        <v>14</v>
      </c>
      <c r="Q18">
        <v>1591.77</v>
      </c>
      <c r="R18">
        <v>21.2</v>
      </c>
    </row>
    <row r="19" spans="1:18">
      <c r="A19" s="190">
        <v>43059.0625</v>
      </c>
      <c r="B19">
        <v>21.2</v>
      </c>
      <c r="C19">
        <v>45.9</v>
      </c>
      <c r="L19" t="s">
        <v>603</v>
      </c>
      <c r="M19" t="s">
        <v>537</v>
      </c>
      <c r="N19" t="s">
        <v>37</v>
      </c>
      <c r="O19">
        <v>999731</v>
      </c>
      <c r="P19">
        <v>-187</v>
      </c>
      <c r="Q19">
        <v>1591.75</v>
      </c>
      <c r="R19">
        <v>21.18</v>
      </c>
    </row>
    <row r="20" spans="1:18">
      <c r="A20" s="190">
        <v>43059.065972222219</v>
      </c>
      <c r="B20">
        <v>21.3</v>
      </c>
      <c r="C20">
        <v>45.8</v>
      </c>
      <c r="L20" t="s">
        <v>148</v>
      </c>
      <c r="M20" t="s">
        <v>537</v>
      </c>
      <c r="N20" t="s">
        <v>37</v>
      </c>
      <c r="O20">
        <v>999890</v>
      </c>
      <c r="P20">
        <v>-150</v>
      </c>
      <c r="Q20">
        <v>1591.67</v>
      </c>
      <c r="R20">
        <v>20</v>
      </c>
    </row>
    <row r="21" spans="1:18">
      <c r="A21" s="190">
        <v>43059.069444444445</v>
      </c>
      <c r="B21">
        <v>21.3</v>
      </c>
      <c r="C21">
        <v>45.8</v>
      </c>
      <c r="L21" t="s">
        <v>36</v>
      </c>
      <c r="M21" t="s">
        <v>537</v>
      </c>
      <c r="N21" t="s">
        <v>37</v>
      </c>
      <c r="O21">
        <v>999876</v>
      </c>
      <c r="P21">
        <v>-146</v>
      </c>
      <c r="Q21">
        <v>1591.6</v>
      </c>
      <c r="R21">
        <v>20</v>
      </c>
    </row>
    <row r="22" spans="1:18">
      <c r="A22" s="190">
        <v>43059.072916666664</v>
      </c>
      <c r="B22">
        <v>21.2</v>
      </c>
      <c r="C22">
        <v>45.8</v>
      </c>
      <c r="L22" t="s">
        <v>604</v>
      </c>
      <c r="M22" t="s">
        <v>537</v>
      </c>
      <c r="N22" t="s">
        <v>37</v>
      </c>
      <c r="O22">
        <v>99985</v>
      </c>
      <c r="P22">
        <v>104</v>
      </c>
      <c r="Q22">
        <v>1591.5</v>
      </c>
      <c r="R22">
        <v>20</v>
      </c>
    </row>
    <row r="23" spans="1:18">
      <c r="A23" s="190">
        <v>43059.076388888891</v>
      </c>
      <c r="B23">
        <v>21.2</v>
      </c>
      <c r="C23">
        <v>45.8</v>
      </c>
      <c r="L23" t="s">
        <v>605</v>
      </c>
      <c r="M23" t="s">
        <v>537</v>
      </c>
      <c r="N23" t="s">
        <v>37</v>
      </c>
      <c r="O23">
        <v>99990</v>
      </c>
      <c r="P23">
        <v>-15</v>
      </c>
      <c r="Q23">
        <v>1591.42</v>
      </c>
      <c r="R23">
        <v>20.92</v>
      </c>
    </row>
    <row r="24" spans="1:18">
      <c r="A24" s="190">
        <v>43059.079861111109</v>
      </c>
      <c r="B24">
        <v>21.2</v>
      </c>
      <c r="C24">
        <v>45.8</v>
      </c>
      <c r="L24" t="s">
        <v>605</v>
      </c>
      <c r="M24" t="s">
        <v>537</v>
      </c>
      <c r="N24" t="s">
        <v>44</v>
      </c>
      <c r="O24">
        <v>999946</v>
      </c>
      <c r="P24">
        <v>1996</v>
      </c>
      <c r="Q24">
        <v>1591.32</v>
      </c>
      <c r="R24">
        <v>20.91</v>
      </c>
    </row>
    <row r="25" spans="1:18">
      <c r="A25" s="190">
        <v>43059.083333333336</v>
      </c>
      <c r="B25">
        <v>21.2</v>
      </c>
      <c r="C25">
        <v>45.8</v>
      </c>
      <c r="L25" t="s">
        <v>604</v>
      </c>
      <c r="M25" t="s">
        <v>537</v>
      </c>
      <c r="N25" t="s">
        <v>44</v>
      </c>
      <c r="O25">
        <v>999901</v>
      </c>
      <c r="P25">
        <v>2930</v>
      </c>
      <c r="Q25">
        <v>1591.19</v>
      </c>
      <c r="R25">
        <v>20</v>
      </c>
    </row>
    <row r="26" spans="1:18">
      <c r="A26" s="190">
        <v>43059.086805555555</v>
      </c>
      <c r="B26">
        <v>21.2</v>
      </c>
      <c r="C26">
        <v>45.7</v>
      </c>
      <c r="L26" t="s">
        <v>538</v>
      </c>
      <c r="M26" t="s">
        <v>537</v>
      </c>
      <c r="N26" t="s">
        <v>44</v>
      </c>
      <c r="O26">
        <v>6</v>
      </c>
      <c r="P26">
        <v>19</v>
      </c>
      <c r="Q26">
        <v>1591.12</v>
      </c>
      <c r="R26">
        <v>20</v>
      </c>
    </row>
    <row r="27" spans="1:18">
      <c r="A27" s="190">
        <v>43059.090277777781</v>
      </c>
      <c r="B27">
        <v>21.1</v>
      </c>
      <c r="C27">
        <v>45.8</v>
      </c>
      <c r="L27" t="s">
        <v>606</v>
      </c>
      <c r="M27" t="s">
        <v>537</v>
      </c>
      <c r="N27" t="s">
        <v>44</v>
      </c>
      <c r="O27">
        <v>99995</v>
      </c>
      <c r="P27">
        <v>201</v>
      </c>
      <c r="Q27">
        <v>1591.82</v>
      </c>
      <c r="R27">
        <v>20</v>
      </c>
    </row>
    <row r="28" spans="1:18">
      <c r="A28" s="190">
        <v>43059.09375</v>
      </c>
      <c r="B28">
        <v>21.2</v>
      </c>
      <c r="C28">
        <v>45.8</v>
      </c>
      <c r="L28" t="s">
        <v>184</v>
      </c>
      <c r="M28" t="s">
        <v>537</v>
      </c>
      <c r="N28" t="s">
        <v>44</v>
      </c>
      <c r="O28">
        <v>99987</v>
      </c>
      <c r="P28">
        <v>210</v>
      </c>
      <c r="Q28">
        <v>1591.77</v>
      </c>
      <c r="R28">
        <v>20.8</v>
      </c>
    </row>
    <row r="29" spans="1:18">
      <c r="A29" s="190">
        <v>43059.097222222219</v>
      </c>
      <c r="B29">
        <v>21.3</v>
      </c>
      <c r="C29">
        <v>45.4</v>
      </c>
      <c r="L29" t="s">
        <v>185</v>
      </c>
      <c r="M29" t="s">
        <v>537</v>
      </c>
      <c r="N29" t="s">
        <v>44</v>
      </c>
      <c r="O29">
        <v>10004</v>
      </c>
      <c r="P29">
        <v>46</v>
      </c>
      <c r="Q29">
        <v>1591.72</v>
      </c>
      <c r="R29">
        <v>20.78</v>
      </c>
    </row>
    <row r="30" spans="1:18">
      <c r="A30" s="190">
        <v>43059.100694444445</v>
      </c>
      <c r="B30">
        <v>21.3</v>
      </c>
      <c r="C30">
        <v>45.4</v>
      </c>
    </row>
    <row r="31" spans="1:18">
      <c r="A31" s="190">
        <v>43059.104166666664</v>
      </c>
      <c r="B31">
        <v>21.3</v>
      </c>
      <c r="C31">
        <v>45.4</v>
      </c>
    </row>
    <row r="32" spans="1:18">
      <c r="A32" s="190">
        <v>43059.107638888891</v>
      </c>
      <c r="B32">
        <v>21.3</v>
      </c>
      <c r="C32">
        <v>45.3</v>
      </c>
    </row>
    <row r="33" spans="1:3">
      <c r="A33" s="190">
        <v>43059.111111111109</v>
      </c>
      <c r="B33">
        <v>21.2</v>
      </c>
      <c r="C33">
        <v>45.3</v>
      </c>
    </row>
    <row r="34" spans="1:3">
      <c r="A34" s="190">
        <v>43059.114583333336</v>
      </c>
      <c r="B34">
        <v>21.2</v>
      </c>
      <c r="C34">
        <v>45.3</v>
      </c>
    </row>
    <row r="35" spans="1:3">
      <c r="A35" s="190">
        <v>43059.118055555555</v>
      </c>
      <c r="B35">
        <v>21.2</v>
      </c>
      <c r="C35">
        <v>45.4</v>
      </c>
    </row>
    <row r="36" spans="1:3">
      <c r="A36" s="190">
        <v>43059.121527777781</v>
      </c>
      <c r="B36">
        <v>21.2</v>
      </c>
      <c r="C36">
        <v>45.3</v>
      </c>
    </row>
    <row r="37" spans="1:3">
      <c r="A37" s="190">
        <v>43059.125</v>
      </c>
      <c r="B37">
        <v>21.2</v>
      </c>
      <c r="C37">
        <v>45.2</v>
      </c>
    </row>
    <row r="38" spans="1:3">
      <c r="A38" s="190">
        <v>43059.128472222219</v>
      </c>
      <c r="B38">
        <v>21.2</v>
      </c>
      <c r="C38">
        <v>45.2</v>
      </c>
    </row>
    <row r="39" spans="1:3">
      <c r="A39" s="190">
        <v>43059.131944444445</v>
      </c>
      <c r="B39">
        <v>21.2</v>
      </c>
      <c r="C39">
        <v>45.1</v>
      </c>
    </row>
    <row r="40" spans="1:3">
      <c r="A40" s="190">
        <v>43059.135416666664</v>
      </c>
      <c r="B40">
        <v>21.3</v>
      </c>
      <c r="C40">
        <v>45</v>
      </c>
    </row>
    <row r="41" spans="1:3">
      <c r="A41" s="190">
        <v>43059.138888888891</v>
      </c>
      <c r="B41">
        <v>21.2</v>
      </c>
      <c r="C41">
        <v>45</v>
      </c>
    </row>
    <row r="42" spans="1:3">
      <c r="A42" s="190">
        <v>43059.142361111109</v>
      </c>
      <c r="B42">
        <v>21.2</v>
      </c>
      <c r="C42">
        <v>45</v>
      </c>
    </row>
    <row r="43" spans="1:3">
      <c r="A43" s="190">
        <v>43059.145833333336</v>
      </c>
      <c r="B43">
        <v>21.2</v>
      </c>
      <c r="C43">
        <v>45.1</v>
      </c>
    </row>
    <row r="44" spans="1:3">
      <c r="A44" s="190">
        <v>43059.149305555555</v>
      </c>
      <c r="B44">
        <v>21.2</v>
      </c>
      <c r="C44">
        <v>44.9</v>
      </c>
    </row>
    <row r="45" spans="1:3">
      <c r="A45" s="190">
        <v>43059.152777777781</v>
      </c>
      <c r="B45">
        <v>21.2</v>
      </c>
      <c r="C45">
        <v>44.9</v>
      </c>
    </row>
    <row r="46" spans="1:3">
      <c r="A46" s="190">
        <v>43059.15625</v>
      </c>
      <c r="B46">
        <v>21.3</v>
      </c>
      <c r="C46">
        <v>44.8</v>
      </c>
    </row>
    <row r="47" spans="1:3">
      <c r="A47" s="190">
        <v>43059.159722222219</v>
      </c>
      <c r="B47">
        <v>21.3</v>
      </c>
      <c r="C47">
        <v>44.8</v>
      </c>
    </row>
    <row r="48" spans="1:3">
      <c r="A48" s="190">
        <v>43059.163194444445</v>
      </c>
      <c r="B48">
        <v>21.2</v>
      </c>
      <c r="C48">
        <v>44.9</v>
      </c>
    </row>
    <row r="49" spans="1:3">
      <c r="A49" s="190">
        <v>43059.166666666664</v>
      </c>
      <c r="B49">
        <v>21.2</v>
      </c>
      <c r="C49">
        <v>44.9</v>
      </c>
    </row>
    <row r="50" spans="1:3">
      <c r="A50" s="190">
        <v>43059.170138888891</v>
      </c>
      <c r="B50">
        <v>21.3</v>
      </c>
      <c r="C50">
        <v>44.7</v>
      </c>
    </row>
    <row r="51" spans="1:3">
      <c r="A51" s="190">
        <v>43059.173611111109</v>
      </c>
      <c r="B51">
        <v>21.2</v>
      </c>
      <c r="C51">
        <v>44.7</v>
      </c>
    </row>
    <row r="52" spans="1:3">
      <c r="A52" s="190">
        <v>43059.177083333336</v>
      </c>
      <c r="B52">
        <v>21.2</v>
      </c>
      <c r="C52">
        <v>44.6</v>
      </c>
    </row>
    <row r="53" spans="1:3">
      <c r="A53" s="190">
        <v>43059.180555555555</v>
      </c>
      <c r="B53">
        <v>21.2</v>
      </c>
      <c r="C53">
        <v>44.7</v>
      </c>
    </row>
    <row r="54" spans="1:3">
      <c r="A54" s="190">
        <v>43059.184027777781</v>
      </c>
      <c r="B54">
        <v>21.2</v>
      </c>
      <c r="C54">
        <v>44.6</v>
      </c>
    </row>
    <row r="55" spans="1:3">
      <c r="A55" s="190">
        <v>43059.1875</v>
      </c>
      <c r="B55">
        <v>21.2</v>
      </c>
      <c r="C55">
        <v>44.7</v>
      </c>
    </row>
    <row r="56" spans="1:3">
      <c r="A56" s="190">
        <v>43059.190972222219</v>
      </c>
      <c r="B56">
        <v>21.2</v>
      </c>
      <c r="C56">
        <v>44.7</v>
      </c>
    </row>
    <row r="57" spans="1:3">
      <c r="A57" s="190">
        <v>43059.194444444445</v>
      </c>
      <c r="B57">
        <v>21.2</v>
      </c>
      <c r="C57">
        <v>44.6</v>
      </c>
    </row>
    <row r="58" spans="1:3">
      <c r="A58" s="190">
        <v>43059.197916666664</v>
      </c>
      <c r="B58">
        <v>21.2</v>
      </c>
      <c r="C58">
        <v>44.5</v>
      </c>
    </row>
    <row r="59" spans="1:3">
      <c r="A59" s="190">
        <v>43059.201388888891</v>
      </c>
      <c r="B59">
        <v>21.2</v>
      </c>
      <c r="C59">
        <v>44.6</v>
      </c>
    </row>
    <row r="60" spans="1:3">
      <c r="A60" s="190">
        <v>43059.204861111109</v>
      </c>
      <c r="B60">
        <v>21.2</v>
      </c>
      <c r="C60">
        <v>44.5</v>
      </c>
    </row>
    <row r="61" spans="1:3">
      <c r="A61" s="190">
        <v>43059.208333333336</v>
      </c>
      <c r="B61">
        <v>21.2</v>
      </c>
      <c r="C61">
        <v>44.5</v>
      </c>
    </row>
    <row r="62" spans="1:3">
      <c r="A62" s="190">
        <v>43059.211805555555</v>
      </c>
      <c r="B62">
        <v>21.2</v>
      </c>
      <c r="C62">
        <v>44.4</v>
      </c>
    </row>
    <row r="63" spans="1:3">
      <c r="A63" s="190">
        <v>43059.215277777781</v>
      </c>
      <c r="B63">
        <v>21.2</v>
      </c>
      <c r="C63">
        <v>44.4</v>
      </c>
    </row>
    <row r="64" spans="1:3">
      <c r="A64" s="190">
        <v>43059.21875</v>
      </c>
      <c r="B64">
        <v>21.2</v>
      </c>
      <c r="C64">
        <v>44.4</v>
      </c>
    </row>
    <row r="65" spans="1:3">
      <c r="A65" s="190">
        <v>43059.222222222219</v>
      </c>
      <c r="B65">
        <v>21.2</v>
      </c>
      <c r="C65">
        <v>44.3</v>
      </c>
    </row>
    <row r="66" spans="1:3">
      <c r="A66" s="190">
        <v>43059.225694444445</v>
      </c>
      <c r="B66">
        <v>21.2</v>
      </c>
      <c r="C66">
        <v>44.4</v>
      </c>
    </row>
    <row r="67" spans="1:3">
      <c r="A67" s="190">
        <v>43059.229166666664</v>
      </c>
      <c r="B67">
        <v>21.2</v>
      </c>
      <c r="C67">
        <v>44.3</v>
      </c>
    </row>
    <row r="68" spans="1:3">
      <c r="A68" s="190">
        <v>43059.232638888891</v>
      </c>
      <c r="B68">
        <v>21.3</v>
      </c>
      <c r="C68">
        <v>44.2</v>
      </c>
    </row>
    <row r="69" spans="1:3">
      <c r="A69" s="190">
        <v>43059.236111111109</v>
      </c>
      <c r="B69">
        <v>21.2</v>
      </c>
      <c r="C69">
        <v>44.2</v>
      </c>
    </row>
    <row r="70" spans="1:3">
      <c r="A70" s="190">
        <v>43059.239583333336</v>
      </c>
      <c r="B70">
        <v>21.3</v>
      </c>
      <c r="C70">
        <v>44.2</v>
      </c>
    </row>
    <row r="71" spans="1:3">
      <c r="A71" s="190">
        <v>43059.243055555555</v>
      </c>
      <c r="B71">
        <v>21.3</v>
      </c>
      <c r="C71">
        <v>44.1</v>
      </c>
    </row>
    <row r="72" spans="1:3">
      <c r="A72" s="190">
        <v>43059.246527777781</v>
      </c>
      <c r="B72">
        <v>21.3</v>
      </c>
      <c r="C72">
        <v>44</v>
      </c>
    </row>
    <row r="73" spans="1:3">
      <c r="A73" s="190">
        <v>43059.25</v>
      </c>
      <c r="B73">
        <v>21.3</v>
      </c>
      <c r="C73">
        <v>44</v>
      </c>
    </row>
    <row r="74" spans="1:3">
      <c r="A74" s="190">
        <v>43059.253472222219</v>
      </c>
      <c r="B74">
        <v>21.3</v>
      </c>
      <c r="C74">
        <v>43.9</v>
      </c>
    </row>
    <row r="75" spans="1:3">
      <c r="A75" s="190">
        <v>43059.256944444445</v>
      </c>
      <c r="B75">
        <v>21.3</v>
      </c>
      <c r="C75">
        <v>43.9</v>
      </c>
    </row>
    <row r="76" spans="1:3">
      <c r="A76" s="190">
        <v>43059.260416666664</v>
      </c>
      <c r="B76">
        <v>21.2</v>
      </c>
      <c r="C76">
        <v>44</v>
      </c>
    </row>
    <row r="77" spans="1:3">
      <c r="A77" s="190">
        <v>43059.263888888891</v>
      </c>
      <c r="B77">
        <v>21.2</v>
      </c>
      <c r="C77">
        <v>44</v>
      </c>
    </row>
    <row r="78" spans="1:3">
      <c r="A78" s="190">
        <v>43059.267361111109</v>
      </c>
      <c r="B78">
        <v>21.3</v>
      </c>
      <c r="C78">
        <v>43.8</v>
      </c>
    </row>
    <row r="79" spans="1:3">
      <c r="A79" s="190">
        <v>43059.270833333336</v>
      </c>
      <c r="B79">
        <v>21.2</v>
      </c>
      <c r="C79">
        <v>43.9</v>
      </c>
    </row>
    <row r="80" spans="1:3">
      <c r="A80" s="190">
        <v>43059.274305555555</v>
      </c>
      <c r="B80">
        <v>21.2</v>
      </c>
      <c r="C80">
        <v>43.9</v>
      </c>
    </row>
    <row r="81" spans="1:3">
      <c r="A81" s="190">
        <v>43059.277777777781</v>
      </c>
      <c r="B81">
        <v>21.3</v>
      </c>
      <c r="C81">
        <v>43.8</v>
      </c>
    </row>
    <row r="82" spans="1:3">
      <c r="A82" s="190">
        <v>43059.28125</v>
      </c>
      <c r="B82">
        <v>21.2</v>
      </c>
      <c r="C82">
        <v>43.8</v>
      </c>
    </row>
    <row r="83" spans="1:3">
      <c r="A83" s="190">
        <v>43059.284722222219</v>
      </c>
      <c r="B83">
        <v>21.2</v>
      </c>
      <c r="C83">
        <v>43.8</v>
      </c>
    </row>
    <row r="84" spans="1:3">
      <c r="A84" s="190">
        <v>43059.288194444445</v>
      </c>
      <c r="B84">
        <v>21.3</v>
      </c>
      <c r="C84">
        <v>43.7</v>
      </c>
    </row>
    <row r="85" spans="1:3">
      <c r="A85" s="190">
        <v>43059.291666666664</v>
      </c>
      <c r="B85">
        <v>21.3</v>
      </c>
      <c r="C85">
        <v>43.6</v>
      </c>
    </row>
    <row r="86" spans="1:3">
      <c r="A86" s="190">
        <v>43059.295138888891</v>
      </c>
      <c r="B86">
        <v>21.3</v>
      </c>
      <c r="C86">
        <v>43.6</v>
      </c>
    </row>
    <row r="87" spans="1:3">
      <c r="A87" s="190">
        <v>43059.298611111109</v>
      </c>
      <c r="B87">
        <v>21.3</v>
      </c>
      <c r="C87">
        <v>43.5</v>
      </c>
    </row>
    <row r="88" spans="1:3">
      <c r="A88" s="190">
        <v>43059.302083333336</v>
      </c>
      <c r="B88">
        <v>21.3</v>
      </c>
      <c r="C88">
        <v>43.5</v>
      </c>
    </row>
    <row r="89" spans="1:3">
      <c r="A89" s="190">
        <v>43059.305555555555</v>
      </c>
      <c r="B89">
        <v>21.3</v>
      </c>
      <c r="C89">
        <v>43.4</v>
      </c>
    </row>
    <row r="90" spans="1:3">
      <c r="A90" s="190">
        <v>43059.309027777781</v>
      </c>
      <c r="B90">
        <v>21.3</v>
      </c>
      <c r="C90">
        <v>43.5</v>
      </c>
    </row>
    <row r="91" spans="1:3">
      <c r="A91" s="190">
        <v>43059.3125</v>
      </c>
      <c r="B91">
        <v>21.2</v>
      </c>
      <c r="C91">
        <v>43.5</v>
      </c>
    </row>
    <row r="92" spans="1:3">
      <c r="A92" s="190">
        <v>43059.315972222219</v>
      </c>
      <c r="B92">
        <v>21.3</v>
      </c>
      <c r="C92">
        <v>43.4</v>
      </c>
    </row>
    <row r="93" spans="1:3">
      <c r="A93" s="190">
        <v>43059.319444444445</v>
      </c>
      <c r="B93">
        <v>21.2</v>
      </c>
      <c r="C93">
        <v>43.5</v>
      </c>
    </row>
    <row r="94" spans="1:3">
      <c r="A94" s="190">
        <v>43059.322916666664</v>
      </c>
      <c r="B94">
        <v>21.3</v>
      </c>
      <c r="C94">
        <v>43.3</v>
      </c>
    </row>
    <row r="95" spans="1:3">
      <c r="A95" s="190">
        <v>43059.326388888891</v>
      </c>
      <c r="B95">
        <v>21.2</v>
      </c>
      <c r="C95">
        <v>43.4</v>
      </c>
    </row>
    <row r="96" spans="1:3">
      <c r="A96" s="190">
        <v>43059.329861111109</v>
      </c>
      <c r="B96">
        <v>21.3</v>
      </c>
      <c r="C96">
        <v>43.3</v>
      </c>
    </row>
    <row r="97" spans="1:3">
      <c r="A97" s="190">
        <v>43059.333333333336</v>
      </c>
      <c r="B97">
        <v>21.3</v>
      </c>
      <c r="C97">
        <v>43.4</v>
      </c>
    </row>
    <row r="98" spans="1:3">
      <c r="A98" s="190">
        <v>43059.336805555555</v>
      </c>
      <c r="B98">
        <v>21.3</v>
      </c>
      <c r="C98">
        <v>43.4</v>
      </c>
    </row>
    <row r="99" spans="1:3">
      <c r="A99" s="190">
        <v>43059.340277777781</v>
      </c>
      <c r="B99">
        <v>21.2</v>
      </c>
      <c r="C99">
        <v>43.5</v>
      </c>
    </row>
    <row r="100" spans="1:3">
      <c r="A100" s="190">
        <v>43059.34375</v>
      </c>
      <c r="B100">
        <v>21.3</v>
      </c>
      <c r="C100">
        <v>43.4</v>
      </c>
    </row>
    <row r="101" spans="1:3">
      <c r="A101" s="190">
        <v>43059.347222222219</v>
      </c>
      <c r="B101">
        <v>21.3</v>
      </c>
      <c r="C101">
        <v>43.3</v>
      </c>
    </row>
    <row r="102" spans="1:3">
      <c r="A102" s="190">
        <v>43059.350694444445</v>
      </c>
      <c r="B102">
        <v>21.2</v>
      </c>
      <c r="C102">
        <v>43.5</v>
      </c>
    </row>
    <row r="103" spans="1:3">
      <c r="A103" s="190">
        <v>43059.354166666664</v>
      </c>
      <c r="B103">
        <v>21.2</v>
      </c>
      <c r="C103">
        <v>43.4</v>
      </c>
    </row>
    <row r="104" spans="1:3">
      <c r="A104" s="190">
        <v>43059.357638888891</v>
      </c>
      <c r="B104">
        <v>21.2</v>
      </c>
      <c r="C104">
        <v>43.5</v>
      </c>
    </row>
    <row r="105" spans="1:3">
      <c r="A105" s="190">
        <v>43059.361111111109</v>
      </c>
      <c r="B105">
        <v>21.2</v>
      </c>
      <c r="C105">
        <v>43.5</v>
      </c>
    </row>
    <row r="106" spans="1:3">
      <c r="A106" s="190">
        <v>43059.364583333336</v>
      </c>
      <c r="B106">
        <v>21.3</v>
      </c>
      <c r="C106">
        <v>43.5</v>
      </c>
    </row>
    <row r="107" spans="1:3">
      <c r="A107" s="190">
        <v>43059.368055555555</v>
      </c>
      <c r="B107">
        <v>21.2</v>
      </c>
      <c r="C107">
        <v>43.5</v>
      </c>
    </row>
    <row r="108" spans="1:3">
      <c r="A108" s="190">
        <v>43059.371527777781</v>
      </c>
      <c r="B108">
        <v>21.2</v>
      </c>
      <c r="C108">
        <v>43.5</v>
      </c>
    </row>
    <row r="109" spans="1:3">
      <c r="A109" s="190">
        <v>43059.375</v>
      </c>
      <c r="B109">
        <v>21.2</v>
      </c>
      <c r="C109">
        <v>43.6</v>
      </c>
    </row>
    <row r="110" spans="1:3">
      <c r="A110" s="190">
        <v>43059.378472222219</v>
      </c>
      <c r="B110">
        <v>21.3</v>
      </c>
      <c r="C110">
        <v>43.6</v>
      </c>
    </row>
    <row r="111" spans="1:3">
      <c r="A111" s="190">
        <v>43059.381944444445</v>
      </c>
      <c r="B111">
        <v>21.3</v>
      </c>
      <c r="C111">
        <v>43.5</v>
      </c>
    </row>
    <row r="112" spans="1:3">
      <c r="A112" s="190">
        <v>43059.385416666664</v>
      </c>
      <c r="B112">
        <v>21.2</v>
      </c>
      <c r="C112">
        <v>43.7</v>
      </c>
    </row>
    <row r="113" spans="1:3">
      <c r="A113" s="190">
        <v>43059.388888888891</v>
      </c>
      <c r="B113">
        <v>21.2</v>
      </c>
      <c r="C113">
        <v>43.7</v>
      </c>
    </row>
    <row r="114" spans="1:3">
      <c r="A114" s="190">
        <v>43059.392361111109</v>
      </c>
      <c r="B114">
        <v>21.2</v>
      </c>
      <c r="C114">
        <v>43.8</v>
      </c>
    </row>
    <row r="115" spans="1:3">
      <c r="A115" s="190">
        <v>43059.395833333336</v>
      </c>
      <c r="B115">
        <v>21.2</v>
      </c>
      <c r="C115">
        <v>43.8</v>
      </c>
    </row>
    <row r="116" spans="1:3">
      <c r="A116" s="190">
        <v>43059.399305555555</v>
      </c>
      <c r="B116">
        <v>21.2</v>
      </c>
      <c r="C116">
        <v>43.8</v>
      </c>
    </row>
    <row r="117" spans="1:3">
      <c r="A117" s="190">
        <v>43059.402777777781</v>
      </c>
      <c r="B117">
        <v>21.2</v>
      </c>
      <c r="C117">
        <v>43.9</v>
      </c>
    </row>
    <row r="118" spans="1:3">
      <c r="A118" s="190">
        <v>43059.40625</v>
      </c>
      <c r="B118">
        <v>21.2</v>
      </c>
      <c r="C118">
        <v>44</v>
      </c>
    </row>
    <row r="119" spans="1:3">
      <c r="A119" s="190">
        <v>43059.409722222219</v>
      </c>
      <c r="B119">
        <v>21.2</v>
      </c>
      <c r="C119">
        <v>44.1</v>
      </c>
    </row>
    <row r="120" spans="1:3">
      <c r="A120" s="190">
        <v>43059.413194444445</v>
      </c>
      <c r="B120">
        <v>21.2</v>
      </c>
      <c r="C120">
        <v>44.2</v>
      </c>
    </row>
    <row r="121" spans="1:3">
      <c r="A121" s="190">
        <v>43059.416666666664</v>
      </c>
      <c r="B121">
        <v>21.2</v>
      </c>
      <c r="C121">
        <v>44.2</v>
      </c>
    </row>
    <row r="122" spans="1:3">
      <c r="A122" s="190">
        <v>43059.420138888891</v>
      </c>
      <c r="B122">
        <v>21.3</v>
      </c>
      <c r="C122">
        <v>44.2</v>
      </c>
    </row>
    <row r="123" spans="1:3">
      <c r="A123" s="190">
        <v>43059.423611111109</v>
      </c>
      <c r="B123">
        <v>21.3</v>
      </c>
      <c r="C123">
        <v>44.3</v>
      </c>
    </row>
    <row r="124" spans="1:3">
      <c r="A124" s="190">
        <v>43059.427083333336</v>
      </c>
      <c r="B124">
        <v>21.3</v>
      </c>
      <c r="C124">
        <v>44.4</v>
      </c>
    </row>
    <row r="125" spans="1:3">
      <c r="A125" s="190">
        <v>43059.430555555555</v>
      </c>
      <c r="B125">
        <v>21.2</v>
      </c>
      <c r="C125">
        <v>44.6</v>
      </c>
    </row>
    <row r="126" spans="1:3">
      <c r="A126" s="190">
        <v>43059.434027777781</v>
      </c>
      <c r="B126">
        <v>21.2</v>
      </c>
      <c r="C126">
        <v>44.8</v>
      </c>
    </row>
    <row r="127" spans="1:3">
      <c r="A127" s="190">
        <v>43059.4375</v>
      </c>
      <c r="B127">
        <v>21.2</v>
      </c>
      <c r="C127">
        <v>44.8</v>
      </c>
    </row>
    <row r="128" spans="1:3">
      <c r="A128" s="190">
        <v>43059.440972222219</v>
      </c>
      <c r="B128">
        <v>21.2</v>
      </c>
      <c r="C128">
        <v>45</v>
      </c>
    </row>
    <row r="129" spans="1:3">
      <c r="A129" s="190">
        <v>43059.444444444445</v>
      </c>
      <c r="B129">
        <v>21.2</v>
      </c>
      <c r="C129">
        <v>45</v>
      </c>
    </row>
    <row r="130" spans="1:3">
      <c r="A130" s="190">
        <v>43059.447916666664</v>
      </c>
      <c r="B130">
        <v>21.3</v>
      </c>
      <c r="C130">
        <v>45.1</v>
      </c>
    </row>
    <row r="131" spans="1:3">
      <c r="A131" s="190">
        <v>43059.451388888891</v>
      </c>
      <c r="B131">
        <v>21.2</v>
      </c>
      <c r="C131">
        <v>45.3</v>
      </c>
    </row>
    <row r="132" spans="1:3">
      <c r="A132" s="190">
        <v>43059.454861111109</v>
      </c>
      <c r="B132">
        <v>21.2</v>
      </c>
      <c r="C132">
        <v>45.4</v>
      </c>
    </row>
    <row r="133" spans="1:3">
      <c r="A133" s="190">
        <v>43059.458333333336</v>
      </c>
      <c r="B133">
        <v>21.2</v>
      </c>
      <c r="C133">
        <v>45.6</v>
      </c>
    </row>
    <row r="134" spans="1:3">
      <c r="A134" s="190">
        <v>43059.461805555555</v>
      </c>
      <c r="B134">
        <v>21.2</v>
      </c>
      <c r="C134">
        <v>45.7</v>
      </c>
    </row>
    <row r="135" spans="1:3">
      <c r="A135" s="190">
        <v>43059.465277777781</v>
      </c>
      <c r="B135">
        <v>21.2</v>
      </c>
      <c r="C135">
        <v>45.8</v>
      </c>
    </row>
    <row r="136" spans="1:3">
      <c r="A136" s="190">
        <v>43059.46875</v>
      </c>
      <c r="B136">
        <v>21.2</v>
      </c>
      <c r="C136">
        <v>46.1</v>
      </c>
    </row>
    <row r="137" spans="1:3">
      <c r="A137" s="190">
        <v>43059.472222222219</v>
      </c>
      <c r="B137">
        <v>21.2</v>
      </c>
      <c r="C137">
        <v>46.1</v>
      </c>
    </row>
    <row r="138" spans="1:3">
      <c r="A138" s="190">
        <v>43059.475694444445</v>
      </c>
      <c r="B138">
        <v>21.1</v>
      </c>
      <c r="C138">
        <v>46.5</v>
      </c>
    </row>
    <row r="139" spans="1:3">
      <c r="A139" s="190">
        <v>43059.479166666664</v>
      </c>
      <c r="B139">
        <v>21.1</v>
      </c>
      <c r="C139">
        <v>46.6</v>
      </c>
    </row>
    <row r="140" spans="1:3">
      <c r="A140" s="190">
        <v>43059.482638888891</v>
      </c>
      <c r="B140">
        <v>21.1</v>
      </c>
      <c r="C140">
        <v>46.5</v>
      </c>
    </row>
    <row r="141" spans="1:3">
      <c r="A141" s="190">
        <v>43059.486111111109</v>
      </c>
      <c r="B141">
        <v>21.2</v>
      </c>
      <c r="C141">
        <v>46.6</v>
      </c>
    </row>
    <row r="142" spans="1:3">
      <c r="A142" s="190">
        <v>43059.489583333336</v>
      </c>
      <c r="B142">
        <v>21.1</v>
      </c>
      <c r="C142">
        <v>46.9</v>
      </c>
    </row>
    <row r="143" spans="1:3">
      <c r="A143" s="190">
        <v>43059.493055555555</v>
      </c>
      <c r="B143">
        <v>21.1</v>
      </c>
      <c r="C143">
        <v>47</v>
      </c>
    </row>
    <row r="144" spans="1:3">
      <c r="A144" s="190">
        <v>43059.496527777781</v>
      </c>
      <c r="B144">
        <v>21.1</v>
      </c>
      <c r="C144">
        <v>47.3</v>
      </c>
    </row>
    <row r="145" spans="1:3">
      <c r="A145" s="190">
        <v>43059.5</v>
      </c>
      <c r="B145">
        <v>21.1</v>
      </c>
      <c r="C145">
        <v>47.2</v>
      </c>
    </row>
    <row r="146" spans="1:3">
      <c r="A146" s="190">
        <v>43059.503472222219</v>
      </c>
      <c r="B146">
        <v>21.1</v>
      </c>
      <c r="C146">
        <v>47.4</v>
      </c>
    </row>
    <row r="147" spans="1:3">
      <c r="A147" s="190">
        <v>43059.506944444445</v>
      </c>
      <c r="B147">
        <v>21.1</v>
      </c>
      <c r="C147">
        <v>47.6</v>
      </c>
    </row>
    <row r="148" spans="1:3">
      <c r="A148" s="190">
        <v>43059.510416666664</v>
      </c>
      <c r="B148">
        <v>21.1</v>
      </c>
      <c r="C148">
        <v>47.7</v>
      </c>
    </row>
    <row r="149" spans="1:3">
      <c r="A149" s="190">
        <v>43059.513888888891</v>
      </c>
      <c r="B149">
        <v>21.2</v>
      </c>
      <c r="C149">
        <v>47.6</v>
      </c>
    </row>
    <row r="150" spans="1:3">
      <c r="A150" s="190">
        <v>43059.517361111109</v>
      </c>
      <c r="B150">
        <v>21.2</v>
      </c>
      <c r="C150">
        <v>47.7</v>
      </c>
    </row>
    <row r="151" spans="1:3">
      <c r="A151" s="190">
        <v>43059.520833333336</v>
      </c>
      <c r="B151">
        <v>21.1</v>
      </c>
      <c r="C151">
        <v>48.1</v>
      </c>
    </row>
    <row r="152" spans="1:3">
      <c r="A152" s="190">
        <v>43059.524305555555</v>
      </c>
      <c r="B152">
        <v>21.1</v>
      </c>
      <c r="C152">
        <v>47.9</v>
      </c>
    </row>
    <row r="153" spans="1:3">
      <c r="A153" s="190">
        <v>43059.527777777781</v>
      </c>
      <c r="B153">
        <v>21.1</v>
      </c>
      <c r="C153">
        <v>47.9</v>
      </c>
    </row>
    <row r="154" spans="1:3">
      <c r="A154" s="190">
        <v>43059.53125</v>
      </c>
      <c r="B154">
        <v>21.1</v>
      </c>
      <c r="C154">
        <v>48</v>
      </c>
    </row>
    <row r="155" spans="1:3">
      <c r="A155" s="190">
        <v>43059.534722222219</v>
      </c>
      <c r="B155">
        <v>21.1</v>
      </c>
      <c r="C155">
        <v>47.9</v>
      </c>
    </row>
    <row r="156" spans="1:3">
      <c r="A156" s="190">
        <v>43059.538194444445</v>
      </c>
      <c r="B156">
        <v>21.1</v>
      </c>
      <c r="C156">
        <v>48</v>
      </c>
    </row>
    <row r="157" spans="1:3">
      <c r="A157" s="190">
        <v>43059.541666666664</v>
      </c>
      <c r="B157">
        <v>21.1</v>
      </c>
      <c r="C157">
        <v>48.2</v>
      </c>
    </row>
    <row r="158" spans="1:3">
      <c r="A158" s="190">
        <v>43059.545138888891</v>
      </c>
      <c r="B158">
        <v>21.1</v>
      </c>
      <c r="C158">
        <v>48.2</v>
      </c>
    </row>
    <row r="159" spans="1:3">
      <c r="A159" s="190">
        <v>43059.548611111109</v>
      </c>
      <c r="B159">
        <v>21.1</v>
      </c>
      <c r="C159">
        <v>48</v>
      </c>
    </row>
    <row r="160" spans="1:3">
      <c r="A160" s="190">
        <v>43059.552083333336</v>
      </c>
      <c r="B160">
        <v>21.2</v>
      </c>
      <c r="C160">
        <v>48</v>
      </c>
    </row>
    <row r="161" spans="1:3">
      <c r="A161" s="190">
        <v>43059.555555555555</v>
      </c>
      <c r="B161">
        <v>21.2</v>
      </c>
      <c r="C161">
        <v>48</v>
      </c>
    </row>
    <row r="162" spans="1:3">
      <c r="A162" s="190">
        <v>43059.559027777781</v>
      </c>
      <c r="B162">
        <v>21.2</v>
      </c>
      <c r="C162">
        <v>48</v>
      </c>
    </row>
    <row r="163" spans="1:3">
      <c r="A163" s="190">
        <v>43059.5625</v>
      </c>
      <c r="B163">
        <v>21.2</v>
      </c>
      <c r="C163">
        <v>48</v>
      </c>
    </row>
    <row r="164" spans="1:3">
      <c r="A164" s="190">
        <v>43059.565972222219</v>
      </c>
      <c r="B164">
        <v>21.1</v>
      </c>
      <c r="C164">
        <v>48.1</v>
      </c>
    </row>
    <row r="165" spans="1:3">
      <c r="A165" s="190">
        <v>43059.569444444445</v>
      </c>
      <c r="B165">
        <v>21.2</v>
      </c>
      <c r="C165">
        <v>48.2</v>
      </c>
    </row>
    <row r="166" spans="1:3">
      <c r="A166" s="190">
        <v>43059.572916666664</v>
      </c>
      <c r="B166">
        <v>21.1</v>
      </c>
      <c r="C166">
        <v>48.3</v>
      </c>
    </row>
    <row r="167" spans="1:3">
      <c r="A167" s="190">
        <v>43059.576388888891</v>
      </c>
      <c r="B167">
        <v>21.1</v>
      </c>
      <c r="C167">
        <v>48.4</v>
      </c>
    </row>
    <row r="168" spans="1:3">
      <c r="A168" s="190">
        <v>43059.579861111109</v>
      </c>
      <c r="B168">
        <v>21</v>
      </c>
      <c r="C168">
        <v>48.6</v>
      </c>
    </row>
    <row r="169" spans="1:3">
      <c r="A169" s="190">
        <v>43059.583333333336</v>
      </c>
      <c r="B169">
        <v>21.1</v>
      </c>
      <c r="C169">
        <v>48.6</v>
      </c>
    </row>
    <row r="170" spans="1:3">
      <c r="A170" s="190">
        <v>43059.586805555555</v>
      </c>
      <c r="B170">
        <v>21.1</v>
      </c>
      <c r="C170">
        <v>48.6</v>
      </c>
    </row>
    <row r="171" spans="1:3">
      <c r="A171" s="190">
        <v>43059.590277777781</v>
      </c>
      <c r="B171">
        <v>21.1</v>
      </c>
      <c r="C171">
        <v>48.7</v>
      </c>
    </row>
    <row r="172" spans="1:3">
      <c r="A172" s="190">
        <v>43059.59375</v>
      </c>
      <c r="B172">
        <v>21.1</v>
      </c>
      <c r="C172">
        <v>48.7</v>
      </c>
    </row>
    <row r="173" spans="1:3">
      <c r="A173" s="190">
        <v>43059.597222222219</v>
      </c>
      <c r="B173">
        <v>21.1</v>
      </c>
      <c r="C173">
        <v>48.8</v>
      </c>
    </row>
    <row r="174" spans="1:3">
      <c r="A174" s="190">
        <v>43059.600694444445</v>
      </c>
      <c r="B174">
        <v>21.1</v>
      </c>
      <c r="C174">
        <v>48.9</v>
      </c>
    </row>
    <row r="175" spans="1:3">
      <c r="A175" s="190">
        <v>43059.604166666664</v>
      </c>
      <c r="B175">
        <v>21</v>
      </c>
      <c r="C175">
        <v>48.9</v>
      </c>
    </row>
    <row r="176" spans="1:3">
      <c r="A176" s="190">
        <v>43059.607638888891</v>
      </c>
      <c r="B176">
        <v>21.1</v>
      </c>
      <c r="C176">
        <v>48.9</v>
      </c>
    </row>
    <row r="177" spans="1:3">
      <c r="A177" s="190">
        <v>43059.611111111109</v>
      </c>
      <c r="B177">
        <v>21.1</v>
      </c>
      <c r="C177">
        <v>49</v>
      </c>
    </row>
    <row r="178" spans="1:3">
      <c r="A178" s="190">
        <v>43059.614583333336</v>
      </c>
      <c r="B178">
        <v>21.2</v>
      </c>
      <c r="C178">
        <v>49</v>
      </c>
    </row>
    <row r="179" spans="1:3">
      <c r="A179" s="190">
        <v>43059.618055555555</v>
      </c>
      <c r="B179">
        <v>21.1</v>
      </c>
      <c r="C179">
        <v>49.6</v>
      </c>
    </row>
    <row r="180" spans="1:3">
      <c r="A180" s="190">
        <v>43059.621527777781</v>
      </c>
      <c r="B180">
        <v>21.2</v>
      </c>
      <c r="C180">
        <v>49.3</v>
      </c>
    </row>
    <row r="181" spans="1:3">
      <c r="A181" s="190">
        <v>43059.625</v>
      </c>
      <c r="B181">
        <v>21.1</v>
      </c>
      <c r="C181">
        <v>49.4</v>
      </c>
    </row>
    <row r="182" spans="1:3">
      <c r="A182" s="190">
        <v>43059.628472222219</v>
      </c>
      <c r="B182">
        <v>21.1</v>
      </c>
      <c r="C182">
        <v>49.4</v>
      </c>
    </row>
    <row r="183" spans="1:3">
      <c r="A183" s="190">
        <v>43059.631944444445</v>
      </c>
      <c r="B183">
        <v>21.1</v>
      </c>
      <c r="C183">
        <v>49.6</v>
      </c>
    </row>
    <row r="184" spans="1:3">
      <c r="A184" s="190">
        <v>43059.635416666664</v>
      </c>
      <c r="B184">
        <v>21.2</v>
      </c>
      <c r="C184">
        <v>49.3</v>
      </c>
    </row>
    <row r="185" spans="1:3">
      <c r="A185" s="190">
        <v>43059.638888888891</v>
      </c>
      <c r="B185">
        <v>21.2</v>
      </c>
      <c r="C185">
        <v>49</v>
      </c>
    </row>
    <row r="186" spans="1:3">
      <c r="A186" s="190">
        <v>43059.642361111109</v>
      </c>
      <c r="B186">
        <v>21.2</v>
      </c>
      <c r="C186">
        <v>48.9</v>
      </c>
    </row>
    <row r="187" spans="1:3">
      <c r="A187" s="190">
        <v>43059.645833333336</v>
      </c>
      <c r="B187">
        <v>21.2</v>
      </c>
      <c r="C187">
        <v>48.8</v>
      </c>
    </row>
    <row r="188" spans="1:3">
      <c r="A188" s="190">
        <v>43059.649305555555</v>
      </c>
      <c r="B188">
        <v>21.3</v>
      </c>
      <c r="C188">
        <v>48.7</v>
      </c>
    </row>
    <row r="189" spans="1:3">
      <c r="A189" s="190">
        <v>43059.652777777781</v>
      </c>
      <c r="B189">
        <v>21.2</v>
      </c>
      <c r="C189">
        <v>48.6</v>
      </c>
    </row>
    <row r="190" spans="1:3">
      <c r="A190" s="190">
        <v>43059.65625</v>
      </c>
      <c r="B190">
        <v>21.3</v>
      </c>
      <c r="C190">
        <v>48.5</v>
      </c>
    </row>
    <row r="191" spans="1:3">
      <c r="A191" s="190">
        <v>43059.659722222219</v>
      </c>
      <c r="B191">
        <v>21.2</v>
      </c>
      <c r="C191">
        <v>48.6</v>
      </c>
    </row>
    <row r="192" spans="1:3">
      <c r="A192" s="190">
        <v>43059.663194444445</v>
      </c>
      <c r="B192">
        <v>21.2</v>
      </c>
      <c r="C192">
        <v>48.7</v>
      </c>
    </row>
    <row r="193" spans="1:3">
      <c r="A193" s="190">
        <v>43059.666666666664</v>
      </c>
      <c r="B193">
        <v>21.2</v>
      </c>
      <c r="C193">
        <v>48.8</v>
      </c>
    </row>
    <row r="194" spans="1:3">
      <c r="A194" s="190">
        <v>43059.670138888891</v>
      </c>
      <c r="B194">
        <v>21.2</v>
      </c>
      <c r="C194">
        <v>48.9</v>
      </c>
    </row>
    <row r="195" spans="1:3">
      <c r="A195" s="190">
        <v>43059.673611111109</v>
      </c>
      <c r="B195">
        <v>21.1</v>
      </c>
      <c r="C195">
        <v>48.9</v>
      </c>
    </row>
    <row r="196" spans="1:3">
      <c r="A196" s="190">
        <v>43059.677083333336</v>
      </c>
      <c r="B196">
        <v>21.1</v>
      </c>
      <c r="C196">
        <v>48.8</v>
      </c>
    </row>
    <row r="197" spans="1:3">
      <c r="A197" s="190">
        <v>43059.680555555555</v>
      </c>
      <c r="B197">
        <v>21.1</v>
      </c>
      <c r="C197">
        <v>48.7</v>
      </c>
    </row>
    <row r="198" spans="1:3">
      <c r="A198" s="190">
        <v>43059.684027777781</v>
      </c>
      <c r="B198">
        <v>21.1</v>
      </c>
      <c r="C198">
        <v>48.7</v>
      </c>
    </row>
    <row r="199" spans="1:3">
      <c r="A199" s="190">
        <v>43059.6875</v>
      </c>
      <c r="B199">
        <v>21.2</v>
      </c>
      <c r="C199">
        <v>48.6</v>
      </c>
    </row>
    <row r="200" spans="1:3">
      <c r="A200" s="190">
        <v>43059.690972222219</v>
      </c>
      <c r="B200">
        <v>21.1</v>
      </c>
      <c r="C200">
        <v>48.7</v>
      </c>
    </row>
    <row r="201" spans="1:3">
      <c r="A201" s="190">
        <v>43059.694444444445</v>
      </c>
      <c r="B201">
        <v>21.1</v>
      </c>
      <c r="C201">
        <v>48.6</v>
      </c>
    </row>
    <row r="202" spans="1:3">
      <c r="A202" s="190">
        <v>43059.697916666664</v>
      </c>
      <c r="B202">
        <v>21.1</v>
      </c>
      <c r="C202">
        <v>48.6</v>
      </c>
    </row>
    <row r="203" spans="1:3">
      <c r="A203" s="190">
        <v>43059.701388888891</v>
      </c>
      <c r="B203">
        <v>21.1</v>
      </c>
      <c r="C203">
        <v>48.6</v>
      </c>
    </row>
    <row r="204" spans="1:3">
      <c r="A204" s="190">
        <v>43059.704861111109</v>
      </c>
      <c r="B204">
        <v>21.1</v>
      </c>
      <c r="C204">
        <v>48.6</v>
      </c>
    </row>
    <row r="205" spans="1:3">
      <c r="A205" s="190">
        <v>43059.708333333336</v>
      </c>
      <c r="B205">
        <v>21.1</v>
      </c>
      <c r="C205">
        <v>48.5</v>
      </c>
    </row>
    <row r="206" spans="1:3">
      <c r="A206" s="190">
        <v>43059.711805555555</v>
      </c>
      <c r="B206">
        <v>21</v>
      </c>
      <c r="C206">
        <v>48.7</v>
      </c>
    </row>
    <row r="207" spans="1:3">
      <c r="A207" s="190">
        <v>43059.715277777781</v>
      </c>
      <c r="B207">
        <v>21.1</v>
      </c>
      <c r="C207">
        <v>48.7</v>
      </c>
    </row>
    <row r="208" spans="1:3">
      <c r="A208" s="190">
        <v>43059.71875</v>
      </c>
      <c r="B208">
        <v>21.1</v>
      </c>
      <c r="C208">
        <v>48.7</v>
      </c>
    </row>
    <row r="209" spans="1:3">
      <c r="A209" s="190">
        <v>43059.722222222219</v>
      </c>
      <c r="B209">
        <v>21</v>
      </c>
      <c r="C209">
        <v>48.8</v>
      </c>
    </row>
    <row r="210" spans="1:3">
      <c r="A210" s="190">
        <v>43059.725694444445</v>
      </c>
      <c r="B210">
        <v>21</v>
      </c>
      <c r="C210">
        <v>48.9</v>
      </c>
    </row>
    <row r="211" spans="1:3">
      <c r="A211" s="190">
        <v>43059.729166666664</v>
      </c>
      <c r="B211">
        <v>21</v>
      </c>
      <c r="C211">
        <v>48.9</v>
      </c>
    </row>
    <row r="212" spans="1:3">
      <c r="A212" s="190">
        <v>43059.732638888891</v>
      </c>
      <c r="B212">
        <v>21</v>
      </c>
      <c r="C212">
        <v>48.9</v>
      </c>
    </row>
    <row r="213" spans="1:3">
      <c r="A213" s="190">
        <v>43059.736111111109</v>
      </c>
      <c r="B213">
        <v>21.1</v>
      </c>
      <c r="C213">
        <v>48.7</v>
      </c>
    </row>
    <row r="214" spans="1:3">
      <c r="A214" s="190">
        <v>43059.739583333336</v>
      </c>
      <c r="B214">
        <v>21</v>
      </c>
      <c r="C214">
        <v>48.8</v>
      </c>
    </row>
    <row r="215" spans="1:3">
      <c r="A215" s="190">
        <v>43059.743055555555</v>
      </c>
      <c r="B215">
        <v>21</v>
      </c>
      <c r="C215">
        <v>48.8</v>
      </c>
    </row>
    <row r="216" spans="1:3">
      <c r="A216" s="190">
        <v>43059.746527777781</v>
      </c>
      <c r="B216">
        <v>21</v>
      </c>
      <c r="C216">
        <v>48.8</v>
      </c>
    </row>
    <row r="217" spans="1:3">
      <c r="A217" s="190">
        <v>43059.75</v>
      </c>
      <c r="B217">
        <v>21</v>
      </c>
      <c r="C217">
        <v>48.8</v>
      </c>
    </row>
    <row r="218" spans="1:3">
      <c r="A218" s="190">
        <v>43059.753472222219</v>
      </c>
      <c r="B218">
        <v>21</v>
      </c>
      <c r="C218">
        <v>48.7</v>
      </c>
    </row>
    <row r="219" spans="1:3">
      <c r="A219" s="190">
        <v>43059.756944444445</v>
      </c>
      <c r="B219">
        <v>21</v>
      </c>
      <c r="C219">
        <v>48.6</v>
      </c>
    </row>
    <row r="220" spans="1:3">
      <c r="A220" s="190">
        <v>43059.760416666664</v>
      </c>
      <c r="B220">
        <v>21</v>
      </c>
      <c r="C220">
        <v>48.5</v>
      </c>
    </row>
    <row r="221" spans="1:3">
      <c r="A221" s="190">
        <v>43059.763888888891</v>
      </c>
      <c r="B221">
        <v>21</v>
      </c>
      <c r="C221">
        <v>48.6</v>
      </c>
    </row>
    <row r="222" spans="1:3">
      <c r="A222" s="190">
        <v>43059.767361111109</v>
      </c>
      <c r="B222">
        <v>21</v>
      </c>
      <c r="C222">
        <v>48.5</v>
      </c>
    </row>
    <row r="223" spans="1:3">
      <c r="A223" s="190">
        <v>43059.770833333336</v>
      </c>
      <c r="B223">
        <v>21.1</v>
      </c>
      <c r="C223">
        <v>48.4</v>
      </c>
    </row>
    <row r="224" spans="1:3">
      <c r="A224" s="190">
        <v>43059.774305555555</v>
      </c>
      <c r="B224">
        <v>21</v>
      </c>
      <c r="C224">
        <v>48.4</v>
      </c>
    </row>
    <row r="225" spans="1:3">
      <c r="A225" s="190">
        <v>43059.777777777781</v>
      </c>
      <c r="B225">
        <v>21</v>
      </c>
      <c r="C225">
        <v>48.4</v>
      </c>
    </row>
    <row r="226" spans="1:3">
      <c r="A226" s="190">
        <v>43059.78125</v>
      </c>
      <c r="B226">
        <v>21</v>
      </c>
      <c r="C226">
        <v>48.5</v>
      </c>
    </row>
    <row r="227" spans="1:3">
      <c r="A227" s="190">
        <v>43059.784722222219</v>
      </c>
      <c r="B227">
        <v>21.1</v>
      </c>
      <c r="C227">
        <v>48.4</v>
      </c>
    </row>
    <row r="228" spans="1:3">
      <c r="A228" s="190">
        <v>43059.788194444445</v>
      </c>
      <c r="B228">
        <v>21</v>
      </c>
      <c r="C228">
        <v>48.5</v>
      </c>
    </row>
    <row r="229" spans="1:3">
      <c r="A229" s="190">
        <v>43059.791666666664</v>
      </c>
      <c r="B229">
        <v>21</v>
      </c>
      <c r="C229">
        <v>48.5</v>
      </c>
    </row>
    <row r="230" spans="1:3">
      <c r="A230" s="190">
        <v>43059.795138888891</v>
      </c>
      <c r="B230">
        <v>21.1</v>
      </c>
      <c r="C230">
        <v>48.3</v>
      </c>
    </row>
    <row r="231" spans="1:3">
      <c r="A231" s="190">
        <v>43059.798611111109</v>
      </c>
      <c r="B231">
        <v>21</v>
      </c>
      <c r="C231">
        <v>48.3</v>
      </c>
    </row>
    <row r="232" spans="1:3">
      <c r="A232" s="190">
        <v>43059.802083333336</v>
      </c>
      <c r="B232">
        <v>21</v>
      </c>
      <c r="C232">
        <v>48.4</v>
      </c>
    </row>
    <row r="233" spans="1:3">
      <c r="A233" s="190">
        <v>43059.805555555555</v>
      </c>
      <c r="B233">
        <v>21</v>
      </c>
      <c r="C233">
        <v>48.5</v>
      </c>
    </row>
    <row r="234" spans="1:3">
      <c r="A234" s="190">
        <v>43059.809027777781</v>
      </c>
      <c r="B234">
        <v>21</v>
      </c>
      <c r="C234">
        <v>48.5</v>
      </c>
    </row>
    <row r="235" spans="1:3">
      <c r="A235" s="190">
        <v>43059.8125</v>
      </c>
      <c r="B235">
        <v>21</v>
      </c>
      <c r="C235">
        <v>48.5</v>
      </c>
    </row>
    <row r="236" spans="1:3">
      <c r="A236" s="190">
        <v>43059.815972222219</v>
      </c>
      <c r="B236">
        <v>21</v>
      </c>
      <c r="C236">
        <v>48.4</v>
      </c>
    </row>
    <row r="237" spans="1:3">
      <c r="A237" s="190">
        <v>43059.819444444445</v>
      </c>
      <c r="B237">
        <v>21</v>
      </c>
      <c r="C237">
        <v>48.4</v>
      </c>
    </row>
    <row r="238" spans="1:3">
      <c r="A238" s="190">
        <v>43059.822916666664</v>
      </c>
      <c r="B238">
        <v>21</v>
      </c>
      <c r="C238">
        <v>48.5</v>
      </c>
    </row>
    <row r="239" spans="1:3">
      <c r="A239" s="190">
        <v>43059.826388888891</v>
      </c>
      <c r="B239">
        <v>21</v>
      </c>
      <c r="C239">
        <v>48.4</v>
      </c>
    </row>
    <row r="240" spans="1:3">
      <c r="A240" s="190">
        <v>43059.829861111109</v>
      </c>
      <c r="B240">
        <v>21</v>
      </c>
      <c r="C240">
        <v>48.5</v>
      </c>
    </row>
    <row r="241" spans="1:3">
      <c r="A241" s="190">
        <v>43059.833333333336</v>
      </c>
      <c r="B241">
        <v>21</v>
      </c>
      <c r="C241">
        <v>48.4</v>
      </c>
    </row>
    <row r="242" spans="1:3">
      <c r="A242" s="190">
        <v>43059.836805555555</v>
      </c>
      <c r="B242">
        <v>21</v>
      </c>
      <c r="C242">
        <v>48.4</v>
      </c>
    </row>
    <row r="243" spans="1:3">
      <c r="A243" s="190">
        <v>43059.840277777781</v>
      </c>
      <c r="B243">
        <v>21</v>
      </c>
      <c r="C243">
        <v>48.5</v>
      </c>
    </row>
    <row r="244" spans="1:3">
      <c r="A244" s="190">
        <v>43059.84375</v>
      </c>
      <c r="B244">
        <v>21</v>
      </c>
      <c r="C244">
        <v>48.5</v>
      </c>
    </row>
    <row r="245" spans="1:3">
      <c r="A245" s="190">
        <v>43059.847222222219</v>
      </c>
      <c r="B245">
        <v>21</v>
      </c>
      <c r="C245">
        <v>48.5</v>
      </c>
    </row>
    <row r="246" spans="1:3">
      <c r="A246" s="190">
        <v>43059.850694444445</v>
      </c>
      <c r="B246">
        <v>21</v>
      </c>
      <c r="C246">
        <v>48.5</v>
      </c>
    </row>
    <row r="247" spans="1:3">
      <c r="A247" s="190">
        <v>43059.854166666664</v>
      </c>
      <c r="B247">
        <v>21</v>
      </c>
      <c r="C247">
        <v>48.5</v>
      </c>
    </row>
    <row r="248" spans="1:3">
      <c r="A248" s="190">
        <v>43059.857638888891</v>
      </c>
      <c r="B248">
        <v>21</v>
      </c>
      <c r="C248">
        <v>48.6</v>
      </c>
    </row>
    <row r="249" spans="1:3">
      <c r="A249" s="190">
        <v>43059.861111111109</v>
      </c>
      <c r="B249">
        <v>20.9</v>
      </c>
      <c r="C249">
        <v>48.6</v>
      </c>
    </row>
    <row r="250" spans="1:3">
      <c r="A250" s="190">
        <v>43059.864583333336</v>
      </c>
      <c r="B250">
        <v>20.9</v>
      </c>
      <c r="C250">
        <v>48.6</v>
      </c>
    </row>
    <row r="251" spans="1:3">
      <c r="A251" s="190">
        <v>43059.868055555555</v>
      </c>
      <c r="B251">
        <v>21</v>
      </c>
      <c r="C251">
        <v>48.5</v>
      </c>
    </row>
    <row r="252" spans="1:3">
      <c r="A252" s="190">
        <v>43059.871527777781</v>
      </c>
      <c r="B252">
        <v>20.9</v>
      </c>
      <c r="C252">
        <v>48.6</v>
      </c>
    </row>
    <row r="253" spans="1:3">
      <c r="A253" s="190">
        <v>43059.875</v>
      </c>
      <c r="B253">
        <v>21</v>
      </c>
      <c r="C253">
        <v>48.4</v>
      </c>
    </row>
    <row r="254" spans="1:3">
      <c r="A254" s="190">
        <v>43059.878472222219</v>
      </c>
      <c r="B254">
        <v>21</v>
      </c>
      <c r="C254">
        <v>48.4</v>
      </c>
    </row>
    <row r="255" spans="1:3">
      <c r="A255" s="190">
        <v>43059.881944444445</v>
      </c>
      <c r="B255">
        <v>21</v>
      </c>
      <c r="C255">
        <v>48.3</v>
      </c>
    </row>
    <row r="256" spans="1:3">
      <c r="A256" s="190">
        <v>43059.885416666664</v>
      </c>
      <c r="B256">
        <v>21</v>
      </c>
      <c r="C256">
        <v>48.3</v>
      </c>
    </row>
    <row r="257" spans="1:3">
      <c r="A257" s="190">
        <v>43059.888888888891</v>
      </c>
      <c r="B257">
        <v>21.1</v>
      </c>
      <c r="C257">
        <v>48.2</v>
      </c>
    </row>
    <row r="258" spans="1:3">
      <c r="A258" s="190">
        <v>43059.892361111109</v>
      </c>
      <c r="B258">
        <v>21</v>
      </c>
      <c r="C258">
        <v>48.3</v>
      </c>
    </row>
    <row r="259" spans="1:3">
      <c r="A259" s="190">
        <v>43059.895833333336</v>
      </c>
      <c r="B259">
        <v>21</v>
      </c>
      <c r="C259">
        <v>48.3</v>
      </c>
    </row>
    <row r="260" spans="1:3">
      <c r="A260" s="190">
        <v>43059.899305555555</v>
      </c>
      <c r="B260">
        <v>21.1</v>
      </c>
      <c r="C260">
        <v>48.2</v>
      </c>
    </row>
    <row r="261" spans="1:3">
      <c r="A261" s="190">
        <v>43059.902777777781</v>
      </c>
      <c r="B261">
        <v>21</v>
      </c>
      <c r="C261">
        <v>48.2</v>
      </c>
    </row>
    <row r="262" spans="1:3">
      <c r="A262" s="190">
        <v>43059.90625</v>
      </c>
      <c r="B262">
        <v>21</v>
      </c>
      <c r="C262">
        <v>48.2</v>
      </c>
    </row>
    <row r="263" spans="1:3">
      <c r="A263" s="190">
        <v>43059.909722222219</v>
      </c>
      <c r="B263">
        <v>21</v>
      </c>
      <c r="C263">
        <v>48.2</v>
      </c>
    </row>
    <row r="264" spans="1:3">
      <c r="A264" s="190">
        <v>43059.913194444445</v>
      </c>
      <c r="B264">
        <v>21</v>
      </c>
      <c r="C264">
        <v>48.3</v>
      </c>
    </row>
    <row r="265" spans="1:3">
      <c r="A265" s="190">
        <v>43059.916666666664</v>
      </c>
      <c r="B265">
        <v>20.9</v>
      </c>
      <c r="C265">
        <v>48.3</v>
      </c>
    </row>
    <row r="266" spans="1:3">
      <c r="A266" s="190">
        <v>43059.920138888891</v>
      </c>
      <c r="B266">
        <v>21</v>
      </c>
      <c r="C266">
        <v>48.2</v>
      </c>
    </row>
    <row r="267" spans="1:3">
      <c r="A267" s="190">
        <v>43059.923611111109</v>
      </c>
      <c r="B267">
        <v>20.9</v>
      </c>
      <c r="C267">
        <v>48.4</v>
      </c>
    </row>
    <row r="268" spans="1:3">
      <c r="A268" s="190">
        <v>43059.927083333336</v>
      </c>
      <c r="B268">
        <v>21</v>
      </c>
      <c r="C268">
        <v>48.1</v>
      </c>
    </row>
    <row r="269" spans="1:3">
      <c r="A269" s="190">
        <v>43059.930555555555</v>
      </c>
      <c r="B269">
        <v>21</v>
      </c>
      <c r="C269">
        <v>48.2</v>
      </c>
    </row>
    <row r="270" spans="1:3">
      <c r="A270" s="190">
        <v>43059.934027777781</v>
      </c>
      <c r="B270">
        <v>21</v>
      </c>
      <c r="C270">
        <v>48.1</v>
      </c>
    </row>
    <row r="271" spans="1:3">
      <c r="A271" s="190">
        <v>43059.9375</v>
      </c>
      <c r="B271">
        <v>21</v>
      </c>
      <c r="C271">
        <v>48.1</v>
      </c>
    </row>
    <row r="272" spans="1:3">
      <c r="A272" s="190">
        <v>43059.940972222219</v>
      </c>
      <c r="B272">
        <v>21</v>
      </c>
      <c r="C272">
        <v>48.1</v>
      </c>
    </row>
    <row r="273" spans="1:3">
      <c r="A273" s="190">
        <v>43059.944444444445</v>
      </c>
      <c r="B273">
        <v>21</v>
      </c>
      <c r="C273">
        <v>48</v>
      </c>
    </row>
    <row r="274" spans="1:3">
      <c r="A274" s="190">
        <v>43059.947916666664</v>
      </c>
      <c r="B274">
        <v>21</v>
      </c>
      <c r="C274">
        <v>48</v>
      </c>
    </row>
    <row r="275" spans="1:3">
      <c r="A275" s="190">
        <v>43059.951388888891</v>
      </c>
      <c r="B275">
        <v>21</v>
      </c>
      <c r="C275">
        <v>48</v>
      </c>
    </row>
    <row r="276" spans="1:3">
      <c r="A276" s="190">
        <v>43059.954861111109</v>
      </c>
      <c r="B276">
        <v>21</v>
      </c>
      <c r="C276">
        <v>47.9</v>
      </c>
    </row>
    <row r="277" spans="1:3">
      <c r="A277" s="190">
        <v>43059.958333333336</v>
      </c>
      <c r="B277">
        <v>21</v>
      </c>
      <c r="C277">
        <v>47.8</v>
      </c>
    </row>
    <row r="278" spans="1:3">
      <c r="A278" s="190">
        <v>43059.961805555555</v>
      </c>
      <c r="B278">
        <v>21</v>
      </c>
      <c r="C278">
        <v>47.7</v>
      </c>
    </row>
    <row r="279" spans="1:3">
      <c r="A279" s="190">
        <v>43059.965277777781</v>
      </c>
      <c r="B279">
        <v>21</v>
      </c>
      <c r="C279">
        <v>47.6</v>
      </c>
    </row>
    <row r="280" spans="1:3">
      <c r="A280" s="190">
        <v>43059.96875</v>
      </c>
      <c r="B280">
        <v>21.1</v>
      </c>
      <c r="C280">
        <v>47.6</v>
      </c>
    </row>
    <row r="281" spans="1:3">
      <c r="A281" s="190">
        <v>43059.972222222219</v>
      </c>
      <c r="B281">
        <v>21</v>
      </c>
      <c r="C281">
        <v>47.6</v>
      </c>
    </row>
    <row r="282" spans="1:3">
      <c r="A282" s="190">
        <v>43059.975694444445</v>
      </c>
      <c r="B282">
        <v>21</v>
      </c>
      <c r="C282">
        <v>47.6</v>
      </c>
    </row>
    <row r="283" spans="1:3">
      <c r="A283" s="190">
        <v>43059.979166666664</v>
      </c>
      <c r="B283">
        <v>21</v>
      </c>
      <c r="C283">
        <v>47.7</v>
      </c>
    </row>
    <row r="284" spans="1:3">
      <c r="A284" s="190">
        <v>43059.982638888891</v>
      </c>
      <c r="B284">
        <v>21</v>
      </c>
      <c r="C284">
        <v>47.5</v>
      </c>
    </row>
    <row r="285" spans="1:3">
      <c r="A285" s="190">
        <v>43059.986111111109</v>
      </c>
      <c r="B285">
        <v>21</v>
      </c>
      <c r="C285">
        <v>47.5</v>
      </c>
    </row>
    <row r="286" spans="1:3">
      <c r="A286" s="190">
        <v>43059.989583333336</v>
      </c>
      <c r="B286">
        <v>21.1</v>
      </c>
      <c r="C286">
        <v>47.4</v>
      </c>
    </row>
    <row r="287" spans="1:3">
      <c r="A287" s="190">
        <v>43059.993055555555</v>
      </c>
      <c r="B287">
        <v>21</v>
      </c>
      <c r="C287">
        <v>47.4</v>
      </c>
    </row>
    <row r="288" spans="1:3">
      <c r="A288" s="190">
        <v>43059.996527777781</v>
      </c>
      <c r="B288">
        <v>21</v>
      </c>
      <c r="C288">
        <v>47.5</v>
      </c>
    </row>
    <row r="289" spans="1:3">
      <c r="A289" s="190">
        <v>43060</v>
      </c>
      <c r="B289">
        <v>21</v>
      </c>
      <c r="C289">
        <v>47.3</v>
      </c>
    </row>
    <row r="290" spans="1:3">
      <c r="A290" s="190">
        <v>43060.003472222219</v>
      </c>
      <c r="B290">
        <v>21</v>
      </c>
      <c r="C290">
        <v>47.3</v>
      </c>
    </row>
    <row r="291" spans="1:3">
      <c r="A291" s="190">
        <v>43060.006944444445</v>
      </c>
      <c r="B291">
        <v>21</v>
      </c>
      <c r="C291">
        <v>47.2</v>
      </c>
    </row>
    <row r="292" spans="1:3">
      <c r="A292" s="190">
        <v>43060.010416666664</v>
      </c>
      <c r="B292">
        <v>21</v>
      </c>
      <c r="C292">
        <v>47.2</v>
      </c>
    </row>
    <row r="293" spans="1:3">
      <c r="A293" s="190">
        <v>43060.013888888891</v>
      </c>
      <c r="B293">
        <v>21</v>
      </c>
      <c r="C293">
        <v>47.1</v>
      </c>
    </row>
    <row r="294" spans="1:3">
      <c r="A294" s="190">
        <v>43060.017361111109</v>
      </c>
      <c r="B294">
        <v>21</v>
      </c>
      <c r="C294">
        <v>47.1</v>
      </c>
    </row>
    <row r="295" spans="1:3">
      <c r="A295" s="190">
        <v>43060.020833333336</v>
      </c>
      <c r="B295">
        <v>21</v>
      </c>
      <c r="C295">
        <v>47</v>
      </c>
    </row>
    <row r="296" spans="1:3">
      <c r="A296" s="190">
        <v>43060.024305555555</v>
      </c>
      <c r="B296">
        <v>21</v>
      </c>
      <c r="C296">
        <v>47</v>
      </c>
    </row>
    <row r="297" spans="1:3">
      <c r="A297" s="190">
        <v>43060.027777777781</v>
      </c>
      <c r="B297">
        <v>21</v>
      </c>
      <c r="C297">
        <v>47</v>
      </c>
    </row>
    <row r="298" spans="1:3">
      <c r="A298" s="190">
        <v>43060.03125</v>
      </c>
      <c r="B298">
        <v>21</v>
      </c>
      <c r="C298">
        <v>47</v>
      </c>
    </row>
    <row r="299" spans="1:3">
      <c r="A299" s="190">
        <v>43060.034722222219</v>
      </c>
      <c r="B299">
        <v>21</v>
      </c>
      <c r="C299">
        <v>46.8</v>
      </c>
    </row>
    <row r="300" spans="1:3">
      <c r="A300" s="190">
        <v>43060.038194444445</v>
      </c>
      <c r="B300">
        <v>21.1</v>
      </c>
      <c r="C300">
        <v>46.7</v>
      </c>
    </row>
    <row r="301" spans="1:3">
      <c r="A301" s="190">
        <v>43060.041666666664</v>
      </c>
      <c r="B301">
        <v>21</v>
      </c>
      <c r="C301">
        <v>46.7</v>
      </c>
    </row>
    <row r="302" spans="1:3">
      <c r="A302" s="190">
        <v>43060.045138888891</v>
      </c>
      <c r="B302">
        <v>21</v>
      </c>
      <c r="C302">
        <v>46.7</v>
      </c>
    </row>
    <row r="303" spans="1:3">
      <c r="A303" s="190">
        <v>43060.048611111109</v>
      </c>
      <c r="B303">
        <v>21</v>
      </c>
      <c r="C303">
        <v>46.7</v>
      </c>
    </row>
    <row r="304" spans="1:3">
      <c r="A304" s="190">
        <v>43060.052083333336</v>
      </c>
      <c r="B304">
        <v>21</v>
      </c>
      <c r="C304">
        <v>46.7</v>
      </c>
    </row>
    <row r="305" spans="1:3">
      <c r="A305" s="190">
        <v>43060.055555555555</v>
      </c>
      <c r="B305">
        <v>21</v>
      </c>
      <c r="C305">
        <v>46.6</v>
      </c>
    </row>
    <row r="306" spans="1:3">
      <c r="A306" s="190">
        <v>43060.059027777781</v>
      </c>
      <c r="B306">
        <v>21</v>
      </c>
      <c r="C306">
        <v>46.6</v>
      </c>
    </row>
    <row r="307" spans="1:3">
      <c r="A307" s="190">
        <v>43060.0625</v>
      </c>
      <c r="B307">
        <v>21</v>
      </c>
      <c r="C307">
        <v>46.6</v>
      </c>
    </row>
    <row r="308" spans="1:3">
      <c r="A308" s="190">
        <v>43060.065972222219</v>
      </c>
      <c r="B308">
        <v>21</v>
      </c>
      <c r="C308">
        <v>46.5</v>
      </c>
    </row>
    <row r="309" spans="1:3">
      <c r="A309" s="190">
        <v>43060.069444444445</v>
      </c>
      <c r="B309">
        <v>21</v>
      </c>
      <c r="C309">
        <v>46.5</v>
      </c>
    </row>
    <row r="310" spans="1:3">
      <c r="A310" s="190">
        <v>43060.072916666664</v>
      </c>
      <c r="B310">
        <v>21</v>
      </c>
      <c r="C310">
        <v>46.5</v>
      </c>
    </row>
    <row r="311" spans="1:3">
      <c r="A311" s="190">
        <v>43060.076388888891</v>
      </c>
      <c r="B311">
        <v>21</v>
      </c>
      <c r="C311">
        <v>46.5</v>
      </c>
    </row>
    <row r="312" spans="1:3">
      <c r="A312" s="190">
        <v>43060.079861111109</v>
      </c>
      <c r="B312">
        <v>21</v>
      </c>
      <c r="C312">
        <v>46.4</v>
      </c>
    </row>
    <row r="313" spans="1:3">
      <c r="A313" s="190">
        <v>43060.083333333336</v>
      </c>
      <c r="B313">
        <v>21</v>
      </c>
      <c r="C313">
        <v>46.3</v>
      </c>
    </row>
    <row r="314" spans="1:3">
      <c r="A314" s="190">
        <v>43060.086805555555</v>
      </c>
      <c r="B314">
        <v>21</v>
      </c>
      <c r="C314">
        <v>46.3</v>
      </c>
    </row>
    <row r="315" spans="1:3">
      <c r="A315" s="190">
        <v>43060.090277777781</v>
      </c>
      <c r="B315">
        <v>21</v>
      </c>
      <c r="C315">
        <v>46.2</v>
      </c>
    </row>
    <row r="316" spans="1:3">
      <c r="A316" s="190">
        <v>43060.09375</v>
      </c>
      <c r="B316">
        <v>21</v>
      </c>
      <c r="C316">
        <v>46.3</v>
      </c>
    </row>
    <row r="317" spans="1:3">
      <c r="A317" s="190">
        <v>43060.097222222219</v>
      </c>
      <c r="B317">
        <v>21</v>
      </c>
      <c r="C317">
        <v>46.3</v>
      </c>
    </row>
    <row r="318" spans="1:3">
      <c r="A318" s="190">
        <v>43060.100694444445</v>
      </c>
      <c r="B318">
        <v>21</v>
      </c>
      <c r="C318">
        <v>46.2</v>
      </c>
    </row>
    <row r="319" spans="1:3">
      <c r="A319" s="190">
        <v>43060.104166666664</v>
      </c>
      <c r="B319">
        <v>21.1</v>
      </c>
      <c r="C319">
        <v>46.1</v>
      </c>
    </row>
    <row r="320" spans="1:3">
      <c r="A320" s="190">
        <v>43060.107638888891</v>
      </c>
      <c r="B320">
        <v>21.1</v>
      </c>
      <c r="C320">
        <v>46.1</v>
      </c>
    </row>
    <row r="321" spans="1:3">
      <c r="A321" s="190">
        <v>43060.111111111109</v>
      </c>
      <c r="B321">
        <v>21.1</v>
      </c>
      <c r="C321">
        <v>46.1</v>
      </c>
    </row>
    <row r="322" spans="1:3">
      <c r="A322" s="190">
        <v>43060.114583333336</v>
      </c>
      <c r="B322">
        <v>21</v>
      </c>
      <c r="C322">
        <v>46.1</v>
      </c>
    </row>
    <row r="323" spans="1:3">
      <c r="A323" s="190">
        <v>43060.118055555555</v>
      </c>
      <c r="B323">
        <v>21</v>
      </c>
      <c r="C323">
        <v>46.2</v>
      </c>
    </row>
    <row r="324" spans="1:3">
      <c r="A324" s="190">
        <v>43060.121527777781</v>
      </c>
      <c r="B324">
        <v>21</v>
      </c>
      <c r="C324">
        <v>46.1</v>
      </c>
    </row>
    <row r="325" spans="1:3">
      <c r="A325" s="190">
        <v>43060.125</v>
      </c>
      <c r="B325">
        <v>21.1</v>
      </c>
      <c r="C325">
        <v>46</v>
      </c>
    </row>
    <row r="326" spans="1:3">
      <c r="A326" s="190">
        <v>43060.128472222219</v>
      </c>
      <c r="B326">
        <v>21</v>
      </c>
      <c r="C326">
        <v>46.1</v>
      </c>
    </row>
    <row r="327" spans="1:3">
      <c r="A327" s="190">
        <v>43060.131944444445</v>
      </c>
      <c r="B327">
        <v>21</v>
      </c>
      <c r="C327">
        <v>46.1</v>
      </c>
    </row>
    <row r="328" spans="1:3">
      <c r="A328" s="190">
        <v>43060.135416666664</v>
      </c>
      <c r="B328">
        <v>21.1</v>
      </c>
      <c r="C328">
        <v>46.1</v>
      </c>
    </row>
    <row r="329" spans="1:3">
      <c r="A329" s="190">
        <v>43060.138888888891</v>
      </c>
      <c r="B329">
        <v>21</v>
      </c>
      <c r="C329">
        <v>46.1</v>
      </c>
    </row>
    <row r="330" spans="1:3">
      <c r="A330" s="190">
        <v>43060.142361111109</v>
      </c>
      <c r="B330">
        <v>21.1</v>
      </c>
      <c r="C330">
        <v>46.1</v>
      </c>
    </row>
    <row r="331" spans="1:3">
      <c r="A331" s="190">
        <v>43060.145833333336</v>
      </c>
      <c r="B331">
        <v>21.1</v>
      </c>
      <c r="C331">
        <v>46.1</v>
      </c>
    </row>
    <row r="332" spans="1:3">
      <c r="A332" s="190">
        <v>43060.149305555555</v>
      </c>
      <c r="B332">
        <v>21</v>
      </c>
      <c r="C332">
        <v>46.1</v>
      </c>
    </row>
    <row r="333" spans="1:3">
      <c r="A333" s="190">
        <v>43060.152777777781</v>
      </c>
      <c r="B333">
        <v>21</v>
      </c>
      <c r="C333">
        <v>46.2</v>
      </c>
    </row>
    <row r="334" spans="1:3">
      <c r="A334" s="190">
        <v>43060.15625</v>
      </c>
      <c r="B334">
        <v>21</v>
      </c>
      <c r="C334">
        <v>46.3</v>
      </c>
    </row>
    <row r="335" spans="1:3">
      <c r="A335" s="190">
        <v>43060.159722222219</v>
      </c>
      <c r="B335">
        <v>21</v>
      </c>
      <c r="C335">
        <v>46.3</v>
      </c>
    </row>
    <row r="336" spans="1:3">
      <c r="A336" s="190">
        <v>43060.163194444445</v>
      </c>
      <c r="B336">
        <v>21</v>
      </c>
      <c r="C336">
        <v>46.4</v>
      </c>
    </row>
    <row r="337" spans="1:3">
      <c r="A337" s="190">
        <v>43060.166666666664</v>
      </c>
      <c r="B337">
        <v>21.1</v>
      </c>
      <c r="C337">
        <v>46.2</v>
      </c>
    </row>
    <row r="338" spans="1:3">
      <c r="A338" s="190">
        <v>43060.170138888891</v>
      </c>
      <c r="B338">
        <v>21</v>
      </c>
      <c r="C338">
        <v>46.3</v>
      </c>
    </row>
    <row r="339" spans="1:3">
      <c r="A339" s="190">
        <v>43060.173611111109</v>
      </c>
      <c r="B339">
        <v>21</v>
      </c>
      <c r="C339">
        <v>46.4</v>
      </c>
    </row>
    <row r="340" spans="1:3">
      <c r="A340" s="190">
        <v>43060.177083333336</v>
      </c>
      <c r="B340">
        <v>21</v>
      </c>
      <c r="C340">
        <v>46.4</v>
      </c>
    </row>
    <row r="341" spans="1:3">
      <c r="A341" s="190">
        <v>43060.180555555555</v>
      </c>
      <c r="B341">
        <v>21</v>
      </c>
      <c r="C341">
        <v>46.3</v>
      </c>
    </row>
    <row r="342" spans="1:3">
      <c r="A342" s="190">
        <v>43060.184027777781</v>
      </c>
      <c r="B342">
        <v>21</v>
      </c>
      <c r="C342">
        <v>46.3</v>
      </c>
    </row>
    <row r="343" spans="1:3">
      <c r="A343" s="190">
        <v>43060.1875</v>
      </c>
      <c r="B343">
        <v>21</v>
      </c>
      <c r="C343">
        <v>46.2</v>
      </c>
    </row>
    <row r="344" spans="1:3">
      <c r="A344" s="190">
        <v>43060.190972222219</v>
      </c>
      <c r="B344">
        <v>21</v>
      </c>
      <c r="C344">
        <v>46.3</v>
      </c>
    </row>
    <row r="345" spans="1:3">
      <c r="A345" s="190">
        <v>43060.194444444445</v>
      </c>
      <c r="B345">
        <v>21</v>
      </c>
      <c r="C345">
        <v>46.2</v>
      </c>
    </row>
    <row r="346" spans="1:3">
      <c r="A346" s="190">
        <v>43060.197916666664</v>
      </c>
      <c r="B346">
        <v>21</v>
      </c>
      <c r="C346">
        <v>46.3</v>
      </c>
    </row>
    <row r="347" spans="1:3">
      <c r="A347" s="190">
        <v>43060.201388888891</v>
      </c>
      <c r="B347">
        <v>21</v>
      </c>
      <c r="C347">
        <v>46.3</v>
      </c>
    </row>
    <row r="348" spans="1:3">
      <c r="A348" s="190">
        <v>43060.204861111109</v>
      </c>
      <c r="B348">
        <v>21</v>
      </c>
      <c r="C348">
        <v>46.3</v>
      </c>
    </row>
    <row r="349" spans="1:3">
      <c r="A349" s="190">
        <v>43060.208333333336</v>
      </c>
      <c r="B349">
        <v>21</v>
      </c>
      <c r="C349">
        <v>46.3</v>
      </c>
    </row>
    <row r="350" spans="1:3">
      <c r="A350" s="190">
        <v>43060.211805555555</v>
      </c>
      <c r="B350">
        <v>21</v>
      </c>
      <c r="C350">
        <v>46.2</v>
      </c>
    </row>
    <row r="351" spans="1:3">
      <c r="A351" s="190">
        <v>43060.215277777781</v>
      </c>
      <c r="B351">
        <v>21</v>
      </c>
      <c r="C351">
        <v>46.2</v>
      </c>
    </row>
    <row r="352" spans="1:3">
      <c r="A352" s="190">
        <v>43060.21875</v>
      </c>
      <c r="B352">
        <v>21</v>
      </c>
      <c r="C352">
        <v>46.2</v>
      </c>
    </row>
    <row r="353" spans="1:3">
      <c r="A353" s="190">
        <v>43060.222222222219</v>
      </c>
      <c r="B353">
        <v>21</v>
      </c>
      <c r="C353">
        <v>46.1</v>
      </c>
    </row>
    <row r="354" spans="1:3">
      <c r="A354" s="190">
        <v>43060.225694444445</v>
      </c>
      <c r="B354">
        <v>21</v>
      </c>
      <c r="C354">
        <v>46.1</v>
      </c>
    </row>
    <row r="355" spans="1:3">
      <c r="A355" s="190">
        <v>43060.229166666664</v>
      </c>
      <c r="B355">
        <v>21</v>
      </c>
      <c r="C355">
        <v>46.2</v>
      </c>
    </row>
    <row r="356" spans="1:3">
      <c r="A356" s="190">
        <v>43060.232638888891</v>
      </c>
      <c r="B356">
        <v>21</v>
      </c>
      <c r="C356">
        <v>46.1</v>
      </c>
    </row>
    <row r="357" spans="1:3">
      <c r="A357" s="190">
        <v>43060.236111111109</v>
      </c>
      <c r="B357">
        <v>21</v>
      </c>
      <c r="C357">
        <v>46.2</v>
      </c>
    </row>
    <row r="358" spans="1:3">
      <c r="A358" s="190">
        <v>43060.239583333336</v>
      </c>
      <c r="B358">
        <v>21</v>
      </c>
      <c r="C358">
        <v>46.1</v>
      </c>
    </row>
    <row r="359" spans="1:3">
      <c r="A359" s="190">
        <v>43060.243055555555</v>
      </c>
      <c r="B359">
        <v>21</v>
      </c>
      <c r="C359">
        <v>46</v>
      </c>
    </row>
    <row r="360" spans="1:3">
      <c r="A360" s="190">
        <v>43060.246527777781</v>
      </c>
      <c r="B360">
        <v>21</v>
      </c>
      <c r="C360">
        <v>46.1</v>
      </c>
    </row>
    <row r="361" spans="1:3">
      <c r="A361" s="190">
        <v>43060.25</v>
      </c>
      <c r="B361">
        <v>21</v>
      </c>
      <c r="C361">
        <v>46</v>
      </c>
    </row>
    <row r="362" spans="1:3">
      <c r="A362" s="190">
        <v>43060.253472222219</v>
      </c>
      <c r="B362">
        <v>21</v>
      </c>
      <c r="C362">
        <v>46.1</v>
      </c>
    </row>
    <row r="363" spans="1:3">
      <c r="A363" s="190">
        <v>43060.256944444445</v>
      </c>
      <c r="B363">
        <v>21</v>
      </c>
      <c r="C363">
        <v>46</v>
      </c>
    </row>
    <row r="364" spans="1:3">
      <c r="A364" s="190">
        <v>43060.260416666664</v>
      </c>
      <c r="B364">
        <v>21</v>
      </c>
      <c r="C364">
        <v>45.9</v>
      </c>
    </row>
    <row r="365" spans="1:3">
      <c r="A365" s="190">
        <v>43060.263888888891</v>
      </c>
      <c r="B365">
        <v>21</v>
      </c>
      <c r="C365">
        <v>45.9</v>
      </c>
    </row>
    <row r="366" spans="1:3">
      <c r="A366" s="190">
        <v>43060.267361111109</v>
      </c>
      <c r="B366">
        <v>21</v>
      </c>
      <c r="C366">
        <v>45.8</v>
      </c>
    </row>
    <row r="367" spans="1:3">
      <c r="A367" s="190">
        <v>43060.270833333336</v>
      </c>
      <c r="B367">
        <v>21.1</v>
      </c>
      <c r="C367">
        <v>45.7</v>
      </c>
    </row>
    <row r="368" spans="1:3">
      <c r="A368" s="190">
        <v>43060.274305555555</v>
      </c>
      <c r="B368">
        <v>21</v>
      </c>
      <c r="C368">
        <v>45.9</v>
      </c>
    </row>
    <row r="369" spans="1:3">
      <c r="A369" s="190">
        <v>43060.277777777781</v>
      </c>
      <c r="B369">
        <v>21</v>
      </c>
      <c r="C369">
        <v>45.7</v>
      </c>
    </row>
    <row r="370" spans="1:3">
      <c r="A370" s="190">
        <v>43060.28125</v>
      </c>
      <c r="B370">
        <v>21</v>
      </c>
      <c r="C370">
        <v>45.8</v>
      </c>
    </row>
    <row r="371" spans="1:3">
      <c r="A371" s="190">
        <v>43060.284722222219</v>
      </c>
      <c r="B371">
        <v>21</v>
      </c>
      <c r="C371">
        <v>45.8</v>
      </c>
    </row>
    <row r="372" spans="1:3">
      <c r="A372" s="190">
        <v>43060.288194444445</v>
      </c>
      <c r="B372">
        <v>21.1</v>
      </c>
      <c r="C372">
        <v>45.6</v>
      </c>
    </row>
    <row r="373" spans="1:3">
      <c r="A373" s="190">
        <v>43060.291666666664</v>
      </c>
      <c r="B373">
        <v>21</v>
      </c>
      <c r="C373">
        <v>45.7</v>
      </c>
    </row>
    <row r="374" spans="1:3">
      <c r="A374" s="190">
        <v>43060.295138888891</v>
      </c>
      <c r="B374">
        <v>21</v>
      </c>
      <c r="C374">
        <v>45.7</v>
      </c>
    </row>
    <row r="375" spans="1:3">
      <c r="A375" s="190">
        <v>43060.298611111109</v>
      </c>
      <c r="B375">
        <v>21</v>
      </c>
      <c r="C375">
        <v>45.8</v>
      </c>
    </row>
    <row r="376" spans="1:3">
      <c r="A376" s="190">
        <v>43060.302083333336</v>
      </c>
      <c r="B376">
        <v>21.1</v>
      </c>
      <c r="C376">
        <v>45.6</v>
      </c>
    </row>
    <row r="377" spans="1:3">
      <c r="A377" s="190">
        <v>43060.305555555555</v>
      </c>
      <c r="B377">
        <v>21</v>
      </c>
      <c r="C377">
        <v>45.6</v>
      </c>
    </row>
    <row r="378" spans="1:3">
      <c r="A378" s="190">
        <v>43060.309027777781</v>
      </c>
      <c r="B378">
        <v>21</v>
      </c>
      <c r="C378">
        <v>45.6</v>
      </c>
    </row>
    <row r="379" spans="1:3">
      <c r="A379" s="190">
        <v>43060.3125</v>
      </c>
      <c r="B379">
        <v>21.1</v>
      </c>
      <c r="C379">
        <v>45.6</v>
      </c>
    </row>
    <row r="380" spans="1:3">
      <c r="A380" s="190">
        <v>43060.315972222219</v>
      </c>
      <c r="B380">
        <v>21</v>
      </c>
      <c r="C380">
        <v>45.7</v>
      </c>
    </row>
    <row r="381" spans="1:3">
      <c r="A381" s="190">
        <v>43060.319444444445</v>
      </c>
      <c r="B381">
        <v>21.1</v>
      </c>
      <c r="C381">
        <v>45.5</v>
      </c>
    </row>
    <row r="382" spans="1:3">
      <c r="A382" s="190">
        <v>43060.322916666664</v>
      </c>
      <c r="B382">
        <v>21</v>
      </c>
      <c r="C382">
        <v>45.6</v>
      </c>
    </row>
    <row r="383" spans="1:3">
      <c r="A383" s="190">
        <v>43060.326388888891</v>
      </c>
      <c r="B383">
        <v>21</v>
      </c>
      <c r="C383">
        <v>45.6</v>
      </c>
    </row>
    <row r="384" spans="1:3">
      <c r="A384" s="190">
        <v>43060.329861111109</v>
      </c>
      <c r="B384">
        <v>21</v>
      </c>
      <c r="C384">
        <v>45.7</v>
      </c>
    </row>
    <row r="385" spans="1:3">
      <c r="A385" s="190">
        <v>43060.333333333336</v>
      </c>
      <c r="B385">
        <v>21</v>
      </c>
      <c r="C385">
        <v>45.6</v>
      </c>
    </row>
    <row r="386" spans="1:3">
      <c r="A386" s="190">
        <v>43060.336805555555</v>
      </c>
      <c r="B386">
        <v>21</v>
      </c>
      <c r="C386">
        <v>45.6</v>
      </c>
    </row>
    <row r="387" spans="1:3">
      <c r="A387" s="190">
        <v>43060.340277777781</v>
      </c>
      <c r="B387">
        <v>21</v>
      </c>
      <c r="C387">
        <v>45.5</v>
      </c>
    </row>
    <row r="388" spans="1:3">
      <c r="A388" s="190">
        <v>43060.34375</v>
      </c>
      <c r="B388">
        <v>21.1</v>
      </c>
      <c r="C388">
        <v>45.5</v>
      </c>
    </row>
    <row r="389" spans="1:3">
      <c r="A389" s="190">
        <v>43060.347222222219</v>
      </c>
      <c r="B389">
        <v>21</v>
      </c>
      <c r="C389">
        <v>45.6</v>
      </c>
    </row>
    <row r="390" spans="1:3">
      <c r="A390" s="190">
        <v>43060.350694444445</v>
      </c>
      <c r="B390">
        <v>21.1</v>
      </c>
      <c r="C390">
        <v>45.6</v>
      </c>
    </row>
    <row r="391" spans="1:3">
      <c r="A391" s="190">
        <v>43060.354166666664</v>
      </c>
      <c r="B391">
        <v>21.1</v>
      </c>
      <c r="C391">
        <v>45.5</v>
      </c>
    </row>
    <row r="392" spans="1:3">
      <c r="A392" s="190">
        <v>43060.357638888891</v>
      </c>
      <c r="B392">
        <v>21.1</v>
      </c>
      <c r="C392">
        <v>45.6</v>
      </c>
    </row>
    <row r="393" spans="1:3">
      <c r="A393" s="190">
        <v>43060.361111111109</v>
      </c>
      <c r="B393">
        <v>21</v>
      </c>
      <c r="C393">
        <v>45.7</v>
      </c>
    </row>
    <row r="394" spans="1:3">
      <c r="A394" s="190">
        <v>43060.364583333336</v>
      </c>
      <c r="B394">
        <v>21.1</v>
      </c>
      <c r="C394">
        <v>45.6</v>
      </c>
    </row>
    <row r="395" spans="1:3">
      <c r="A395" s="190">
        <v>43060.368055555555</v>
      </c>
      <c r="B395">
        <v>21.1</v>
      </c>
      <c r="C395">
        <v>45.7</v>
      </c>
    </row>
    <row r="396" spans="1:3">
      <c r="A396" s="190">
        <v>43060.371527777781</v>
      </c>
      <c r="B396">
        <v>21.1</v>
      </c>
      <c r="C396">
        <v>45.6</v>
      </c>
    </row>
    <row r="397" spans="1:3">
      <c r="A397" s="190">
        <v>43060.375</v>
      </c>
      <c r="B397">
        <v>21</v>
      </c>
      <c r="C397">
        <v>45.9</v>
      </c>
    </row>
    <row r="398" spans="1:3">
      <c r="A398" s="190">
        <v>43060.378472222219</v>
      </c>
      <c r="B398">
        <v>21</v>
      </c>
      <c r="C398">
        <v>45.9</v>
      </c>
    </row>
    <row r="399" spans="1:3">
      <c r="A399" s="190">
        <v>43060.381944444445</v>
      </c>
      <c r="B399">
        <v>21</v>
      </c>
      <c r="C399">
        <v>45.9</v>
      </c>
    </row>
    <row r="400" spans="1:3">
      <c r="A400" s="190">
        <v>43060.385416666664</v>
      </c>
      <c r="B400">
        <v>21</v>
      </c>
      <c r="C400">
        <v>46</v>
      </c>
    </row>
    <row r="401" spans="1:3">
      <c r="A401" s="190">
        <v>43060.388888888891</v>
      </c>
      <c r="B401">
        <v>21</v>
      </c>
      <c r="C401">
        <v>46</v>
      </c>
    </row>
    <row r="402" spans="1:3">
      <c r="A402" s="190">
        <v>43060.392361111109</v>
      </c>
      <c r="B402">
        <v>21.1</v>
      </c>
      <c r="C402">
        <v>46</v>
      </c>
    </row>
    <row r="403" spans="1:3">
      <c r="A403" s="190">
        <v>43060.395833333336</v>
      </c>
      <c r="B403">
        <v>21</v>
      </c>
      <c r="C403">
        <v>46.2</v>
      </c>
    </row>
    <row r="404" spans="1:3">
      <c r="A404" s="190">
        <v>43060.399305555555</v>
      </c>
      <c r="B404">
        <v>21.1</v>
      </c>
      <c r="C404">
        <v>46.1</v>
      </c>
    </row>
    <row r="405" spans="1:3">
      <c r="A405" s="190">
        <v>43060.402777777781</v>
      </c>
      <c r="B405">
        <v>21.1</v>
      </c>
      <c r="C405">
        <v>46.1</v>
      </c>
    </row>
    <row r="406" spans="1:3">
      <c r="A406" s="190">
        <v>43060.40625</v>
      </c>
      <c r="B406">
        <v>21</v>
      </c>
      <c r="C406">
        <v>46.2</v>
      </c>
    </row>
    <row r="407" spans="1:3">
      <c r="A407" s="190">
        <v>43060.409722222219</v>
      </c>
      <c r="B407">
        <v>21.1</v>
      </c>
      <c r="C407">
        <v>46.1</v>
      </c>
    </row>
    <row r="408" spans="1:3">
      <c r="A408" s="190">
        <v>43060.413194444445</v>
      </c>
      <c r="B408">
        <v>21</v>
      </c>
      <c r="C408">
        <v>46.3</v>
      </c>
    </row>
    <row r="409" spans="1:3">
      <c r="A409" s="190">
        <v>43060.416666666664</v>
      </c>
      <c r="B409">
        <v>21</v>
      </c>
      <c r="C409">
        <v>46.4</v>
      </c>
    </row>
    <row r="410" spans="1:3">
      <c r="A410" s="190">
        <v>43060.420138888891</v>
      </c>
      <c r="B410">
        <v>21</v>
      </c>
      <c r="C410">
        <v>46.5</v>
      </c>
    </row>
    <row r="411" spans="1:3">
      <c r="A411" s="190">
        <v>43060.423611111109</v>
      </c>
      <c r="B411">
        <v>21</v>
      </c>
      <c r="C411">
        <v>46.4</v>
      </c>
    </row>
    <row r="412" spans="1:3">
      <c r="A412" s="190">
        <v>43060.427083333336</v>
      </c>
      <c r="B412">
        <v>21</v>
      </c>
      <c r="C412">
        <v>46.5</v>
      </c>
    </row>
    <row r="413" spans="1:3">
      <c r="A413" s="190">
        <v>43060.430555555555</v>
      </c>
      <c r="B413">
        <v>21</v>
      </c>
      <c r="C413">
        <v>46.4</v>
      </c>
    </row>
    <row r="414" spans="1:3">
      <c r="A414" s="190">
        <v>43060.434027777781</v>
      </c>
      <c r="B414">
        <v>21</v>
      </c>
      <c r="C414">
        <v>46.5</v>
      </c>
    </row>
    <row r="415" spans="1:3">
      <c r="A415" s="190">
        <v>43060.4375</v>
      </c>
      <c r="B415">
        <v>21.1</v>
      </c>
      <c r="C415">
        <v>46.4</v>
      </c>
    </row>
    <row r="416" spans="1:3">
      <c r="A416" s="190">
        <v>43060.440972222219</v>
      </c>
      <c r="B416">
        <v>21</v>
      </c>
      <c r="C416">
        <v>46.6</v>
      </c>
    </row>
    <row r="417" spans="1:3">
      <c r="A417" s="190">
        <v>43060.444444444445</v>
      </c>
      <c r="B417">
        <v>21.1</v>
      </c>
      <c r="C417">
        <v>46.6</v>
      </c>
    </row>
    <row r="418" spans="1:3">
      <c r="A418" s="190">
        <v>43060.447916666664</v>
      </c>
      <c r="B418">
        <v>21.1</v>
      </c>
      <c r="C418">
        <v>46.6</v>
      </c>
    </row>
    <row r="419" spans="1:3">
      <c r="A419" s="190">
        <v>43060.451388888891</v>
      </c>
      <c r="B419">
        <v>21.1</v>
      </c>
      <c r="C419">
        <v>46.7</v>
      </c>
    </row>
    <row r="420" spans="1:3">
      <c r="A420" s="190">
        <v>43060.454861111109</v>
      </c>
      <c r="B420">
        <v>21</v>
      </c>
      <c r="C420">
        <v>46.9</v>
      </c>
    </row>
    <row r="421" spans="1:3">
      <c r="A421" s="190">
        <v>43060.458333333336</v>
      </c>
      <c r="B421">
        <v>21.1</v>
      </c>
      <c r="C421">
        <v>46.8</v>
      </c>
    </row>
    <row r="422" spans="1:3">
      <c r="A422" s="190">
        <v>43060.461805555555</v>
      </c>
      <c r="B422">
        <v>21.1</v>
      </c>
      <c r="C422">
        <v>46.9</v>
      </c>
    </row>
    <row r="423" spans="1:3">
      <c r="A423" s="190">
        <v>43060.465277777781</v>
      </c>
      <c r="B423">
        <v>21</v>
      </c>
      <c r="C423">
        <v>47</v>
      </c>
    </row>
    <row r="424" spans="1:3">
      <c r="A424" s="190">
        <v>43060.46875</v>
      </c>
      <c r="B424">
        <v>21</v>
      </c>
      <c r="C424">
        <v>47.1</v>
      </c>
    </row>
    <row r="425" spans="1:3">
      <c r="A425" s="190">
        <v>43060.472222222219</v>
      </c>
      <c r="B425">
        <v>21</v>
      </c>
      <c r="C425">
        <v>47.1</v>
      </c>
    </row>
    <row r="426" spans="1:3">
      <c r="A426" s="190">
        <v>43060.475694444445</v>
      </c>
      <c r="B426">
        <v>21.1</v>
      </c>
      <c r="C426">
        <v>47.1</v>
      </c>
    </row>
    <row r="427" spans="1:3">
      <c r="A427" s="190">
        <v>43060.479166666664</v>
      </c>
      <c r="B427">
        <v>21</v>
      </c>
      <c r="C427">
        <v>47.3</v>
      </c>
    </row>
    <row r="428" spans="1:3">
      <c r="A428" s="190">
        <v>43060.482638888891</v>
      </c>
      <c r="B428">
        <v>21</v>
      </c>
      <c r="C428">
        <v>47.3</v>
      </c>
    </row>
    <row r="429" spans="1:3">
      <c r="A429" s="190">
        <v>43060.486111111109</v>
      </c>
      <c r="B429">
        <v>21</v>
      </c>
      <c r="C429">
        <v>47.4</v>
      </c>
    </row>
    <row r="430" spans="1:3">
      <c r="A430" s="190">
        <v>43060.489583333336</v>
      </c>
      <c r="B430">
        <v>21</v>
      </c>
      <c r="C430">
        <v>47.5</v>
      </c>
    </row>
    <row r="431" spans="1:3">
      <c r="A431" s="190">
        <v>43060.493055555555</v>
      </c>
      <c r="B431">
        <v>21</v>
      </c>
      <c r="C431">
        <v>47.3</v>
      </c>
    </row>
    <row r="432" spans="1:3">
      <c r="A432" s="190">
        <v>43060.496527777781</v>
      </c>
      <c r="B432">
        <v>21.1</v>
      </c>
      <c r="C432">
        <v>47.4</v>
      </c>
    </row>
    <row r="433" spans="1:3">
      <c r="A433" s="190">
        <v>43060.5</v>
      </c>
      <c r="B433">
        <v>21.1</v>
      </c>
      <c r="C433">
        <v>47.4</v>
      </c>
    </row>
    <row r="434" spans="1:3">
      <c r="A434" s="190">
        <v>43060.503472222219</v>
      </c>
      <c r="B434">
        <v>21</v>
      </c>
      <c r="C434">
        <v>47.5</v>
      </c>
    </row>
    <row r="435" spans="1:3">
      <c r="A435" s="190">
        <v>43060.506944444445</v>
      </c>
      <c r="B435">
        <v>21</v>
      </c>
      <c r="C435">
        <v>47.6</v>
      </c>
    </row>
    <row r="436" spans="1:3">
      <c r="A436" s="190">
        <v>43060.510416666664</v>
      </c>
      <c r="B436">
        <v>21</v>
      </c>
      <c r="C436">
        <v>47.6</v>
      </c>
    </row>
    <row r="437" spans="1:3">
      <c r="A437" s="190">
        <v>43060.513888888891</v>
      </c>
      <c r="B437">
        <v>21</v>
      </c>
      <c r="C437">
        <v>47.7</v>
      </c>
    </row>
    <row r="438" spans="1:3">
      <c r="A438" s="190">
        <v>43060.517361111109</v>
      </c>
      <c r="B438">
        <v>21</v>
      </c>
      <c r="C438">
        <v>47.6</v>
      </c>
    </row>
    <row r="439" spans="1:3">
      <c r="A439" s="190">
        <v>43060.520833333336</v>
      </c>
      <c r="B439">
        <v>21</v>
      </c>
      <c r="C439">
        <v>47.6</v>
      </c>
    </row>
    <row r="440" spans="1:3">
      <c r="A440" s="190">
        <v>43060.524305555555</v>
      </c>
      <c r="B440">
        <v>21.1</v>
      </c>
      <c r="C440">
        <v>47.6</v>
      </c>
    </row>
    <row r="441" spans="1:3">
      <c r="A441" s="190">
        <v>43060.527777777781</v>
      </c>
      <c r="B441">
        <v>21.1</v>
      </c>
      <c r="C441">
        <v>47.7</v>
      </c>
    </row>
    <row r="442" spans="1:3">
      <c r="A442" s="190">
        <v>43060.53125</v>
      </c>
      <c r="B442">
        <v>21.1</v>
      </c>
      <c r="C442">
        <v>47.6</v>
      </c>
    </row>
    <row r="443" spans="1:3">
      <c r="A443" s="190">
        <v>43060.534722222219</v>
      </c>
      <c r="B443">
        <v>21.1</v>
      </c>
      <c r="C443">
        <v>47.7</v>
      </c>
    </row>
    <row r="444" spans="1:3">
      <c r="A444" s="190">
        <v>43060.538194444445</v>
      </c>
      <c r="B444">
        <v>21.1</v>
      </c>
      <c r="C444">
        <v>47.7</v>
      </c>
    </row>
    <row r="445" spans="1:3">
      <c r="A445" s="190">
        <v>43060.541666666664</v>
      </c>
      <c r="B445">
        <v>21.1</v>
      </c>
      <c r="C445">
        <v>47.8</v>
      </c>
    </row>
    <row r="446" spans="1:3">
      <c r="A446" s="190">
        <v>43060.545138888891</v>
      </c>
      <c r="B446">
        <v>21.1</v>
      </c>
      <c r="C446">
        <v>47.8</v>
      </c>
    </row>
    <row r="447" spans="1:3">
      <c r="A447" s="190">
        <v>43060.548611111109</v>
      </c>
      <c r="B447">
        <v>21</v>
      </c>
      <c r="C447">
        <v>47.8</v>
      </c>
    </row>
    <row r="448" spans="1:3">
      <c r="A448" s="190">
        <v>43060.552083333336</v>
      </c>
      <c r="B448">
        <v>21</v>
      </c>
      <c r="C448">
        <v>47.9</v>
      </c>
    </row>
    <row r="449" spans="1:3">
      <c r="A449" s="190">
        <v>43060.555555555555</v>
      </c>
      <c r="B449">
        <v>21</v>
      </c>
      <c r="C449">
        <v>47.9</v>
      </c>
    </row>
    <row r="450" spans="1:3">
      <c r="A450" s="190">
        <v>43060.559027777781</v>
      </c>
      <c r="B450">
        <v>21</v>
      </c>
      <c r="C450">
        <v>48</v>
      </c>
    </row>
    <row r="451" spans="1:3">
      <c r="A451" s="190">
        <v>43060.5625</v>
      </c>
      <c r="B451">
        <v>21</v>
      </c>
      <c r="C451">
        <v>48</v>
      </c>
    </row>
    <row r="452" spans="1:3">
      <c r="A452" s="190">
        <v>43060.565972222219</v>
      </c>
      <c r="B452">
        <v>21</v>
      </c>
      <c r="C452">
        <v>48.2</v>
      </c>
    </row>
    <row r="453" spans="1:3">
      <c r="A453" s="190">
        <v>43060.569444444445</v>
      </c>
      <c r="B453">
        <v>21</v>
      </c>
      <c r="C453">
        <v>48.1</v>
      </c>
    </row>
    <row r="454" spans="1:3">
      <c r="A454" s="190">
        <v>43060.572916666664</v>
      </c>
      <c r="B454">
        <v>21</v>
      </c>
      <c r="C454">
        <v>48.2</v>
      </c>
    </row>
    <row r="455" spans="1:3">
      <c r="A455" s="190">
        <v>43060.576388888891</v>
      </c>
      <c r="B455">
        <v>21</v>
      </c>
      <c r="C455">
        <v>48.3</v>
      </c>
    </row>
    <row r="456" spans="1:3">
      <c r="A456" s="190">
        <v>43060.579861111109</v>
      </c>
      <c r="B456">
        <v>21</v>
      </c>
      <c r="C456">
        <v>48.5</v>
      </c>
    </row>
    <row r="457" spans="1:3">
      <c r="A457" s="190">
        <v>43060.583333333336</v>
      </c>
      <c r="B457">
        <v>21</v>
      </c>
      <c r="C457">
        <v>48.7</v>
      </c>
    </row>
    <row r="458" spans="1:3">
      <c r="A458" s="190">
        <v>43060.586805555555</v>
      </c>
      <c r="B458">
        <v>20.9</v>
      </c>
      <c r="C458">
        <v>49</v>
      </c>
    </row>
    <row r="459" spans="1:3">
      <c r="A459" s="190">
        <v>43060.590277777781</v>
      </c>
      <c r="B459">
        <v>20.9</v>
      </c>
      <c r="C459">
        <v>49.2</v>
      </c>
    </row>
    <row r="460" spans="1:3">
      <c r="A460" s="190">
        <v>43060.59375</v>
      </c>
      <c r="B460">
        <v>20.9</v>
      </c>
      <c r="C460">
        <v>49.4</v>
      </c>
    </row>
    <row r="461" spans="1:3">
      <c r="A461" s="190">
        <v>43060.597222222219</v>
      </c>
      <c r="B461">
        <v>21</v>
      </c>
      <c r="C461">
        <v>49.2</v>
      </c>
    </row>
    <row r="462" spans="1:3">
      <c r="A462" s="190">
        <v>43060.600694444445</v>
      </c>
      <c r="B462">
        <v>21</v>
      </c>
      <c r="C462">
        <v>49.3</v>
      </c>
    </row>
    <row r="463" spans="1:3">
      <c r="A463" s="190">
        <v>43060.604166666664</v>
      </c>
      <c r="B463">
        <v>20.9</v>
      </c>
      <c r="C463">
        <v>49.5</v>
      </c>
    </row>
    <row r="464" spans="1:3">
      <c r="A464" s="190">
        <v>43060.607638888891</v>
      </c>
      <c r="B464">
        <v>20.9</v>
      </c>
      <c r="C464">
        <v>49.8</v>
      </c>
    </row>
    <row r="465" spans="1:3">
      <c r="A465" s="190">
        <v>43060.611111111109</v>
      </c>
      <c r="B465">
        <v>20.9</v>
      </c>
      <c r="C465">
        <v>49.8</v>
      </c>
    </row>
    <row r="466" spans="1:3">
      <c r="A466" s="190">
        <v>43060.614583333336</v>
      </c>
      <c r="B466">
        <v>20.9</v>
      </c>
      <c r="C466">
        <v>49.8</v>
      </c>
    </row>
    <row r="467" spans="1:3">
      <c r="A467" s="190">
        <v>43060.618055555555</v>
      </c>
      <c r="B467">
        <v>20.9</v>
      </c>
      <c r="C467">
        <v>49.8</v>
      </c>
    </row>
    <row r="468" spans="1:3">
      <c r="A468" s="190">
        <v>43060.621527777781</v>
      </c>
      <c r="B468">
        <v>21</v>
      </c>
      <c r="C468">
        <v>49.7</v>
      </c>
    </row>
    <row r="469" spans="1:3">
      <c r="A469" s="190">
        <v>43060.625</v>
      </c>
      <c r="B469">
        <v>20.9</v>
      </c>
      <c r="C469">
        <v>49.7</v>
      </c>
    </row>
    <row r="470" spans="1:3">
      <c r="A470" s="190">
        <v>43060.628472222219</v>
      </c>
      <c r="B470">
        <v>20.9</v>
      </c>
      <c r="C470">
        <v>49.9</v>
      </c>
    </row>
    <row r="471" spans="1:3">
      <c r="A471" s="190">
        <v>43060.631944444445</v>
      </c>
      <c r="B471">
        <v>21</v>
      </c>
      <c r="C471">
        <v>49.8</v>
      </c>
    </row>
    <row r="472" spans="1:3">
      <c r="A472" s="190">
        <v>43060.635416666664</v>
      </c>
      <c r="B472">
        <v>20.9</v>
      </c>
      <c r="C472">
        <v>49.9</v>
      </c>
    </row>
    <row r="473" spans="1:3">
      <c r="A473" s="190">
        <v>43060.638888888891</v>
      </c>
      <c r="B473">
        <v>21</v>
      </c>
      <c r="C473">
        <v>50</v>
      </c>
    </row>
    <row r="474" spans="1:3">
      <c r="A474" s="190">
        <v>43060.642361111109</v>
      </c>
      <c r="B474">
        <v>21</v>
      </c>
      <c r="C474">
        <v>49.9</v>
      </c>
    </row>
    <row r="475" spans="1:3">
      <c r="A475" s="190">
        <v>43060.645833333336</v>
      </c>
      <c r="B475">
        <v>21</v>
      </c>
      <c r="C475">
        <v>49.9</v>
      </c>
    </row>
    <row r="476" spans="1:3">
      <c r="A476" s="190">
        <v>43060.649305555555</v>
      </c>
      <c r="B476">
        <v>20.9</v>
      </c>
      <c r="C476">
        <v>50.1</v>
      </c>
    </row>
    <row r="477" spans="1:3">
      <c r="A477" s="190">
        <v>43060.652777777781</v>
      </c>
      <c r="B477">
        <v>20.9</v>
      </c>
      <c r="C477">
        <v>50.1</v>
      </c>
    </row>
    <row r="478" spans="1:3">
      <c r="A478" s="190">
        <v>43060.65625</v>
      </c>
      <c r="B478">
        <v>20.9</v>
      </c>
      <c r="C478">
        <v>50.1</v>
      </c>
    </row>
    <row r="479" spans="1:3">
      <c r="A479" s="190">
        <v>43060.659722222219</v>
      </c>
      <c r="B479">
        <v>20.9</v>
      </c>
      <c r="C479">
        <v>50.3</v>
      </c>
    </row>
    <row r="480" spans="1:3">
      <c r="A480" s="190">
        <v>43060.663194444445</v>
      </c>
      <c r="B480">
        <v>20.9</v>
      </c>
      <c r="C480">
        <v>50.2</v>
      </c>
    </row>
    <row r="481" spans="1:3">
      <c r="A481" s="190">
        <v>43060.666666666664</v>
      </c>
      <c r="B481">
        <v>20.9</v>
      </c>
      <c r="C481">
        <v>50.2</v>
      </c>
    </row>
    <row r="482" spans="1:3">
      <c r="A482" s="190">
        <v>43060.670138888891</v>
      </c>
      <c r="B482">
        <v>20.9</v>
      </c>
      <c r="C482">
        <v>50.2</v>
      </c>
    </row>
    <row r="483" spans="1:3">
      <c r="A483" s="190">
        <v>43060.673611111109</v>
      </c>
      <c r="B483">
        <v>20.9</v>
      </c>
      <c r="C483">
        <v>50.3</v>
      </c>
    </row>
    <row r="484" spans="1:3">
      <c r="A484" s="190">
        <v>43060.677083333336</v>
      </c>
      <c r="B484">
        <v>20.9</v>
      </c>
      <c r="C484">
        <v>50.2</v>
      </c>
    </row>
    <row r="485" spans="1:3">
      <c r="A485" s="190">
        <v>43060.680555555555</v>
      </c>
      <c r="B485">
        <v>20.9</v>
      </c>
      <c r="C485">
        <v>50.4</v>
      </c>
    </row>
    <row r="486" spans="1:3">
      <c r="A486" s="190">
        <v>43060.684027777781</v>
      </c>
      <c r="B486">
        <v>20.9</v>
      </c>
      <c r="C486">
        <v>50.4</v>
      </c>
    </row>
    <row r="487" spans="1:3">
      <c r="A487" s="190">
        <v>43060.6875</v>
      </c>
      <c r="B487">
        <v>20.9</v>
      </c>
      <c r="C487">
        <v>50.4</v>
      </c>
    </row>
    <row r="488" spans="1:3">
      <c r="A488" s="190">
        <v>43060.690972222219</v>
      </c>
      <c r="B488">
        <v>20.9</v>
      </c>
      <c r="C488">
        <v>50.4</v>
      </c>
    </row>
    <row r="489" spans="1:3">
      <c r="A489" s="190">
        <v>43060.694444444445</v>
      </c>
      <c r="B489">
        <v>20.9</v>
      </c>
      <c r="C489">
        <v>50.4</v>
      </c>
    </row>
    <row r="490" spans="1:3">
      <c r="A490" s="190">
        <v>43060.697916666664</v>
      </c>
      <c r="B490">
        <v>20.9</v>
      </c>
      <c r="C490">
        <v>50.5</v>
      </c>
    </row>
    <row r="491" spans="1:3">
      <c r="A491" s="190">
        <v>43060.701388888891</v>
      </c>
      <c r="B491">
        <v>20.9</v>
      </c>
      <c r="C491">
        <v>50.4</v>
      </c>
    </row>
    <row r="492" spans="1:3">
      <c r="A492" s="190">
        <v>43060.704861111109</v>
      </c>
      <c r="B492">
        <v>20.9</v>
      </c>
      <c r="C492">
        <v>50.4</v>
      </c>
    </row>
    <row r="493" spans="1:3">
      <c r="A493" s="190">
        <v>43060.708333333336</v>
      </c>
      <c r="B493">
        <v>20.9</v>
      </c>
      <c r="C493">
        <v>50.4</v>
      </c>
    </row>
    <row r="494" spans="1:3">
      <c r="A494" s="190">
        <v>43060.711805555555</v>
      </c>
      <c r="B494">
        <v>20.9</v>
      </c>
      <c r="C494">
        <v>50.3</v>
      </c>
    </row>
    <row r="495" spans="1:3">
      <c r="A495" s="190">
        <v>43060.715277777781</v>
      </c>
      <c r="B495">
        <v>21</v>
      </c>
      <c r="C495">
        <v>50.2</v>
      </c>
    </row>
    <row r="496" spans="1:3">
      <c r="A496" s="190">
        <v>43060.71875</v>
      </c>
      <c r="B496">
        <v>20.9</v>
      </c>
      <c r="C496">
        <v>50.3</v>
      </c>
    </row>
    <row r="497" spans="1:3">
      <c r="A497" s="190">
        <v>43060.722222222219</v>
      </c>
      <c r="B497">
        <v>20.9</v>
      </c>
      <c r="C497">
        <v>50.3</v>
      </c>
    </row>
    <row r="498" spans="1:3">
      <c r="A498" s="190">
        <v>43060.725694444445</v>
      </c>
      <c r="B498">
        <v>20.9</v>
      </c>
      <c r="C498">
        <v>50.2</v>
      </c>
    </row>
    <row r="499" spans="1:3">
      <c r="A499" s="190">
        <v>43060.729166666664</v>
      </c>
      <c r="B499">
        <v>20.9</v>
      </c>
      <c r="C499">
        <v>50.2</v>
      </c>
    </row>
    <row r="500" spans="1:3">
      <c r="A500" s="190">
        <v>43060.732638888891</v>
      </c>
      <c r="B500">
        <v>20.9</v>
      </c>
      <c r="C500">
        <v>50.2</v>
      </c>
    </row>
    <row r="501" spans="1:3">
      <c r="A501" s="190">
        <v>43060.736111111109</v>
      </c>
      <c r="B501">
        <v>20.9</v>
      </c>
      <c r="C501">
        <v>50.3</v>
      </c>
    </row>
    <row r="502" spans="1:3">
      <c r="A502" s="190">
        <v>43060.739583333336</v>
      </c>
      <c r="B502">
        <v>20.9</v>
      </c>
      <c r="C502">
        <v>50.1</v>
      </c>
    </row>
    <row r="503" spans="1:3">
      <c r="A503" s="190">
        <v>43060.743055555555</v>
      </c>
      <c r="B503">
        <v>20.9</v>
      </c>
      <c r="C503">
        <v>50.1</v>
      </c>
    </row>
    <row r="504" spans="1:3">
      <c r="A504" s="190">
        <v>43060.746527777781</v>
      </c>
      <c r="B504">
        <v>20.9</v>
      </c>
      <c r="C504">
        <v>50.1</v>
      </c>
    </row>
    <row r="505" spans="1:3">
      <c r="A505" s="190">
        <v>43060.75</v>
      </c>
      <c r="B505">
        <v>20.9</v>
      </c>
      <c r="C505">
        <v>50.3</v>
      </c>
    </row>
    <row r="506" spans="1:3">
      <c r="A506" s="190">
        <v>43060.753472222219</v>
      </c>
      <c r="B506">
        <v>21</v>
      </c>
      <c r="C506">
        <v>50.2</v>
      </c>
    </row>
    <row r="507" spans="1:3">
      <c r="A507" s="190">
        <v>43060.756944444445</v>
      </c>
      <c r="B507">
        <v>20.9</v>
      </c>
      <c r="C507">
        <v>50.3</v>
      </c>
    </row>
    <row r="508" spans="1:3">
      <c r="A508" s="190">
        <v>43060.760416666664</v>
      </c>
      <c r="B508">
        <v>20.9</v>
      </c>
      <c r="C508">
        <v>50.4</v>
      </c>
    </row>
    <row r="509" spans="1:3">
      <c r="A509" s="190">
        <v>43060.763888888891</v>
      </c>
      <c r="B509">
        <v>20.9</v>
      </c>
      <c r="C509">
        <v>50.4</v>
      </c>
    </row>
    <row r="510" spans="1:3">
      <c r="A510" s="190">
        <v>43060.767361111109</v>
      </c>
      <c r="B510">
        <v>21</v>
      </c>
      <c r="C510">
        <v>50.3</v>
      </c>
    </row>
    <row r="511" spans="1:3">
      <c r="A511" s="190">
        <v>43060.770833333336</v>
      </c>
      <c r="B511">
        <v>20.9</v>
      </c>
      <c r="C511">
        <v>50.3</v>
      </c>
    </row>
    <row r="512" spans="1:3">
      <c r="A512" s="190">
        <v>43060.774305555555</v>
      </c>
      <c r="B512">
        <v>21</v>
      </c>
      <c r="C512">
        <v>50.2</v>
      </c>
    </row>
    <row r="513" spans="1:3">
      <c r="A513" s="190">
        <v>43060.777777777781</v>
      </c>
      <c r="B513">
        <v>21</v>
      </c>
      <c r="C513">
        <v>50.1</v>
      </c>
    </row>
    <row r="514" spans="1:3">
      <c r="A514" s="190">
        <v>43060.78125</v>
      </c>
      <c r="B514">
        <v>20.9</v>
      </c>
      <c r="C514">
        <v>50.3</v>
      </c>
    </row>
    <row r="515" spans="1:3">
      <c r="A515" s="190">
        <v>43060.784722222219</v>
      </c>
      <c r="B515">
        <v>21</v>
      </c>
      <c r="C515">
        <v>50.2</v>
      </c>
    </row>
    <row r="516" spans="1:3">
      <c r="A516" s="190">
        <v>43060.788194444445</v>
      </c>
      <c r="B516">
        <v>20.9</v>
      </c>
      <c r="C516">
        <v>50.2</v>
      </c>
    </row>
    <row r="517" spans="1:3">
      <c r="A517" s="190">
        <v>43060.791666666664</v>
      </c>
      <c r="B517">
        <v>20.9</v>
      </c>
      <c r="C517">
        <v>50.2</v>
      </c>
    </row>
    <row r="518" spans="1:3">
      <c r="A518" s="190">
        <v>43060.795138888891</v>
      </c>
      <c r="B518">
        <v>21</v>
      </c>
      <c r="C518">
        <v>50</v>
      </c>
    </row>
    <row r="519" spans="1:3">
      <c r="A519" s="190">
        <v>43060.798611111109</v>
      </c>
      <c r="B519">
        <v>21</v>
      </c>
      <c r="C519">
        <v>50</v>
      </c>
    </row>
    <row r="520" spans="1:3">
      <c r="A520" s="190">
        <v>43060.802083333336</v>
      </c>
      <c r="B520">
        <v>21</v>
      </c>
      <c r="C520">
        <v>50</v>
      </c>
    </row>
    <row r="521" spans="1:3">
      <c r="A521" s="190">
        <v>43060.805555555555</v>
      </c>
      <c r="B521">
        <v>20.9</v>
      </c>
      <c r="C521">
        <v>50.1</v>
      </c>
    </row>
    <row r="522" spans="1:3">
      <c r="A522" s="190">
        <v>43060.809027777781</v>
      </c>
      <c r="B522">
        <v>21</v>
      </c>
      <c r="C522">
        <v>50</v>
      </c>
    </row>
    <row r="523" spans="1:3">
      <c r="A523" s="190">
        <v>43060.8125</v>
      </c>
      <c r="B523">
        <v>21</v>
      </c>
      <c r="C523">
        <v>50.1</v>
      </c>
    </row>
    <row r="524" spans="1:3">
      <c r="A524" s="190">
        <v>43060.815972222219</v>
      </c>
      <c r="B524">
        <v>21</v>
      </c>
      <c r="C524">
        <v>50</v>
      </c>
    </row>
    <row r="525" spans="1:3">
      <c r="A525" s="190">
        <v>43060.819444444445</v>
      </c>
      <c r="B525">
        <v>21</v>
      </c>
      <c r="C525">
        <v>49.8</v>
      </c>
    </row>
    <row r="526" spans="1:3">
      <c r="A526" s="190">
        <v>43060.822916666664</v>
      </c>
      <c r="B526">
        <v>21</v>
      </c>
      <c r="C526">
        <v>49.7</v>
      </c>
    </row>
    <row r="527" spans="1:3">
      <c r="A527" s="190">
        <v>43060.826388888891</v>
      </c>
      <c r="B527">
        <v>21</v>
      </c>
      <c r="C527">
        <v>49.7</v>
      </c>
    </row>
    <row r="528" spans="1:3">
      <c r="A528" s="190">
        <v>43060.829861111109</v>
      </c>
      <c r="B528">
        <v>21</v>
      </c>
      <c r="C528">
        <v>49.6</v>
      </c>
    </row>
    <row r="529" spans="1:3">
      <c r="A529" s="190">
        <v>43060.833333333336</v>
      </c>
      <c r="B529">
        <v>21</v>
      </c>
      <c r="C529">
        <v>49.5</v>
      </c>
    </row>
    <row r="530" spans="1:3">
      <c r="A530" s="190">
        <v>43060.836805555555</v>
      </c>
      <c r="B530">
        <v>21</v>
      </c>
      <c r="C530">
        <v>49.6</v>
      </c>
    </row>
    <row r="531" spans="1:3">
      <c r="A531" s="190">
        <v>43060.840277777781</v>
      </c>
      <c r="B531">
        <v>21</v>
      </c>
      <c r="C531">
        <v>49.4</v>
      </c>
    </row>
    <row r="532" spans="1:3">
      <c r="A532" s="190">
        <v>43060.84375</v>
      </c>
      <c r="B532">
        <v>21</v>
      </c>
      <c r="C532">
        <v>49.4</v>
      </c>
    </row>
    <row r="533" spans="1:3">
      <c r="A533" s="190">
        <v>43060.847222222219</v>
      </c>
      <c r="B533">
        <v>21</v>
      </c>
      <c r="C533">
        <v>49.4</v>
      </c>
    </row>
    <row r="534" spans="1:3">
      <c r="A534" s="190">
        <v>43060.850694444445</v>
      </c>
      <c r="B534">
        <v>21</v>
      </c>
      <c r="C534">
        <v>49.4</v>
      </c>
    </row>
    <row r="535" spans="1:3">
      <c r="A535" s="190">
        <v>43060.854166666664</v>
      </c>
      <c r="B535">
        <v>20.9</v>
      </c>
      <c r="C535">
        <v>49.4</v>
      </c>
    </row>
    <row r="536" spans="1:3">
      <c r="A536" s="190">
        <v>43060.857638888891</v>
      </c>
      <c r="B536">
        <v>21</v>
      </c>
      <c r="C536">
        <v>49.2</v>
      </c>
    </row>
    <row r="537" spans="1:3">
      <c r="A537" s="190">
        <v>43060.861111111109</v>
      </c>
      <c r="B537">
        <v>21</v>
      </c>
      <c r="C537">
        <v>49.3</v>
      </c>
    </row>
    <row r="538" spans="1:3">
      <c r="A538" s="190">
        <v>43060.864583333336</v>
      </c>
      <c r="B538">
        <v>20.9</v>
      </c>
      <c r="C538">
        <v>49.4</v>
      </c>
    </row>
    <row r="539" spans="1:3">
      <c r="A539" s="190">
        <v>43060.868055555555</v>
      </c>
      <c r="B539">
        <v>21</v>
      </c>
      <c r="C539">
        <v>49.3</v>
      </c>
    </row>
    <row r="540" spans="1:3">
      <c r="A540" s="190">
        <v>43060.871527777781</v>
      </c>
      <c r="B540">
        <v>21</v>
      </c>
      <c r="C540">
        <v>49.3</v>
      </c>
    </row>
    <row r="541" spans="1:3">
      <c r="A541" s="190">
        <v>43060.875</v>
      </c>
      <c r="B541">
        <v>21</v>
      </c>
      <c r="C541">
        <v>49.3</v>
      </c>
    </row>
    <row r="542" spans="1:3">
      <c r="A542" s="190">
        <v>43060.878472222219</v>
      </c>
      <c r="B542">
        <v>21</v>
      </c>
      <c r="C542">
        <v>49.3</v>
      </c>
    </row>
    <row r="543" spans="1:3">
      <c r="A543" s="190">
        <v>43060.881944444445</v>
      </c>
      <c r="B543">
        <v>21</v>
      </c>
      <c r="C543">
        <v>49.4</v>
      </c>
    </row>
    <row r="544" spans="1:3">
      <c r="A544" s="190">
        <v>43060.885416666664</v>
      </c>
      <c r="B544">
        <v>21</v>
      </c>
      <c r="C544">
        <v>49.4</v>
      </c>
    </row>
    <row r="545" spans="1:3">
      <c r="A545" s="190">
        <v>43060.888888888891</v>
      </c>
      <c r="B545">
        <v>21</v>
      </c>
      <c r="C545">
        <v>49.4</v>
      </c>
    </row>
    <row r="546" spans="1:3">
      <c r="A546" s="190">
        <v>43060.892361111109</v>
      </c>
      <c r="B546">
        <v>20.9</v>
      </c>
      <c r="C546">
        <v>49.5</v>
      </c>
    </row>
    <row r="547" spans="1:3">
      <c r="A547" s="190">
        <v>43060.895833333336</v>
      </c>
      <c r="B547">
        <v>20.9</v>
      </c>
      <c r="C547">
        <v>49.5</v>
      </c>
    </row>
    <row r="548" spans="1:3">
      <c r="A548" s="190">
        <v>43060.899305555555</v>
      </c>
      <c r="B548">
        <v>21</v>
      </c>
      <c r="C548">
        <v>49.4</v>
      </c>
    </row>
    <row r="549" spans="1:3">
      <c r="A549" s="190">
        <v>43060.902777777781</v>
      </c>
      <c r="B549">
        <v>21</v>
      </c>
      <c r="C549">
        <v>49.4</v>
      </c>
    </row>
    <row r="550" spans="1:3">
      <c r="A550" s="190">
        <v>43060.90625</v>
      </c>
      <c r="B550">
        <v>21</v>
      </c>
      <c r="C550">
        <v>49.4</v>
      </c>
    </row>
    <row r="551" spans="1:3">
      <c r="A551" s="190">
        <v>43060.909722222219</v>
      </c>
      <c r="B551">
        <v>21</v>
      </c>
      <c r="C551">
        <v>49.4</v>
      </c>
    </row>
    <row r="552" spans="1:3">
      <c r="A552" s="190">
        <v>43060.913194444445</v>
      </c>
      <c r="B552">
        <v>20.9</v>
      </c>
      <c r="C552">
        <v>49.5</v>
      </c>
    </row>
    <row r="553" spans="1:3">
      <c r="A553" s="190">
        <v>43060.916666666664</v>
      </c>
      <c r="B553">
        <v>21</v>
      </c>
      <c r="C553">
        <v>49.4</v>
      </c>
    </row>
    <row r="554" spans="1:3">
      <c r="A554" s="190">
        <v>43060.920138888891</v>
      </c>
      <c r="B554">
        <v>21</v>
      </c>
      <c r="C554">
        <v>49.3</v>
      </c>
    </row>
    <row r="555" spans="1:3">
      <c r="A555" s="190">
        <v>43060.923611111109</v>
      </c>
      <c r="B555">
        <v>21</v>
      </c>
      <c r="C555">
        <v>49.4</v>
      </c>
    </row>
    <row r="556" spans="1:3">
      <c r="A556" s="190">
        <v>43060.927083333336</v>
      </c>
      <c r="B556">
        <v>21</v>
      </c>
      <c r="C556">
        <v>49.4</v>
      </c>
    </row>
    <row r="557" spans="1:3">
      <c r="A557" s="190">
        <v>43060.930555555555</v>
      </c>
      <c r="B557">
        <v>21</v>
      </c>
      <c r="C557">
        <v>49.4</v>
      </c>
    </row>
    <row r="558" spans="1:3">
      <c r="A558" s="190">
        <v>43060.934027777781</v>
      </c>
      <c r="B558">
        <v>21</v>
      </c>
      <c r="C558">
        <v>49.3</v>
      </c>
    </row>
    <row r="559" spans="1:3">
      <c r="A559" s="190">
        <v>43060.9375</v>
      </c>
      <c r="B559">
        <v>21</v>
      </c>
      <c r="C559">
        <v>49.4</v>
      </c>
    </row>
    <row r="560" spans="1:3">
      <c r="A560" s="190">
        <v>43060.940972222219</v>
      </c>
      <c r="B560">
        <v>21</v>
      </c>
      <c r="C560">
        <v>49.4</v>
      </c>
    </row>
    <row r="561" spans="1:3">
      <c r="A561" s="190">
        <v>43060.944444444445</v>
      </c>
      <c r="B561">
        <v>21</v>
      </c>
      <c r="C561">
        <v>49.3</v>
      </c>
    </row>
    <row r="562" spans="1:3">
      <c r="A562" s="190">
        <v>43060.947916666664</v>
      </c>
      <c r="B562">
        <v>21</v>
      </c>
      <c r="C562">
        <v>49.4</v>
      </c>
    </row>
    <row r="563" spans="1:3">
      <c r="A563" s="190">
        <v>43060.951388888891</v>
      </c>
      <c r="B563">
        <v>21</v>
      </c>
      <c r="C563">
        <v>49.4</v>
      </c>
    </row>
    <row r="564" spans="1:3">
      <c r="A564" s="190">
        <v>43060.954861111109</v>
      </c>
      <c r="B564">
        <v>21</v>
      </c>
      <c r="C564">
        <v>49.4</v>
      </c>
    </row>
    <row r="565" spans="1:3">
      <c r="A565" s="190">
        <v>43060.958333333336</v>
      </c>
      <c r="B565">
        <v>21</v>
      </c>
      <c r="C565">
        <v>49.3</v>
      </c>
    </row>
    <row r="566" spans="1:3">
      <c r="A566" s="190">
        <v>43060.961805555555</v>
      </c>
      <c r="B566">
        <v>21</v>
      </c>
      <c r="C566">
        <v>49.4</v>
      </c>
    </row>
    <row r="567" spans="1:3">
      <c r="A567" s="190">
        <v>43060.965277777781</v>
      </c>
      <c r="B567">
        <v>20.9</v>
      </c>
      <c r="C567">
        <v>49.5</v>
      </c>
    </row>
    <row r="568" spans="1:3">
      <c r="A568" s="190">
        <v>43060.96875</v>
      </c>
      <c r="B568">
        <v>20.9</v>
      </c>
      <c r="C568">
        <v>49.5</v>
      </c>
    </row>
    <row r="569" spans="1:3">
      <c r="A569" s="190">
        <v>43060.972222222219</v>
      </c>
      <c r="B569">
        <v>20.9</v>
      </c>
      <c r="C569">
        <v>49.5</v>
      </c>
    </row>
    <row r="570" spans="1:3">
      <c r="A570" s="190">
        <v>43060.975694444445</v>
      </c>
      <c r="B570">
        <v>20.9</v>
      </c>
      <c r="C570">
        <v>49.5</v>
      </c>
    </row>
    <row r="571" spans="1:3">
      <c r="A571" s="190">
        <v>43060.979166666664</v>
      </c>
      <c r="B571">
        <v>21</v>
      </c>
      <c r="C571">
        <v>49.4</v>
      </c>
    </row>
    <row r="572" spans="1:3">
      <c r="A572" s="190">
        <v>43060.982638888891</v>
      </c>
      <c r="B572">
        <v>21</v>
      </c>
      <c r="C572">
        <v>49.4</v>
      </c>
    </row>
    <row r="573" spans="1:3">
      <c r="A573" s="190">
        <v>43060.986111111109</v>
      </c>
      <c r="B573">
        <v>21</v>
      </c>
      <c r="C573">
        <v>49.4</v>
      </c>
    </row>
    <row r="574" spans="1:3">
      <c r="A574" s="190">
        <v>43060.989583333336</v>
      </c>
      <c r="B574">
        <v>21</v>
      </c>
      <c r="C574">
        <v>49.4</v>
      </c>
    </row>
    <row r="575" spans="1:3">
      <c r="A575" s="190">
        <v>43060.993055555555</v>
      </c>
      <c r="B575">
        <v>21</v>
      </c>
      <c r="C575">
        <v>49.3</v>
      </c>
    </row>
    <row r="576" spans="1:3">
      <c r="A576" s="190">
        <v>43060.996527777781</v>
      </c>
      <c r="B576">
        <v>21</v>
      </c>
      <c r="C576">
        <v>49.2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workbookViewId="0">
      <selection activeCell="M22" sqref="M22"/>
    </sheetView>
  </sheetViews>
  <sheetFormatPr defaultRowHeight="12.75"/>
  <cols>
    <col min="1" max="1" width="13.85546875" style="2" customWidth="1"/>
    <col min="2" max="2" width="13.42578125" customWidth="1"/>
    <col min="5" max="5" width="11.28515625" customWidth="1"/>
    <col min="6" max="6" width="12.140625" customWidth="1"/>
    <col min="7" max="7" width="11.85546875" customWidth="1"/>
    <col min="8" max="8" width="9.85546875" customWidth="1"/>
    <col min="9" max="9" width="13.5703125" customWidth="1"/>
    <col min="10" max="10" width="11" customWidth="1"/>
    <col min="11" max="12" width="14.42578125" customWidth="1"/>
    <col min="13" max="13" width="10.7109375" customWidth="1"/>
    <col min="14" max="14" width="11" customWidth="1"/>
    <col min="15" max="15" width="12.28515625" customWidth="1"/>
    <col min="16" max="16" width="10.28515625" customWidth="1"/>
    <col min="17" max="17" width="11" customWidth="1"/>
    <col min="18" max="18" width="10.28515625" customWidth="1"/>
    <col min="19" max="19" width="11.28515625" customWidth="1"/>
  </cols>
  <sheetData>
    <row r="1" spans="1:20" ht="15.75">
      <c r="A1" s="84" t="s">
        <v>153</v>
      </c>
      <c r="J1" s="29" t="s">
        <v>154</v>
      </c>
      <c r="K1" s="90"/>
      <c r="L1" s="90"/>
    </row>
    <row r="3" spans="1:20">
      <c r="A3" s="97" t="s">
        <v>523</v>
      </c>
      <c r="B3" s="191" t="s">
        <v>599</v>
      </c>
      <c r="C3" s="96"/>
      <c r="D3" s="90"/>
      <c r="E3" s="29" t="s">
        <v>150</v>
      </c>
      <c r="F3" s="191" t="s">
        <v>454</v>
      </c>
      <c r="G3" s="90"/>
    </row>
    <row r="4" spans="1:20">
      <c r="A4" s="97" t="s">
        <v>46</v>
      </c>
      <c r="B4" s="98">
        <v>43059</v>
      </c>
      <c r="C4" s="96"/>
      <c r="D4" s="90"/>
      <c r="E4" s="29" t="s">
        <v>151</v>
      </c>
      <c r="F4" s="90">
        <v>96330108</v>
      </c>
      <c r="G4" s="90"/>
      <c r="N4" s="82">
        <f>AVERAGE(N12:N20)</f>
        <v>20.77</v>
      </c>
    </row>
    <row r="5" spans="1:20">
      <c r="A5" s="183"/>
      <c r="B5" s="98"/>
      <c r="C5" s="96"/>
      <c r="D5" s="90"/>
      <c r="E5" s="29" t="s">
        <v>152</v>
      </c>
      <c r="F5" s="191" t="s">
        <v>598</v>
      </c>
      <c r="G5" s="90"/>
      <c r="N5">
        <f>STDEV(N12:N20)</f>
        <v>9.1378334412485426E-2</v>
      </c>
      <c r="P5" s="189"/>
    </row>
    <row r="6" spans="1:20" ht="13.5" thickBot="1">
      <c r="A6" s="79"/>
      <c r="J6" t="s">
        <v>467</v>
      </c>
      <c r="K6" t="s">
        <v>146</v>
      </c>
      <c r="N6" s="1" t="s">
        <v>501</v>
      </c>
      <c r="P6" s="181"/>
      <c r="Q6" s="181"/>
      <c r="R6" s="181"/>
    </row>
    <row r="7" spans="1:20" ht="13.5" thickTop="1">
      <c r="A7" s="66" t="s">
        <v>183</v>
      </c>
      <c r="B7" s="69" t="s">
        <v>16</v>
      </c>
      <c r="C7" s="70" t="s">
        <v>33</v>
      </c>
      <c r="D7" s="71" t="s">
        <v>10</v>
      </c>
      <c r="E7" s="71" t="s">
        <v>11</v>
      </c>
      <c r="F7" s="72" t="s">
        <v>34</v>
      </c>
      <c r="G7" s="72"/>
      <c r="H7" s="73" t="s">
        <v>35</v>
      </c>
      <c r="I7" s="73"/>
      <c r="J7" s="100" t="s">
        <v>144</v>
      </c>
      <c r="K7" t="s">
        <v>147</v>
      </c>
      <c r="L7" t="s">
        <v>457</v>
      </c>
      <c r="N7" s="181" t="s">
        <v>450</v>
      </c>
    </row>
    <row r="8" spans="1:20">
      <c r="A8" s="67"/>
      <c r="B8" s="69"/>
      <c r="C8" s="70"/>
      <c r="D8" s="88"/>
      <c r="E8" s="88"/>
      <c r="F8" s="81"/>
      <c r="G8" s="75"/>
      <c r="H8" s="80"/>
      <c r="I8" s="77"/>
      <c r="J8" s="101" t="s">
        <v>145</v>
      </c>
    </row>
    <row r="9" spans="1:20">
      <c r="A9" s="182" t="s">
        <v>600</v>
      </c>
      <c r="B9" s="69" t="str">
        <f t="shared" ref="B9:B26" si="0">A9&amp;C9</f>
        <v>1 microF3Y</v>
      </c>
      <c r="C9" s="184" t="s">
        <v>38</v>
      </c>
      <c r="D9" s="89">
        <f>1000846-1000</f>
        <v>999846</v>
      </c>
      <c r="E9" s="89">
        <v>1716</v>
      </c>
      <c r="F9" s="81">
        <f t="shared" ref="F9:F40" si="1">(alpha-VLOOKUP(Range&amp;differentzero,zeros,2,FALSE))*(1+VLOOKUP(Range,corrections,2,FALSE)*0.000001)*VLOOKUP(Range,multiplier,2,FALSE)</f>
        <v>0.99992124230590029</v>
      </c>
      <c r="G9" s="75" t="str">
        <f t="shared" ref="G9:G69" si="2">VLOOKUP(Range,multiplier,3,FALSE)</f>
        <v>microF</v>
      </c>
      <c r="H9" s="80">
        <f t="shared" ref="H9:H40" si="3">(beta-VLOOKUP(Range&amp;differentzero,zeros,3,FALSE))*(1+VLOOKUP(Range,corrections,3,FALSE)*0.000001)*VLOOKUP(Range,multiplier,5,FALSE)</f>
        <v>1.7178970503127324E-3</v>
      </c>
      <c r="I9" s="77" t="str">
        <f t="shared" ref="I9:I40" si="4">VLOOKUP(Range,multiplier,6,FALSE)</f>
        <v>milliS</v>
      </c>
      <c r="J9" s="99">
        <v>1591.5</v>
      </c>
      <c r="K9" s="94">
        <f>1000*H9*VLOOKUP(C9,multiplier,7,FALSE)/(2*PI()*J9*F9*VLOOKUP(C9,multiplier,4,FALSE))</f>
        <v>0.17180857195085403</v>
      </c>
      <c r="L9" s="94"/>
      <c r="M9" s="82"/>
    </row>
    <row r="10" spans="1:20">
      <c r="A10" s="182" t="s">
        <v>538</v>
      </c>
      <c r="B10" s="69" t="str">
        <f t="shared" si="0"/>
        <v>coax zero3Y</v>
      </c>
      <c r="C10" s="184" t="s">
        <v>38</v>
      </c>
      <c r="D10" s="89">
        <v>0</v>
      </c>
      <c r="E10" s="89">
        <f>8-10</f>
        <v>-2</v>
      </c>
      <c r="F10" s="81">
        <f t="shared" si="1"/>
        <v>0</v>
      </c>
      <c r="G10" s="72" t="str">
        <f t="shared" si="2"/>
        <v>microF</v>
      </c>
      <c r="H10" s="80">
        <f t="shared" si="3"/>
        <v>0</v>
      </c>
      <c r="I10" s="78" t="str">
        <f t="shared" si="4"/>
        <v>milliS</v>
      </c>
      <c r="J10" s="99">
        <v>1591.5</v>
      </c>
      <c r="K10" s="94" t="e">
        <f>1000*H10*VLOOKUP(C10,multiplier,7,FALSE)/(2*PI()*J10*F10*VLOOKUP(C10,multiplier,4,FALSE))</f>
        <v>#DIV/0!</v>
      </c>
      <c r="L10" s="94"/>
      <c r="M10" s="82"/>
      <c r="R10" s="82"/>
      <c r="S10" s="85"/>
      <c r="T10" s="93"/>
    </row>
    <row r="11" spans="1:20">
      <c r="A11" s="182" t="s">
        <v>538</v>
      </c>
      <c r="B11" s="69" t="str">
        <f t="shared" si="0"/>
        <v>coax zero4Y</v>
      </c>
      <c r="C11" s="184" t="s">
        <v>95</v>
      </c>
      <c r="D11" s="89">
        <v>0</v>
      </c>
      <c r="E11" s="89">
        <v>-1</v>
      </c>
      <c r="F11" s="81">
        <f t="shared" si="1"/>
        <v>0</v>
      </c>
      <c r="G11" s="72" t="str">
        <f t="shared" si="2"/>
        <v>nF</v>
      </c>
      <c r="H11" s="249">
        <f t="shared" si="3"/>
        <v>0</v>
      </c>
      <c r="I11" s="78" t="str">
        <f t="shared" si="4"/>
        <v>microS</v>
      </c>
      <c r="J11" s="99">
        <v>1591.5</v>
      </c>
      <c r="K11" s="94" t="e">
        <f t="shared" ref="K11:K42" si="5">1000*H11*VLOOKUP(C11,multiplier,7,FALSE)/(2*PI()*J11*F11*VLOOKUP(C11,multiplier,4,FALSE))</f>
        <v>#DIV/0!</v>
      </c>
      <c r="L11" s="94"/>
      <c r="M11" s="82"/>
    </row>
    <row r="12" spans="1:20">
      <c r="A12" s="182" t="s">
        <v>601</v>
      </c>
      <c r="B12" s="69" t="str">
        <f t="shared" si="0"/>
        <v>0.1 microF4Y</v>
      </c>
      <c r="C12" s="184" t="s">
        <v>95</v>
      </c>
      <c r="D12" s="192">
        <f>1000064-100</f>
        <v>999964</v>
      </c>
      <c r="E12" s="89">
        <v>412</v>
      </c>
      <c r="F12" s="81">
        <f t="shared" si="1"/>
        <v>100.00392511858601</v>
      </c>
      <c r="G12" s="72" t="str">
        <f t="shared" si="2"/>
        <v>nF</v>
      </c>
      <c r="H12" s="249">
        <f t="shared" si="3"/>
        <v>4.1297525132663479E-2</v>
      </c>
      <c r="I12" s="78" t="str">
        <f t="shared" si="4"/>
        <v>microS</v>
      </c>
      <c r="J12" s="99">
        <v>1591.5</v>
      </c>
      <c r="K12" s="94">
        <f t="shared" si="5"/>
        <v>4.1297186842445453E-2</v>
      </c>
      <c r="L12" s="94"/>
      <c r="M12" s="82"/>
      <c r="N12" s="82">
        <v>20.68</v>
      </c>
      <c r="R12" s="82"/>
      <c r="S12" s="85"/>
      <c r="T12" s="93"/>
    </row>
    <row r="13" spans="1:20">
      <c r="A13" s="182" t="s">
        <v>602</v>
      </c>
      <c r="B13" s="69" t="str">
        <f t="shared" si="0"/>
        <v>0.01 microF5Y</v>
      </c>
      <c r="C13" s="184" t="s">
        <v>42</v>
      </c>
      <c r="D13" s="89">
        <v>1000024</v>
      </c>
      <c r="E13" s="89">
        <f>508-10</f>
        <v>498</v>
      </c>
      <c r="F13" s="81">
        <f t="shared" si="1"/>
        <v>10.001002557763476</v>
      </c>
      <c r="G13" s="72" t="str">
        <f t="shared" si="2"/>
        <v>nF</v>
      </c>
      <c r="H13" s="249">
        <f t="shared" si="3"/>
        <v>4.9597027762230232E-3</v>
      </c>
      <c r="I13" s="78" t="str">
        <f t="shared" si="4"/>
        <v>microS</v>
      </c>
      <c r="J13" s="99">
        <v>1591.5</v>
      </c>
      <c r="K13" s="94">
        <f t="shared" si="5"/>
        <v>4.9593596168049051E-2</v>
      </c>
      <c r="L13" s="94"/>
      <c r="M13" s="82"/>
      <c r="N13" s="82"/>
    </row>
    <row r="14" spans="1:20">
      <c r="A14" s="182" t="s">
        <v>538</v>
      </c>
      <c r="B14" s="69" t="str">
        <f t="shared" si="0"/>
        <v>coax zero5Y</v>
      </c>
      <c r="C14" s="184" t="s">
        <v>42</v>
      </c>
      <c r="D14" s="89">
        <v>-1</v>
      </c>
      <c r="E14" s="89">
        <v>2</v>
      </c>
      <c r="F14" s="81">
        <f t="shared" si="1"/>
        <v>0</v>
      </c>
      <c r="G14" s="72" t="str">
        <f t="shared" si="2"/>
        <v>nF</v>
      </c>
      <c r="H14" s="249">
        <f t="shared" si="3"/>
        <v>0</v>
      </c>
      <c r="I14" s="78" t="str">
        <f t="shared" si="4"/>
        <v>microS</v>
      </c>
      <c r="J14" s="99">
        <v>1591.5</v>
      </c>
      <c r="K14" s="94" t="e">
        <f t="shared" si="5"/>
        <v>#DIV/0!</v>
      </c>
      <c r="L14" s="94"/>
      <c r="M14" s="82"/>
      <c r="N14" s="82">
        <v>20.81</v>
      </c>
      <c r="R14" s="82"/>
      <c r="S14" s="85"/>
      <c r="T14" s="93"/>
    </row>
    <row r="15" spans="1:20">
      <c r="A15" s="182" t="s">
        <v>538</v>
      </c>
      <c r="B15" s="69" t="str">
        <f t="shared" si="0"/>
        <v>coax zero6Y</v>
      </c>
      <c r="C15" s="184" t="s">
        <v>37</v>
      </c>
      <c r="D15" s="89">
        <v>0</v>
      </c>
      <c r="E15" s="89">
        <v>14</v>
      </c>
      <c r="F15" s="81">
        <f t="shared" si="1"/>
        <v>0</v>
      </c>
      <c r="G15" s="72" t="str">
        <f t="shared" si="2"/>
        <v>pF</v>
      </c>
      <c r="H15" s="249">
        <f t="shared" si="3"/>
        <v>0</v>
      </c>
      <c r="I15" s="78" t="str">
        <f t="shared" si="4"/>
        <v>nS</v>
      </c>
      <c r="J15" s="99">
        <v>1591.5</v>
      </c>
      <c r="K15" s="94" t="e">
        <f t="shared" si="5"/>
        <v>#DIV/0!</v>
      </c>
      <c r="L15" s="94"/>
      <c r="M15" s="82"/>
      <c r="N15" s="82"/>
    </row>
    <row r="16" spans="1:20">
      <c r="A16" s="182" t="s">
        <v>603</v>
      </c>
      <c r="B16" s="69" t="str">
        <f t="shared" si="0"/>
        <v>1000 pF6Y</v>
      </c>
      <c r="C16" s="184" t="s">
        <v>37</v>
      </c>
      <c r="D16" s="89">
        <f>1000731-1000</f>
        <v>999731</v>
      </c>
      <c r="E16" s="89">
        <f>813-1000</f>
        <v>-187</v>
      </c>
      <c r="F16" s="81">
        <f t="shared" si="1"/>
        <v>999.86882918397339</v>
      </c>
      <c r="G16" s="72" t="str">
        <f t="shared" si="2"/>
        <v>pF</v>
      </c>
      <c r="H16" s="249">
        <f t="shared" si="3"/>
        <v>-0.20100054033350956</v>
      </c>
      <c r="I16" s="72" t="str">
        <f t="shared" si="4"/>
        <v>nS</v>
      </c>
      <c r="J16" s="99">
        <v>1591.5</v>
      </c>
      <c r="K16" s="94">
        <f t="shared" si="5"/>
        <v>-2.0103315295774495E-2</v>
      </c>
      <c r="L16" s="94"/>
      <c r="M16" s="82"/>
      <c r="N16" s="82">
        <v>20.73</v>
      </c>
      <c r="R16" s="82"/>
      <c r="S16" s="85"/>
      <c r="T16" s="93"/>
    </row>
    <row r="17" spans="1:20">
      <c r="A17" s="182" t="s">
        <v>148</v>
      </c>
      <c r="B17" s="69" t="str">
        <f t="shared" si="0"/>
        <v>GR1000A6Y</v>
      </c>
      <c r="C17" s="184" t="s">
        <v>37</v>
      </c>
      <c r="D17" s="89">
        <f>1000890-1000</f>
        <v>999890</v>
      </c>
      <c r="E17" s="89">
        <f>850-1000</f>
        <v>-150</v>
      </c>
      <c r="F17" s="81">
        <f t="shared" si="1"/>
        <v>1000.0278511047103</v>
      </c>
      <c r="G17" s="72" t="str">
        <f t="shared" si="2"/>
        <v>pF</v>
      </c>
      <c r="H17" s="249">
        <f t="shared" si="3"/>
        <v>-0.16400044086913218</v>
      </c>
      <c r="I17" s="78" t="str">
        <f t="shared" si="4"/>
        <v>nS</v>
      </c>
      <c r="J17" s="99">
        <v>1591.5</v>
      </c>
      <c r="K17" s="94">
        <f t="shared" si="5"/>
        <v>-1.6400096700435206E-2</v>
      </c>
      <c r="L17" s="94"/>
      <c r="M17" s="82"/>
      <c r="N17" s="82"/>
    </row>
    <row r="18" spans="1:20" ht="12.2" customHeight="1">
      <c r="A18" s="182" t="s">
        <v>36</v>
      </c>
      <c r="B18" s="69" t="str">
        <f t="shared" si="0"/>
        <v>GR1000B6Y</v>
      </c>
      <c r="C18" s="184" t="s">
        <v>37</v>
      </c>
      <c r="D18" s="89">
        <f>1000876-1000</f>
        <v>999876</v>
      </c>
      <c r="E18" s="89">
        <f>854-1000</f>
        <v>-146</v>
      </c>
      <c r="F18" s="81">
        <f t="shared" si="1"/>
        <v>1000.0138491745826</v>
      </c>
      <c r="G18" s="72" t="str">
        <f t="shared" si="2"/>
        <v>pF</v>
      </c>
      <c r="H18" s="80">
        <f t="shared" si="3"/>
        <v>-0.16000043011622653</v>
      </c>
      <c r="I18" s="78" t="str">
        <f t="shared" si="4"/>
        <v>nS</v>
      </c>
      <c r="J18" s="99">
        <v>1591.5</v>
      </c>
      <c r="K18" s="94">
        <f t="shared" si="5"/>
        <v>-1.6000318370988403E-2</v>
      </c>
      <c r="L18" s="94"/>
      <c r="M18" s="82"/>
      <c r="N18" s="82">
        <v>20.72</v>
      </c>
    </row>
    <row r="19" spans="1:20">
      <c r="A19" s="182" t="s">
        <v>604</v>
      </c>
      <c r="B19" s="69" t="str">
        <f t="shared" si="0"/>
        <v>AH11C6Y</v>
      </c>
      <c r="C19" s="184" t="s">
        <v>37</v>
      </c>
      <c r="D19" s="89">
        <f>100085-100</f>
        <v>99985</v>
      </c>
      <c r="E19" s="192">
        <v>104</v>
      </c>
      <c r="F19" s="81">
        <f t="shared" si="1"/>
        <v>99.998784559005941</v>
      </c>
      <c r="G19" s="72" t="str">
        <f t="shared" si="2"/>
        <v>pF</v>
      </c>
      <c r="H19" s="80">
        <f t="shared" si="3"/>
        <v>9.000024194037741E-2</v>
      </c>
      <c r="I19" s="78" t="str">
        <f t="shared" si="4"/>
        <v>nS</v>
      </c>
      <c r="J19" s="99">
        <v>1591.5</v>
      </c>
      <c r="K19" s="94">
        <f t="shared" si="5"/>
        <v>9.0004131234431142E-2</v>
      </c>
      <c r="L19" s="94"/>
      <c r="M19" s="82"/>
      <c r="N19" s="82"/>
    </row>
    <row r="20" spans="1:20">
      <c r="A20" s="182" t="s">
        <v>605</v>
      </c>
      <c r="B20" s="69" t="str">
        <f t="shared" si="0"/>
        <v>100 pF6Y</v>
      </c>
      <c r="C20" s="184" t="s">
        <v>37</v>
      </c>
      <c r="D20" s="89">
        <f>100000-10</f>
        <v>99990</v>
      </c>
      <c r="E20" s="89">
        <f>85-100</f>
        <v>-15</v>
      </c>
      <c r="F20" s="81">
        <f t="shared" si="1"/>
        <v>100.00378524833729</v>
      </c>
      <c r="G20" s="72" t="str">
        <f t="shared" si="2"/>
        <v>pF</v>
      </c>
      <c r="H20" s="80">
        <f t="shared" si="3"/>
        <v>-2.9000077958566055E-2</v>
      </c>
      <c r="I20" s="72" t="str">
        <f t="shared" si="4"/>
        <v>nS</v>
      </c>
      <c r="J20" s="99">
        <v>1591.5</v>
      </c>
      <c r="K20" s="94">
        <f t="shared" si="5"/>
        <v>-2.8999880963958991E-2</v>
      </c>
      <c r="L20" s="94"/>
      <c r="M20" s="82"/>
      <c r="N20" s="82">
        <v>20.91</v>
      </c>
      <c r="R20" s="82"/>
      <c r="S20" s="85"/>
      <c r="T20" s="93"/>
    </row>
    <row r="21" spans="1:20">
      <c r="A21" s="182" t="s">
        <v>605</v>
      </c>
      <c r="B21" s="69" t="str">
        <f t="shared" si="0"/>
        <v>100 pF7Y</v>
      </c>
      <c r="C21" s="184" t="s">
        <v>44</v>
      </c>
      <c r="D21" s="89">
        <f>1000046-100</f>
        <v>999946</v>
      </c>
      <c r="E21" s="89">
        <f>2006-10</f>
        <v>1996</v>
      </c>
      <c r="F21" s="81">
        <f t="shared" si="1"/>
        <v>100.00028522236404</v>
      </c>
      <c r="G21" s="72" t="str">
        <f t="shared" si="2"/>
        <v>pF</v>
      </c>
      <c r="H21" s="80">
        <f t="shared" si="3"/>
        <v>0.19768570193099488</v>
      </c>
      <c r="I21" s="78" t="str">
        <f t="shared" si="4"/>
        <v>nS</v>
      </c>
      <c r="J21" s="99">
        <v>1591.5</v>
      </c>
      <c r="K21" s="94">
        <f t="shared" si="5"/>
        <v>0.19769127805612174</v>
      </c>
      <c r="L21" s="94"/>
      <c r="M21" s="82"/>
      <c r="N21" s="82"/>
      <c r="R21" s="82"/>
      <c r="S21" s="85"/>
      <c r="T21" s="93"/>
    </row>
    <row r="22" spans="1:20">
      <c r="A22" s="182" t="s">
        <v>604</v>
      </c>
      <c r="B22" s="69" t="str">
        <f t="shared" si="0"/>
        <v>AH11C7Y</v>
      </c>
      <c r="C22" s="184" t="s">
        <v>44</v>
      </c>
      <c r="D22" s="89">
        <f>1000001-100</f>
        <v>999901</v>
      </c>
      <c r="E22" s="89">
        <v>2930</v>
      </c>
      <c r="F22" s="81">
        <f t="shared" si="1"/>
        <v>99.995784939512063</v>
      </c>
      <c r="G22" s="72" t="str">
        <f t="shared" si="2"/>
        <v>pF</v>
      </c>
      <c r="H22" s="80">
        <f t="shared" si="3"/>
        <v>0.2910789470516571</v>
      </c>
      <c r="I22" s="78" t="str">
        <f t="shared" si="4"/>
        <v>nS</v>
      </c>
      <c r="J22" s="99">
        <v>1591.5</v>
      </c>
      <c r="K22" s="94">
        <f t="shared" si="5"/>
        <v>0.29110025781981008</v>
      </c>
      <c r="L22" s="94"/>
      <c r="M22" s="82"/>
      <c r="N22" s="82"/>
      <c r="O22" s="65"/>
      <c r="R22" s="82"/>
      <c r="S22" s="85"/>
      <c r="T22" s="93"/>
    </row>
    <row r="23" spans="1:20">
      <c r="A23" s="182" t="s">
        <v>538</v>
      </c>
      <c r="B23" s="69" t="str">
        <f t="shared" si="0"/>
        <v>coax zero7Y</v>
      </c>
      <c r="C23" s="184" t="s">
        <v>44</v>
      </c>
      <c r="D23" s="89">
        <v>6</v>
      </c>
      <c r="E23" s="89">
        <f>20-1</f>
        <v>19</v>
      </c>
      <c r="F23" s="81">
        <f t="shared" si="1"/>
        <v>0</v>
      </c>
      <c r="G23" s="72" t="str">
        <f t="shared" si="2"/>
        <v>pF</v>
      </c>
      <c r="H23" s="80">
        <f t="shared" si="3"/>
        <v>0</v>
      </c>
      <c r="I23" s="78" t="str">
        <f t="shared" si="4"/>
        <v>nS</v>
      </c>
      <c r="J23" s="99">
        <v>1591.5</v>
      </c>
      <c r="K23" s="94" t="e">
        <f t="shared" si="5"/>
        <v>#DIV/0!</v>
      </c>
      <c r="L23" s="94"/>
      <c r="M23" s="82"/>
      <c r="N23" s="82">
        <f>AVERAGE(N12:N20)</f>
        <v>20.77</v>
      </c>
      <c r="O23" s="65"/>
      <c r="R23" s="82"/>
      <c r="S23" s="85"/>
      <c r="T23" s="93"/>
    </row>
    <row r="24" spans="1:20">
      <c r="A24" s="182" t="s">
        <v>606</v>
      </c>
      <c r="B24" s="69" t="str">
        <f t="shared" si="0"/>
        <v>AH11A7Y</v>
      </c>
      <c r="C24" s="184" t="s">
        <v>44</v>
      </c>
      <c r="D24" s="89">
        <f>100005-10</f>
        <v>99995</v>
      </c>
      <c r="E24" s="89">
        <v>201</v>
      </c>
      <c r="F24" s="81">
        <f t="shared" si="1"/>
        <v>9.9995284908084052</v>
      </c>
      <c r="G24" s="72" t="str">
        <f t="shared" si="2"/>
        <v>pF</v>
      </c>
      <c r="H24" s="80">
        <f t="shared" si="3"/>
        <v>1.8198683738715766E-2</v>
      </c>
      <c r="I24" s="72" t="str">
        <f t="shared" si="4"/>
        <v>nS</v>
      </c>
      <c r="J24" s="99">
        <v>1591.5</v>
      </c>
      <c r="K24" s="94">
        <f t="shared" si="5"/>
        <v>0.18200107129365303</v>
      </c>
      <c r="L24" s="94"/>
      <c r="M24" s="82"/>
      <c r="N24" s="82">
        <f>STDEV(N12:N20)</f>
        <v>9.1378334412485426E-2</v>
      </c>
      <c r="O24" s="65"/>
      <c r="R24" s="82"/>
      <c r="S24" s="85"/>
      <c r="T24" s="93"/>
    </row>
    <row r="25" spans="1:20">
      <c r="A25" s="182" t="s">
        <v>184</v>
      </c>
      <c r="B25" s="69" t="str">
        <f t="shared" si="0"/>
        <v>10 pF7Y</v>
      </c>
      <c r="C25" s="184" t="s">
        <v>44</v>
      </c>
      <c r="D25" s="89">
        <f>100087-100</f>
        <v>99987</v>
      </c>
      <c r="E25" s="89">
        <v>210</v>
      </c>
      <c r="F25" s="81">
        <f t="shared" si="1"/>
        <v>9.9987284405236085</v>
      </c>
      <c r="G25" s="72" t="str">
        <f t="shared" si="2"/>
        <v>pF</v>
      </c>
      <c r="H25" s="80">
        <f t="shared" si="3"/>
        <v>1.9098618648872041E-2</v>
      </c>
      <c r="I25" s="78" t="str">
        <f t="shared" si="4"/>
        <v>nS</v>
      </c>
      <c r="J25" s="99">
        <v>1591.5</v>
      </c>
      <c r="K25" s="94">
        <f t="shared" si="5"/>
        <v>0.19101640726342323</v>
      </c>
      <c r="L25" s="94"/>
      <c r="M25" s="82"/>
      <c r="N25" s="82"/>
      <c r="O25" s="65"/>
      <c r="R25" s="82"/>
      <c r="S25" s="85"/>
      <c r="T25" s="93"/>
    </row>
    <row r="26" spans="1:20">
      <c r="A26" s="182" t="s">
        <v>185</v>
      </c>
      <c r="B26" s="69" t="str">
        <f t="shared" si="0"/>
        <v>1 pF7Y</v>
      </c>
      <c r="C26" s="184" t="s">
        <v>44</v>
      </c>
      <c r="D26" s="89">
        <v>10004</v>
      </c>
      <c r="E26" s="89">
        <v>46</v>
      </c>
      <c r="F26" s="81">
        <f t="shared" si="1"/>
        <v>0.99986284342380105</v>
      </c>
      <c r="G26" s="72" t="str">
        <f t="shared" si="2"/>
        <v>pF</v>
      </c>
      <c r="H26" s="80">
        <f t="shared" si="3"/>
        <v>2.6998047304688227E-3</v>
      </c>
      <c r="I26" s="78" t="str">
        <f t="shared" si="4"/>
        <v>nS</v>
      </c>
      <c r="J26" s="99">
        <v>1591.5</v>
      </c>
      <c r="K26" s="94">
        <f t="shared" si="5"/>
        <v>0.27002589428582913</v>
      </c>
      <c r="L26" s="94"/>
      <c r="M26" s="82"/>
      <c r="N26" s="82"/>
      <c r="O26" s="65"/>
      <c r="T26" s="93"/>
    </row>
    <row r="27" spans="1:20">
      <c r="A27" s="182"/>
      <c r="B27" s="69"/>
      <c r="C27" s="184"/>
      <c r="D27" s="89"/>
      <c r="E27" s="89"/>
      <c r="F27" s="81" t="e">
        <f t="shared" si="1"/>
        <v>#N/A</v>
      </c>
      <c r="G27" s="72" t="e">
        <f t="shared" si="2"/>
        <v>#N/A</v>
      </c>
      <c r="H27" s="80" t="e">
        <f t="shared" si="3"/>
        <v>#N/A</v>
      </c>
      <c r="I27" s="78" t="e">
        <f t="shared" si="4"/>
        <v>#N/A</v>
      </c>
      <c r="J27" s="99">
        <v>1591.5</v>
      </c>
      <c r="K27" s="94" t="e">
        <f t="shared" si="5"/>
        <v>#N/A</v>
      </c>
      <c r="L27" s="94"/>
      <c r="M27" s="82"/>
      <c r="N27" s="82"/>
      <c r="O27" s="65"/>
      <c r="T27" s="93"/>
    </row>
    <row r="28" spans="1:20">
      <c r="A28" s="182"/>
      <c r="B28" s="69"/>
      <c r="C28" s="184"/>
      <c r="D28" s="89"/>
      <c r="E28" s="89"/>
      <c r="F28" s="81" t="e">
        <f t="shared" si="1"/>
        <v>#N/A</v>
      </c>
      <c r="G28" s="72" t="e">
        <f t="shared" si="2"/>
        <v>#N/A</v>
      </c>
      <c r="H28" s="80" t="e">
        <f t="shared" si="3"/>
        <v>#N/A</v>
      </c>
      <c r="I28" s="72" t="e">
        <f t="shared" si="4"/>
        <v>#N/A</v>
      </c>
      <c r="J28" s="99">
        <v>1591.5</v>
      </c>
      <c r="K28" s="94" t="e">
        <f t="shared" si="5"/>
        <v>#N/A</v>
      </c>
      <c r="L28" s="94"/>
      <c r="M28" s="82"/>
      <c r="N28" s="82"/>
      <c r="O28" s="65"/>
    </row>
    <row r="29" spans="1:20">
      <c r="A29" s="182"/>
      <c r="B29" s="69"/>
      <c r="C29" s="184"/>
      <c r="D29" s="89"/>
      <c r="E29" s="89"/>
      <c r="F29" s="81" t="e">
        <f t="shared" si="1"/>
        <v>#N/A</v>
      </c>
      <c r="G29" s="72" t="e">
        <f t="shared" si="2"/>
        <v>#N/A</v>
      </c>
      <c r="H29" s="80" t="e">
        <f t="shared" si="3"/>
        <v>#N/A</v>
      </c>
      <c r="I29" s="78" t="e">
        <f t="shared" si="4"/>
        <v>#N/A</v>
      </c>
      <c r="J29" s="99">
        <v>1591.5</v>
      </c>
      <c r="K29" s="94" t="e">
        <f t="shared" si="5"/>
        <v>#N/A</v>
      </c>
      <c r="L29" s="94"/>
      <c r="M29" s="82"/>
      <c r="N29" s="82"/>
      <c r="O29" s="65"/>
    </row>
    <row r="30" spans="1:20">
      <c r="A30" s="182"/>
      <c r="B30" s="69"/>
      <c r="C30" s="184"/>
      <c r="D30" s="89"/>
      <c r="E30" s="89"/>
      <c r="F30" s="74" t="e">
        <f t="shared" si="1"/>
        <v>#N/A</v>
      </c>
      <c r="G30" s="72" t="e">
        <f t="shared" si="2"/>
        <v>#N/A</v>
      </c>
      <c r="H30" s="80" t="e">
        <f t="shared" si="3"/>
        <v>#N/A</v>
      </c>
      <c r="I30" s="78" t="e">
        <f t="shared" si="4"/>
        <v>#N/A</v>
      </c>
      <c r="J30" s="99">
        <v>1591.5</v>
      </c>
      <c r="K30" s="94" t="e">
        <f t="shared" si="5"/>
        <v>#N/A</v>
      </c>
      <c r="L30" s="94"/>
      <c r="M30" s="82"/>
      <c r="N30" s="82"/>
      <c r="O30" s="65"/>
    </row>
    <row r="31" spans="1:20">
      <c r="A31" s="182"/>
      <c r="B31" s="69"/>
      <c r="C31" s="184"/>
      <c r="D31" s="89"/>
      <c r="E31" s="89"/>
      <c r="F31" s="74" t="e">
        <f t="shared" si="1"/>
        <v>#N/A</v>
      </c>
      <c r="G31" s="72" t="e">
        <f t="shared" si="2"/>
        <v>#N/A</v>
      </c>
      <c r="H31" s="80" t="e">
        <f t="shared" si="3"/>
        <v>#N/A</v>
      </c>
      <c r="I31" s="78" t="e">
        <f t="shared" si="4"/>
        <v>#N/A</v>
      </c>
      <c r="J31" s="99">
        <v>1591.5</v>
      </c>
      <c r="K31" s="94" t="e">
        <f t="shared" si="5"/>
        <v>#N/A</v>
      </c>
      <c r="L31" s="94"/>
      <c r="M31" s="82"/>
      <c r="N31" s="82"/>
      <c r="O31" s="65"/>
    </row>
    <row r="32" spans="1:20">
      <c r="A32" s="182"/>
      <c r="B32" s="69"/>
      <c r="C32" s="184"/>
      <c r="D32" s="89"/>
      <c r="E32" s="89"/>
      <c r="F32" s="74" t="e">
        <f t="shared" si="1"/>
        <v>#N/A</v>
      </c>
      <c r="G32" s="72" t="e">
        <f t="shared" si="2"/>
        <v>#N/A</v>
      </c>
      <c r="H32" s="80" t="e">
        <f t="shared" si="3"/>
        <v>#N/A</v>
      </c>
      <c r="I32" s="78" t="e">
        <f t="shared" si="4"/>
        <v>#N/A</v>
      </c>
      <c r="J32" s="99">
        <v>1591.5</v>
      </c>
      <c r="K32" s="94" t="e">
        <f t="shared" si="5"/>
        <v>#N/A</v>
      </c>
      <c r="L32" s="94"/>
      <c r="M32" s="82"/>
      <c r="N32" s="82"/>
      <c r="O32" s="65"/>
    </row>
    <row r="33" spans="1:16">
      <c r="A33" s="182"/>
      <c r="B33" s="69"/>
      <c r="C33" s="184"/>
      <c r="D33" s="89"/>
      <c r="E33" s="89"/>
      <c r="F33" s="74" t="e">
        <f t="shared" si="1"/>
        <v>#N/A</v>
      </c>
      <c r="G33" s="72" t="e">
        <f t="shared" si="2"/>
        <v>#N/A</v>
      </c>
      <c r="H33" s="80" t="e">
        <f t="shared" si="3"/>
        <v>#N/A</v>
      </c>
      <c r="I33" s="78" t="e">
        <f t="shared" si="4"/>
        <v>#N/A</v>
      </c>
      <c r="J33" s="99">
        <v>1591.5</v>
      </c>
      <c r="K33" s="94" t="e">
        <f t="shared" si="5"/>
        <v>#N/A</v>
      </c>
      <c r="L33" s="94"/>
      <c r="M33" s="82"/>
      <c r="N33" s="82"/>
      <c r="O33" s="65"/>
    </row>
    <row r="34" spans="1:16">
      <c r="A34" s="182"/>
      <c r="B34" s="69"/>
      <c r="C34" s="184"/>
      <c r="D34" s="89"/>
      <c r="E34" s="89"/>
      <c r="F34" s="74" t="e">
        <f t="shared" si="1"/>
        <v>#N/A</v>
      </c>
      <c r="G34" s="72" t="e">
        <f t="shared" si="2"/>
        <v>#N/A</v>
      </c>
      <c r="H34" s="80" t="e">
        <f t="shared" si="3"/>
        <v>#N/A</v>
      </c>
      <c r="I34" s="78" t="e">
        <f t="shared" si="4"/>
        <v>#N/A</v>
      </c>
      <c r="J34" s="99">
        <v>1591.5</v>
      </c>
      <c r="K34" s="94" t="e">
        <f t="shared" si="5"/>
        <v>#N/A</v>
      </c>
      <c r="L34" s="94"/>
      <c r="M34" s="82"/>
      <c r="N34" s="82"/>
      <c r="O34" s="65"/>
    </row>
    <row r="35" spans="1:16">
      <c r="A35" s="182"/>
      <c r="B35" s="69"/>
      <c r="C35" s="184"/>
      <c r="D35" s="89"/>
      <c r="E35" s="89"/>
      <c r="F35" s="74" t="e">
        <f t="shared" si="1"/>
        <v>#N/A</v>
      </c>
      <c r="G35" s="72" t="e">
        <f t="shared" si="2"/>
        <v>#N/A</v>
      </c>
      <c r="H35" s="80" t="e">
        <f t="shared" si="3"/>
        <v>#N/A</v>
      </c>
      <c r="I35" s="78" t="e">
        <f t="shared" si="4"/>
        <v>#N/A</v>
      </c>
      <c r="J35" s="99">
        <v>1591.5</v>
      </c>
      <c r="K35" s="94" t="e">
        <f t="shared" si="5"/>
        <v>#N/A</v>
      </c>
      <c r="L35" s="94"/>
      <c r="M35" s="82"/>
      <c r="N35" s="82"/>
      <c r="O35" s="65"/>
    </row>
    <row r="36" spans="1:16">
      <c r="A36" s="182"/>
      <c r="B36" s="69"/>
      <c r="C36" s="184"/>
      <c r="D36" s="89"/>
      <c r="E36" s="89"/>
      <c r="F36" s="74" t="e">
        <f t="shared" si="1"/>
        <v>#N/A</v>
      </c>
      <c r="G36" s="72" t="e">
        <f t="shared" si="2"/>
        <v>#N/A</v>
      </c>
      <c r="H36" s="80" t="e">
        <f t="shared" si="3"/>
        <v>#N/A</v>
      </c>
      <c r="I36" s="78" t="e">
        <f t="shared" si="4"/>
        <v>#N/A</v>
      </c>
      <c r="J36" s="99">
        <v>1591.5</v>
      </c>
      <c r="K36" s="94" t="e">
        <f t="shared" si="5"/>
        <v>#N/A</v>
      </c>
      <c r="L36" s="94"/>
      <c r="M36" s="82"/>
      <c r="N36" s="82"/>
      <c r="O36" s="93"/>
    </row>
    <row r="37" spans="1:16">
      <c r="A37" s="182"/>
      <c r="B37" s="69"/>
      <c r="C37" s="184"/>
      <c r="D37" s="89"/>
      <c r="E37" s="89"/>
      <c r="F37" s="74" t="e">
        <f t="shared" si="1"/>
        <v>#N/A</v>
      </c>
      <c r="G37" s="72" t="e">
        <f t="shared" si="2"/>
        <v>#N/A</v>
      </c>
      <c r="H37" s="80" t="e">
        <f t="shared" si="3"/>
        <v>#N/A</v>
      </c>
      <c r="I37" s="78" t="e">
        <f t="shared" si="4"/>
        <v>#N/A</v>
      </c>
      <c r="J37" s="99">
        <v>1591.5</v>
      </c>
      <c r="K37" s="94" t="e">
        <f t="shared" si="5"/>
        <v>#N/A</v>
      </c>
      <c r="L37" s="94"/>
      <c r="M37" s="82"/>
      <c r="N37" s="82"/>
      <c r="O37" s="93"/>
    </row>
    <row r="38" spans="1:16">
      <c r="A38" s="182"/>
      <c r="B38" s="69"/>
      <c r="C38" s="184"/>
      <c r="D38" s="89"/>
      <c r="E38" s="89"/>
      <c r="F38" s="74" t="e">
        <f t="shared" si="1"/>
        <v>#N/A</v>
      </c>
      <c r="G38" s="72" t="e">
        <f t="shared" si="2"/>
        <v>#N/A</v>
      </c>
      <c r="H38" s="80" t="e">
        <f t="shared" si="3"/>
        <v>#N/A</v>
      </c>
      <c r="I38" s="78" t="e">
        <f t="shared" si="4"/>
        <v>#N/A</v>
      </c>
      <c r="J38" s="99">
        <v>1591.5</v>
      </c>
      <c r="K38" s="94" t="e">
        <f t="shared" si="5"/>
        <v>#N/A</v>
      </c>
      <c r="L38" s="94"/>
      <c r="M38" s="82"/>
      <c r="N38" s="82"/>
      <c r="O38" s="93"/>
    </row>
    <row r="39" spans="1:16">
      <c r="A39" s="182"/>
      <c r="B39" s="69"/>
      <c r="C39" s="184"/>
      <c r="D39" s="89"/>
      <c r="E39" s="89"/>
      <c r="F39" s="74" t="e">
        <f t="shared" si="1"/>
        <v>#N/A</v>
      </c>
      <c r="G39" s="72" t="e">
        <f t="shared" si="2"/>
        <v>#N/A</v>
      </c>
      <c r="H39" s="80" t="e">
        <f t="shared" si="3"/>
        <v>#N/A</v>
      </c>
      <c r="I39" s="78" t="e">
        <f t="shared" si="4"/>
        <v>#N/A</v>
      </c>
      <c r="J39" s="99">
        <v>1591.5</v>
      </c>
      <c r="K39" s="94" t="e">
        <f t="shared" si="5"/>
        <v>#N/A</v>
      </c>
      <c r="L39" s="94"/>
      <c r="M39" s="82"/>
      <c r="N39" s="82"/>
      <c r="O39" s="93"/>
    </row>
    <row r="40" spans="1:16">
      <c r="A40" s="182"/>
      <c r="B40" s="69"/>
      <c r="C40" s="184"/>
      <c r="D40" s="89"/>
      <c r="E40" s="89"/>
      <c r="F40" s="74" t="e">
        <f t="shared" si="1"/>
        <v>#N/A</v>
      </c>
      <c r="G40" s="72" t="e">
        <f t="shared" si="2"/>
        <v>#N/A</v>
      </c>
      <c r="H40" s="80" t="e">
        <f t="shared" si="3"/>
        <v>#N/A</v>
      </c>
      <c r="I40" s="78" t="e">
        <f t="shared" si="4"/>
        <v>#N/A</v>
      </c>
      <c r="J40" s="99">
        <v>1591.5</v>
      </c>
      <c r="K40" s="94" t="e">
        <f t="shared" si="5"/>
        <v>#N/A</v>
      </c>
      <c r="L40" s="94"/>
      <c r="M40" s="82"/>
      <c r="N40" s="82"/>
      <c r="O40" s="93"/>
    </row>
    <row r="41" spans="1:16">
      <c r="A41" s="182"/>
      <c r="B41" s="69"/>
      <c r="C41" s="184"/>
      <c r="D41" s="89"/>
      <c r="E41" s="89"/>
      <c r="F41" s="74" t="e">
        <f t="shared" ref="F41:F69" si="6">(alpha-VLOOKUP(Range&amp;differentzero,zeros,2,FALSE))*(1+VLOOKUP(Range,corrections,2,FALSE)*0.000001)*VLOOKUP(Range,multiplier,2,FALSE)</f>
        <v>#N/A</v>
      </c>
      <c r="G41" s="72" t="e">
        <f t="shared" si="2"/>
        <v>#N/A</v>
      </c>
      <c r="H41" s="80" t="e">
        <f t="shared" ref="H41:H69" si="7">(beta-VLOOKUP(Range&amp;differentzero,zeros,3,FALSE))*(1+VLOOKUP(Range,corrections,3,FALSE)*0.000001)*VLOOKUP(Range,multiplier,5,FALSE)</f>
        <v>#N/A</v>
      </c>
      <c r="I41" s="78" t="e">
        <f t="shared" ref="I41:I69" si="8">VLOOKUP(Range,multiplier,6,FALSE)</f>
        <v>#N/A</v>
      </c>
      <c r="J41" s="99">
        <v>1591.5</v>
      </c>
      <c r="K41" s="94" t="e">
        <f t="shared" si="5"/>
        <v>#N/A</v>
      </c>
      <c r="L41" s="94"/>
      <c r="M41" s="82"/>
      <c r="N41" s="82"/>
      <c r="O41" s="93"/>
    </row>
    <row r="42" spans="1:16">
      <c r="A42" s="182"/>
      <c r="B42" s="69"/>
      <c r="C42" s="184"/>
      <c r="D42" s="89"/>
      <c r="E42" s="89"/>
      <c r="F42" s="74" t="e">
        <f t="shared" si="6"/>
        <v>#N/A</v>
      </c>
      <c r="G42" s="72" t="e">
        <f t="shared" si="2"/>
        <v>#N/A</v>
      </c>
      <c r="H42" s="80" t="e">
        <f t="shared" si="7"/>
        <v>#N/A</v>
      </c>
      <c r="I42" s="78" t="e">
        <f t="shared" si="8"/>
        <v>#N/A</v>
      </c>
      <c r="J42" s="99">
        <v>1591.5</v>
      </c>
      <c r="K42" s="94" t="e">
        <f t="shared" si="5"/>
        <v>#N/A</v>
      </c>
      <c r="L42" s="94"/>
      <c r="M42" s="82"/>
      <c r="N42" s="82"/>
    </row>
    <row r="43" spans="1:16">
      <c r="A43" s="182"/>
      <c r="B43" s="69"/>
      <c r="C43" s="184"/>
      <c r="D43" s="89"/>
      <c r="E43" s="89"/>
      <c r="F43" s="74" t="e">
        <f t="shared" si="6"/>
        <v>#N/A</v>
      </c>
      <c r="G43" s="72" t="e">
        <f t="shared" si="2"/>
        <v>#N/A</v>
      </c>
      <c r="H43" s="80" t="e">
        <f t="shared" si="7"/>
        <v>#N/A</v>
      </c>
      <c r="I43" s="78" t="e">
        <f t="shared" si="8"/>
        <v>#N/A</v>
      </c>
      <c r="J43" s="99">
        <v>1591.5</v>
      </c>
      <c r="K43" s="94" t="e">
        <f>1000*H43*VLOOKUP(C43,multiplier,7,FALSE)/(2*PI()*J43*F43*VLOOKUP(C43,multiplier,4,FALSE))</f>
        <v>#N/A</v>
      </c>
      <c r="L43" s="94"/>
      <c r="M43" s="82"/>
      <c r="N43" s="82"/>
    </row>
    <row r="44" spans="1:16">
      <c r="A44" s="182"/>
      <c r="B44" s="69"/>
      <c r="C44" s="184"/>
      <c r="D44" s="89"/>
      <c r="E44" s="89"/>
      <c r="F44" s="74" t="e">
        <f t="shared" si="6"/>
        <v>#N/A</v>
      </c>
      <c r="G44" s="72" t="e">
        <f t="shared" si="2"/>
        <v>#N/A</v>
      </c>
      <c r="H44" s="80" t="e">
        <f t="shared" si="7"/>
        <v>#N/A</v>
      </c>
      <c r="I44" s="72" t="e">
        <f t="shared" si="8"/>
        <v>#N/A</v>
      </c>
      <c r="J44" s="99">
        <v>1591.5</v>
      </c>
      <c r="K44" s="94" t="e">
        <f t="shared" ref="K44:K58" si="9">1000*H44*VLOOKUP(C44,multiplier,7,FALSE)/(2*PI()*J44*F44*VLOOKUP(C44,multiplier,4,FALSE))</f>
        <v>#N/A</v>
      </c>
      <c r="L44" s="94"/>
      <c r="M44" s="82"/>
      <c r="N44" s="82"/>
    </row>
    <row r="45" spans="1:16">
      <c r="A45" s="182"/>
      <c r="B45" s="69"/>
      <c r="C45" s="184"/>
      <c r="D45" s="89"/>
      <c r="E45" s="89"/>
      <c r="F45" s="74" t="e">
        <f t="shared" si="6"/>
        <v>#N/A</v>
      </c>
      <c r="G45" s="72" t="e">
        <f t="shared" si="2"/>
        <v>#N/A</v>
      </c>
      <c r="H45" s="80" t="e">
        <f t="shared" si="7"/>
        <v>#N/A</v>
      </c>
      <c r="I45" s="78" t="e">
        <f t="shared" si="8"/>
        <v>#N/A</v>
      </c>
      <c r="J45" s="99">
        <v>1591.5</v>
      </c>
      <c r="K45" s="94" t="e">
        <f t="shared" si="9"/>
        <v>#N/A</v>
      </c>
      <c r="L45" s="94"/>
      <c r="M45" s="82"/>
      <c r="N45" s="82"/>
    </row>
    <row r="46" spans="1:16">
      <c r="A46" s="182"/>
      <c r="B46" s="69"/>
      <c r="C46" s="184"/>
      <c r="D46" s="89"/>
      <c r="E46" s="89"/>
      <c r="F46" s="74" t="e">
        <f t="shared" si="6"/>
        <v>#N/A</v>
      </c>
      <c r="G46" s="72" t="e">
        <f t="shared" si="2"/>
        <v>#N/A</v>
      </c>
      <c r="H46" s="80" t="e">
        <f t="shared" si="7"/>
        <v>#N/A</v>
      </c>
      <c r="I46" s="78" t="e">
        <f t="shared" si="8"/>
        <v>#N/A</v>
      </c>
      <c r="J46" s="99">
        <v>1591.5</v>
      </c>
      <c r="K46" s="94" t="e">
        <f t="shared" si="9"/>
        <v>#N/A</v>
      </c>
      <c r="L46" s="94"/>
      <c r="M46" s="82"/>
      <c r="N46" s="82"/>
      <c r="O46" s="181"/>
    </row>
    <row r="47" spans="1:16">
      <c r="A47" s="182"/>
      <c r="B47" s="69"/>
      <c r="C47" s="184"/>
      <c r="D47" s="89"/>
      <c r="E47" s="89"/>
      <c r="F47" s="74" t="e">
        <f t="shared" si="6"/>
        <v>#N/A</v>
      </c>
      <c r="G47" s="72" t="e">
        <f t="shared" si="2"/>
        <v>#N/A</v>
      </c>
      <c r="H47" s="80" t="e">
        <f t="shared" si="7"/>
        <v>#N/A</v>
      </c>
      <c r="I47" s="78" t="e">
        <f t="shared" si="8"/>
        <v>#N/A</v>
      </c>
      <c r="J47" s="99">
        <v>1591.5</v>
      </c>
      <c r="K47" s="94" t="e">
        <f t="shared" si="9"/>
        <v>#N/A</v>
      </c>
      <c r="L47" s="94"/>
      <c r="M47" s="82"/>
      <c r="N47" s="82"/>
      <c r="O47" s="171"/>
      <c r="P47" s="181"/>
    </row>
    <row r="48" spans="1:16">
      <c r="A48" s="182"/>
      <c r="B48" s="69"/>
      <c r="C48" s="184"/>
      <c r="D48" s="89"/>
      <c r="E48" s="89"/>
      <c r="F48" s="74" t="e">
        <f t="shared" si="6"/>
        <v>#N/A</v>
      </c>
      <c r="G48" s="72" t="e">
        <f t="shared" si="2"/>
        <v>#N/A</v>
      </c>
      <c r="H48" s="80" t="e">
        <f t="shared" si="7"/>
        <v>#N/A</v>
      </c>
      <c r="I48" s="72" t="e">
        <f t="shared" si="8"/>
        <v>#N/A</v>
      </c>
      <c r="J48" s="99">
        <v>1591.5</v>
      </c>
      <c r="K48" s="94" t="e">
        <f t="shared" si="9"/>
        <v>#N/A</v>
      </c>
      <c r="L48" s="94"/>
      <c r="M48" s="82"/>
      <c r="N48" s="82"/>
      <c r="O48" s="181"/>
    </row>
    <row r="49" spans="1:16">
      <c r="A49" s="182"/>
      <c r="B49" s="69"/>
      <c r="C49" s="184"/>
      <c r="D49" s="89"/>
      <c r="E49" s="89"/>
      <c r="F49" s="74" t="e">
        <f t="shared" si="6"/>
        <v>#N/A</v>
      </c>
      <c r="G49" s="72" t="e">
        <f t="shared" si="2"/>
        <v>#N/A</v>
      </c>
      <c r="H49" s="76" t="e">
        <f t="shared" si="7"/>
        <v>#N/A</v>
      </c>
      <c r="I49" s="78" t="e">
        <f t="shared" si="8"/>
        <v>#N/A</v>
      </c>
      <c r="J49" s="99">
        <v>1591.5</v>
      </c>
      <c r="K49" s="94" t="e">
        <f t="shared" si="9"/>
        <v>#N/A</v>
      </c>
      <c r="L49" s="94"/>
      <c r="M49" s="82"/>
      <c r="N49" s="82"/>
      <c r="O49" s="172"/>
      <c r="P49" s="181"/>
    </row>
    <row r="50" spans="1:16">
      <c r="A50" s="182"/>
      <c r="B50" s="69"/>
      <c r="C50" s="184"/>
      <c r="D50" s="89"/>
      <c r="E50" s="89"/>
      <c r="F50" s="74" t="e">
        <f t="shared" si="6"/>
        <v>#N/A</v>
      </c>
      <c r="G50" s="72" t="e">
        <f t="shared" si="2"/>
        <v>#N/A</v>
      </c>
      <c r="H50" s="76" t="e">
        <f t="shared" si="7"/>
        <v>#N/A</v>
      </c>
      <c r="I50" s="78" t="e">
        <f t="shared" si="8"/>
        <v>#N/A</v>
      </c>
      <c r="J50" s="99">
        <v>1591.5</v>
      </c>
      <c r="K50" s="94" t="e">
        <f t="shared" si="9"/>
        <v>#N/A</v>
      </c>
      <c r="L50" s="94"/>
      <c r="M50" s="82"/>
      <c r="N50" s="82"/>
      <c r="O50" s="172"/>
      <c r="P50" s="181"/>
    </row>
    <row r="51" spans="1:16">
      <c r="A51" s="182"/>
      <c r="B51" s="69"/>
      <c r="C51" s="184"/>
      <c r="D51" s="89"/>
      <c r="E51" s="89"/>
      <c r="F51" s="74" t="e">
        <f t="shared" si="6"/>
        <v>#N/A</v>
      </c>
      <c r="G51" s="72" t="e">
        <f t="shared" si="2"/>
        <v>#N/A</v>
      </c>
      <c r="H51" s="76" t="e">
        <f t="shared" si="7"/>
        <v>#N/A</v>
      </c>
      <c r="I51" s="78" t="e">
        <f t="shared" si="8"/>
        <v>#N/A</v>
      </c>
      <c r="J51" s="99">
        <v>1591.5</v>
      </c>
      <c r="K51" s="94" t="e">
        <f t="shared" si="9"/>
        <v>#N/A</v>
      </c>
      <c r="L51" s="94"/>
      <c r="M51" s="82"/>
      <c r="N51" s="82"/>
    </row>
    <row r="52" spans="1:16">
      <c r="A52" s="182"/>
      <c r="B52" s="69"/>
      <c r="C52" s="184"/>
      <c r="D52" s="89"/>
      <c r="E52" s="89"/>
      <c r="F52" s="74" t="e">
        <f t="shared" si="6"/>
        <v>#N/A</v>
      </c>
      <c r="G52" s="72" t="e">
        <f t="shared" si="2"/>
        <v>#N/A</v>
      </c>
      <c r="H52" s="76" t="e">
        <f t="shared" si="7"/>
        <v>#N/A</v>
      </c>
      <c r="I52" s="78" t="e">
        <f t="shared" si="8"/>
        <v>#N/A</v>
      </c>
      <c r="J52" s="99">
        <v>1591.5</v>
      </c>
      <c r="K52" s="94" t="e">
        <f t="shared" si="9"/>
        <v>#N/A</v>
      </c>
      <c r="L52" s="94"/>
      <c r="M52" s="82"/>
      <c r="N52" s="82"/>
    </row>
    <row r="53" spans="1:16">
      <c r="A53" s="182"/>
      <c r="B53" s="69"/>
      <c r="C53" s="184"/>
      <c r="D53" s="89"/>
      <c r="E53" s="89"/>
      <c r="F53" s="74" t="e">
        <f t="shared" si="6"/>
        <v>#N/A</v>
      </c>
      <c r="G53" s="72" t="e">
        <f t="shared" si="2"/>
        <v>#N/A</v>
      </c>
      <c r="H53" s="76" t="e">
        <f t="shared" si="7"/>
        <v>#N/A</v>
      </c>
      <c r="I53" s="78" t="e">
        <f t="shared" si="8"/>
        <v>#N/A</v>
      </c>
      <c r="J53" s="99">
        <v>1591.5</v>
      </c>
      <c r="K53" s="94" t="e">
        <f t="shared" si="9"/>
        <v>#N/A</v>
      </c>
      <c r="L53" s="94"/>
      <c r="M53" s="82"/>
      <c r="N53" s="82"/>
    </row>
    <row r="54" spans="1:16">
      <c r="A54" s="68"/>
      <c r="B54" s="69"/>
      <c r="C54" s="70"/>
      <c r="D54" s="89"/>
      <c r="E54" s="89"/>
      <c r="F54" s="74" t="e">
        <f t="shared" si="6"/>
        <v>#N/A</v>
      </c>
      <c r="G54" s="72" t="e">
        <f t="shared" si="2"/>
        <v>#N/A</v>
      </c>
      <c r="H54" s="76" t="e">
        <f t="shared" si="7"/>
        <v>#N/A</v>
      </c>
      <c r="I54" s="78" t="e">
        <f t="shared" si="8"/>
        <v>#N/A</v>
      </c>
      <c r="J54" s="99">
        <v>1591.5</v>
      </c>
      <c r="K54" s="94" t="e">
        <f t="shared" si="9"/>
        <v>#N/A</v>
      </c>
      <c r="L54" s="94"/>
      <c r="M54" s="82"/>
      <c r="N54" s="82"/>
    </row>
    <row r="55" spans="1:16">
      <c r="A55" s="182"/>
      <c r="B55" s="69"/>
      <c r="C55" s="184"/>
      <c r="D55" s="89"/>
      <c r="E55" s="89"/>
      <c r="F55" s="74" t="e">
        <f t="shared" si="6"/>
        <v>#N/A</v>
      </c>
      <c r="G55" s="72" t="e">
        <f t="shared" si="2"/>
        <v>#N/A</v>
      </c>
      <c r="H55" s="76" t="e">
        <f t="shared" si="7"/>
        <v>#N/A</v>
      </c>
      <c r="I55" s="78" t="e">
        <f t="shared" si="8"/>
        <v>#N/A</v>
      </c>
      <c r="J55" s="246">
        <v>1591.6</v>
      </c>
      <c r="K55" s="94" t="e">
        <f t="shared" si="9"/>
        <v>#N/A</v>
      </c>
      <c r="L55" s="94"/>
      <c r="M55" s="82"/>
      <c r="N55" s="82"/>
    </row>
    <row r="56" spans="1:16">
      <c r="A56" s="182"/>
      <c r="B56" s="69"/>
      <c r="C56" s="184"/>
      <c r="D56" s="89"/>
      <c r="E56" s="89"/>
      <c r="F56" s="74" t="e">
        <f t="shared" si="6"/>
        <v>#N/A</v>
      </c>
      <c r="G56" s="72" t="e">
        <f t="shared" si="2"/>
        <v>#N/A</v>
      </c>
      <c r="H56" s="76" t="e">
        <f t="shared" si="7"/>
        <v>#N/A</v>
      </c>
      <c r="I56" s="78" t="e">
        <f t="shared" si="8"/>
        <v>#N/A</v>
      </c>
      <c r="J56" s="248">
        <v>1591.4</v>
      </c>
      <c r="K56" s="94" t="e">
        <f t="shared" si="9"/>
        <v>#N/A</v>
      </c>
      <c r="L56" s="94"/>
      <c r="M56" s="82"/>
      <c r="N56" s="82"/>
    </row>
    <row r="57" spans="1:16">
      <c r="A57" s="182"/>
      <c r="B57" s="69"/>
      <c r="C57" s="184"/>
      <c r="D57" s="89"/>
      <c r="E57" s="89"/>
      <c r="F57" s="74" t="e">
        <f t="shared" si="6"/>
        <v>#N/A</v>
      </c>
      <c r="G57" s="72" t="e">
        <f t="shared" si="2"/>
        <v>#N/A</v>
      </c>
      <c r="H57" s="76" t="e">
        <f t="shared" si="7"/>
        <v>#N/A</v>
      </c>
      <c r="I57" s="78" t="e">
        <f t="shared" si="8"/>
        <v>#N/A</v>
      </c>
      <c r="J57" s="248">
        <v>1591.4</v>
      </c>
      <c r="K57" s="94" t="e">
        <f t="shared" si="9"/>
        <v>#N/A</v>
      </c>
      <c r="L57" s="94"/>
      <c r="M57" s="82"/>
      <c r="N57" s="82"/>
    </row>
    <row r="58" spans="1:16">
      <c r="A58" s="182"/>
      <c r="B58" s="69"/>
      <c r="C58" s="184"/>
      <c r="D58" s="89"/>
      <c r="E58" s="89"/>
      <c r="F58" s="74" t="e">
        <f t="shared" si="6"/>
        <v>#N/A</v>
      </c>
      <c r="G58" s="72" t="e">
        <f t="shared" si="2"/>
        <v>#N/A</v>
      </c>
      <c r="H58" s="76" t="e">
        <f t="shared" si="7"/>
        <v>#N/A</v>
      </c>
      <c r="I58" s="78" t="e">
        <f t="shared" si="8"/>
        <v>#N/A</v>
      </c>
      <c r="J58" s="248">
        <v>1591.4</v>
      </c>
      <c r="K58" s="94" t="e">
        <f t="shared" si="9"/>
        <v>#N/A</v>
      </c>
      <c r="L58" s="94"/>
      <c r="M58" s="82"/>
      <c r="N58" s="82"/>
    </row>
    <row r="59" spans="1:16">
      <c r="A59" s="182"/>
      <c r="B59" s="69"/>
      <c r="C59" s="184"/>
      <c r="D59" s="89"/>
      <c r="E59" s="89"/>
      <c r="F59" s="74" t="e">
        <f t="shared" si="6"/>
        <v>#N/A</v>
      </c>
      <c r="G59" s="72" t="e">
        <f t="shared" si="2"/>
        <v>#N/A</v>
      </c>
      <c r="H59" s="76" t="e">
        <f t="shared" si="7"/>
        <v>#N/A</v>
      </c>
      <c r="I59" s="78" t="e">
        <f t="shared" si="8"/>
        <v>#N/A</v>
      </c>
      <c r="J59" s="245">
        <v>1591.7</v>
      </c>
      <c r="K59" s="94" t="e">
        <f>1000*H59*VLOOKUP(C59,multiplier,7,FALSE)/(2*PI()*J59*F59*VLOOKUP(C59,multiplier,4,FALSE))</f>
        <v>#N/A</v>
      </c>
      <c r="L59" s="94"/>
      <c r="M59" s="82"/>
      <c r="N59" s="82"/>
    </row>
    <row r="60" spans="1:16">
      <c r="A60" s="182"/>
      <c r="B60" s="69"/>
      <c r="C60" s="184"/>
      <c r="D60" s="89"/>
      <c r="E60" s="89"/>
      <c r="F60" s="95" t="e">
        <f t="shared" si="6"/>
        <v>#N/A</v>
      </c>
      <c r="G60" s="72" t="e">
        <f t="shared" si="2"/>
        <v>#N/A</v>
      </c>
      <c r="H60" s="76" t="e">
        <f t="shared" si="7"/>
        <v>#N/A</v>
      </c>
      <c r="I60" s="78" t="e">
        <f t="shared" si="8"/>
        <v>#N/A</v>
      </c>
      <c r="J60" s="245">
        <v>1591.7</v>
      </c>
      <c r="K60" s="94" t="e">
        <f>1000*H60*VLOOKUP(C60,multiplier,7,FALSE)/(2*PI()*J60*F60*VLOOKUP(C60,multiplier,4,FALSE))</f>
        <v>#N/A</v>
      </c>
      <c r="L60" s="94"/>
      <c r="M60" s="82"/>
      <c r="N60" s="82"/>
    </row>
    <row r="61" spans="1:16">
      <c r="A61" s="182"/>
      <c r="B61" s="69"/>
      <c r="C61" s="184"/>
      <c r="D61" s="89"/>
      <c r="E61" s="89"/>
      <c r="F61" s="74" t="e">
        <f t="shared" si="6"/>
        <v>#N/A</v>
      </c>
      <c r="G61" s="72" t="e">
        <f t="shared" si="2"/>
        <v>#N/A</v>
      </c>
      <c r="H61" s="76" t="e">
        <f t="shared" si="7"/>
        <v>#N/A</v>
      </c>
      <c r="I61" s="78" t="e">
        <f t="shared" si="8"/>
        <v>#N/A</v>
      </c>
      <c r="J61" s="245">
        <v>1591.7</v>
      </c>
      <c r="K61" s="94" t="e">
        <f t="shared" ref="K61:K68" si="10">1000*H61*VLOOKUP(C61,multiplier,7,FALSE)/(2*PI()*J61*F61*VLOOKUP(C61,multiplier,4,FALSE))</f>
        <v>#N/A</v>
      </c>
      <c r="L61" s="94"/>
      <c r="M61" s="82"/>
      <c r="N61" s="82"/>
    </row>
    <row r="62" spans="1:16">
      <c r="A62" s="182"/>
      <c r="B62" s="69"/>
      <c r="C62" s="184"/>
      <c r="D62" s="89"/>
      <c r="E62" s="89"/>
      <c r="F62" s="74" t="e">
        <f t="shared" si="6"/>
        <v>#N/A</v>
      </c>
      <c r="G62" s="72" t="e">
        <f t="shared" si="2"/>
        <v>#N/A</v>
      </c>
      <c r="H62" s="76" t="e">
        <f t="shared" si="7"/>
        <v>#N/A</v>
      </c>
      <c r="I62" s="78" t="e">
        <f t="shared" si="8"/>
        <v>#N/A</v>
      </c>
      <c r="J62" s="245">
        <v>1591.7</v>
      </c>
      <c r="K62" s="94" t="e">
        <f t="shared" si="10"/>
        <v>#N/A</v>
      </c>
      <c r="L62" s="94"/>
      <c r="M62" s="82"/>
      <c r="N62" s="82"/>
    </row>
    <row r="63" spans="1:16">
      <c r="A63" s="182"/>
      <c r="B63" s="69"/>
      <c r="C63" s="184"/>
      <c r="D63" s="89"/>
      <c r="E63" s="89"/>
      <c r="F63" s="74" t="e">
        <f t="shared" si="6"/>
        <v>#N/A</v>
      </c>
      <c r="G63" s="72" t="e">
        <f t="shared" si="2"/>
        <v>#N/A</v>
      </c>
      <c r="H63" s="76" t="e">
        <f t="shared" si="7"/>
        <v>#N/A</v>
      </c>
      <c r="I63" s="78" t="e">
        <f t="shared" si="8"/>
        <v>#N/A</v>
      </c>
      <c r="J63" s="245">
        <v>1591.7</v>
      </c>
      <c r="K63" s="94" t="e">
        <f t="shared" si="10"/>
        <v>#N/A</v>
      </c>
      <c r="L63" s="94"/>
      <c r="M63" s="82"/>
      <c r="N63" s="82"/>
    </row>
    <row r="64" spans="1:16">
      <c r="A64" s="182"/>
      <c r="B64" s="69"/>
      <c r="C64" s="184"/>
      <c r="D64" s="89"/>
      <c r="E64" s="89"/>
      <c r="F64" s="74" t="e">
        <f t="shared" si="6"/>
        <v>#N/A</v>
      </c>
      <c r="G64" s="72" t="e">
        <f t="shared" si="2"/>
        <v>#N/A</v>
      </c>
      <c r="H64" s="76" t="e">
        <f t="shared" si="7"/>
        <v>#N/A</v>
      </c>
      <c r="I64" s="78" t="e">
        <f t="shared" si="8"/>
        <v>#N/A</v>
      </c>
      <c r="J64" s="245">
        <v>1591.7</v>
      </c>
      <c r="K64" s="94" t="e">
        <f t="shared" si="10"/>
        <v>#N/A</v>
      </c>
      <c r="L64" s="94"/>
      <c r="M64" s="82"/>
      <c r="N64" s="82"/>
    </row>
    <row r="65" spans="1:14">
      <c r="A65" s="182"/>
      <c r="B65" s="69"/>
      <c r="C65" s="184"/>
      <c r="D65" s="89"/>
      <c r="E65" s="89"/>
      <c r="F65" s="74" t="e">
        <f t="shared" si="6"/>
        <v>#N/A</v>
      </c>
      <c r="G65" s="72" t="e">
        <f t="shared" si="2"/>
        <v>#N/A</v>
      </c>
      <c r="H65" s="76" t="e">
        <f t="shared" si="7"/>
        <v>#N/A</v>
      </c>
      <c r="I65" s="78" t="e">
        <f t="shared" si="8"/>
        <v>#N/A</v>
      </c>
      <c r="J65" s="245">
        <v>1591.7</v>
      </c>
      <c r="K65" s="94" t="e">
        <f t="shared" si="10"/>
        <v>#N/A</v>
      </c>
      <c r="L65" s="94"/>
      <c r="M65" s="82"/>
      <c r="N65" s="82"/>
    </row>
    <row r="66" spans="1:14">
      <c r="A66" s="182"/>
      <c r="B66" s="69"/>
      <c r="C66" s="184"/>
      <c r="D66" s="89"/>
      <c r="E66" s="89"/>
      <c r="F66" s="74" t="e">
        <f t="shared" si="6"/>
        <v>#N/A</v>
      </c>
      <c r="G66" s="75" t="e">
        <f t="shared" si="2"/>
        <v>#N/A</v>
      </c>
      <c r="H66" s="76" t="e">
        <f t="shared" si="7"/>
        <v>#N/A</v>
      </c>
      <c r="I66" s="77" t="e">
        <f t="shared" si="8"/>
        <v>#N/A</v>
      </c>
      <c r="J66" s="245">
        <v>1591.7</v>
      </c>
      <c r="K66" s="94" t="e">
        <f t="shared" si="10"/>
        <v>#N/A</v>
      </c>
      <c r="L66" s="94"/>
      <c r="M66" s="82"/>
      <c r="N66" s="82"/>
    </row>
    <row r="67" spans="1:14">
      <c r="A67" s="182"/>
      <c r="B67" s="69"/>
      <c r="C67" s="184"/>
      <c r="D67" s="89"/>
      <c r="E67" s="89"/>
      <c r="F67" s="74" t="e">
        <f t="shared" si="6"/>
        <v>#N/A</v>
      </c>
      <c r="G67" s="75" t="e">
        <f t="shared" si="2"/>
        <v>#N/A</v>
      </c>
      <c r="H67" s="76" t="e">
        <f t="shared" si="7"/>
        <v>#N/A</v>
      </c>
      <c r="I67" s="77" t="e">
        <f t="shared" si="8"/>
        <v>#N/A</v>
      </c>
      <c r="J67" s="245">
        <v>1591.7</v>
      </c>
      <c r="K67" s="94" t="e">
        <f t="shared" si="10"/>
        <v>#N/A</v>
      </c>
      <c r="L67" s="94"/>
      <c r="M67" s="82"/>
      <c r="N67" s="82"/>
    </row>
    <row r="68" spans="1:14">
      <c r="A68" s="182"/>
      <c r="B68" s="69"/>
      <c r="C68" s="184"/>
      <c r="D68" s="89"/>
      <c r="E68" s="89"/>
      <c r="F68" s="74" t="e">
        <f t="shared" si="6"/>
        <v>#N/A</v>
      </c>
      <c r="G68" s="75" t="e">
        <f t="shared" si="2"/>
        <v>#N/A</v>
      </c>
      <c r="H68" s="76" t="e">
        <f t="shared" si="7"/>
        <v>#N/A</v>
      </c>
      <c r="I68" s="77" t="e">
        <f t="shared" si="8"/>
        <v>#N/A</v>
      </c>
      <c r="J68" s="245">
        <v>1591.7</v>
      </c>
      <c r="K68" s="94" t="e">
        <f t="shared" si="10"/>
        <v>#N/A</v>
      </c>
      <c r="L68" s="94"/>
      <c r="M68" s="82"/>
      <c r="N68" s="82"/>
    </row>
    <row r="69" spans="1:14">
      <c r="A69" s="182"/>
      <c r="B69" s="69"/>
      <c r="C69" s="184"/>
      <c r="D69" s="89"/>
      <c r="E69" s="89"/>
      <c r="F69" s="74" t="e">
        <f t="shared" si="6"/>
        <v>#N/A</v>
      </c>
      <c r="G69" s="75" t="e">
        <f t="shared" si="2"/>
        <v>#N/A</v>
      </c>
      <c r="H69" s="76" t="e">
        <f t="shared" si="7"/>
        <v>#N/A</v>
      </c>
      <c r="I69" s="77" t="e">
        <f t="shared" si="8"/>
        <v>#N/A</v>
      </c>
      <c r="J69" s="246">
        <v>1591.6</v>
      </c>
      <c r="K69" s="94" t="e">
        <f t="shared" ref="K69" si="11">1000*H69*VLOOKUP(C69,multiplier,7,FALSE)/(2*PI()*J69*F69*VLOOKUP(C69,multiplier,4,FALSE))</f>
        <v>#N/A</v>
      </c>
      <c r="L69" s="94"/>
      <c r="N69" s="82"/>
    </row>
    <row r="70" spans="1:14">
      <c r="K70" s="94"/>
      <c r="L70" s="94"/>
    </row>
    <row r="71" spans="1:14">
      <c r="A71"/>
    </row>
    <row r="72" spans="1:14">
      <c r="A72"/>
    </row>
    <row r="73" spans="1:14">
      <c r="A73"/>
    </row>
    <row r="74" spans="1:14">
      <c r="A74"/>
    </row>
    <row r="75" spans="1:14">
      <c r="A75"/>
    </row>
    <row r="77" spans="1:14">
      <c r="A77"/>
    </row>
    <row r="78" spans="1:14">
      <c r="A78"/>
      <c r="F78" s="85"/>
      <c r="K78" s="93"/>
      <c r="L78" s="93"/>
      <c r="M78" s="82"/>
    </row>
    <row r="79" spans="1:14">
      <c r="A79"/>
      <c r="F79" s="85"/>
      <c r="K79" s="93"/>
      <c r="L79" s="93"/>
      <c r="M79" s="82"/>
    </row>
    <row r="80" spans="1:14">
      <c r="A80"/>
      <c r="F80" s="85"/>
      <c r="K80" s="93"/>
      <c r="L80" s="93"/>
      <c r="M80" s="82"/>
    </row>
    <row r="81" spans="1:13">
      <c r="A81"/>
      <c r="F81" s="85"/>
      <c r="K81" s="93"/>
      <c r="L81" s="93"/>
      <c r="M81" s="82"/>
    </row>
    <row r="82" spans="1:13">
      <c r="A82"/>
    </row>
  </sheetData>
  <phoneticPr fontId="0" type="noConversion"/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6"/>
  <sheetViews>
    <sheetView topLeftCell="D22" workbookViewId="0">
      <selection activeCell="K27" sqref="K27"/>
    </sheetView>
  </sheetViews>
  <sheetFormatPr defaultRowHeight="12.75"/>
  <cols>
    <col min="1" max="1" width="10.140625" bestFit="1" customWidth="1"/>
    <col min="4" max="4" width="77" customWidth="1"/>
    <col min="5" max="5" width="12.28515625" customWidth="1"/>
    <col min="6" max="6" width="13.7109375" customWidth="1"/>
    <col min="7" max="7" width="12.7109375" customWidth="1"/>
    <col min="8" max="8" width="18.5703125" customWidth="1"/>
    <col min="10" max="10" width="13.7109375" customWidth="1"/>
    <col min="11" max="11" width="16.5703125" customWidth="1"/>
    <col min="12" max="12" width="12.28515625" bestFit="1" customWidth="1"/>
    <col min="17" max="17" width="11.5703125" customWidth="1"/>
  </cols>
  <sheetData>
    <row r="1" spans="1:31" ht="13.5" thickBot="1">
      <c r="A1" s="103" t="s">
        <v>160</v>
      </c>
      <c r="E1" t="s">
        <v>45</v>
      </c>
      <c r="L1" t="s">
        <v>46</v>
      </c>
      <c r="M1" s="3" t="s">
        <v>41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4" t="s">
        <v>13</v>
      </c>
      <c r="T1" s="4" t="s">
        <v>15</v>
      </c>
    </row>
    <row r="2" spans="1:31" ht="13.5" thickTop="1">
      <c r="E2" s="5" t="s">
        <v>52</v>
      </c>
      <c r="F2" s="6" t="s">
        <v>53</v>
      </c>
      <c r="G2" s="7" t="s">
        <v>46</v>
      </c>
      <c r="H2" s="8"/>
      <c r="K2" t="s">
        <v>54</v>
      </c>
      <c r="L2" s="104">
        <v>31092</v>
      </c>
      <c r="M2" s="91">
        <f>IMREAL(COMPLEX(32,0))</f>
        <v>32</v>
      </c>
      <c r="N2" s="91">
        <f>IMREAL(COMPLEX(30.1,3.9))</f>
        <v>30.1</v>
      </c>
      <c r="O2" s="91">
        <f>IMREAL(COMPLEX(-12,-5.9))</f>
        <v>-12</v>
      </c>
      <c r="P2" s="91">
        <f>IMREAL(COMPLEX(53,0))</f>
        <v>53</v>
      </c>
      <c r="Q2" s="91">
        <f>IMREAL(COMPLEX(13,-0.4))</f>
        <v>13</v>
      </c>
      <c r="R2" s="91">
        <f>IMREAL(COMPLEX(8.7,1.8))</f>
        <v>8.6999999999999993</v>
      </c>
      <c r="S2" s="91" t="s">
        <v>161</v>
      </c>
      <c r="T2" s="91" t="s">
        <v>161</v>
      </c>
      <c r="U2" t="s">
        <v>162</v>
      </c>
      <c r="Y2">
        <f>M2-M$3</f>
        <v>-91.32</v>
      </c>
      <c r="Z2">
        <f t="shared" ref="Z2:AD12" si="0">N2-N$2</f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</row>
    <row r="3" spans="1:31">
      <c r="E3" s="9"/>
      <c r="F3" s="10" t="s">
        <v>55</v>
      </c>
      <c r="G3" s="105">
        <v>43049</v>
      </c>
      <c r="H3" s="11"/>
      <c r="K3" t="s">
        <v>56</v>
      </c>
      <c r="L3" s="104">
        <v>32477</v>
      </c>
      <c r="M3" s="91">
        <v>123.32</v>
      </c>
      <c r="N3" s="91">
        <v>35</v>
      </c>
      <c r="O3" s="91">
        <v>-12</v>
      </c>
      <c r="P3" s="91" t="e">
        <f>NA()</f>
        <v>#N/A</v>
      </c>
      <c r="Q3" s="91">
        <v>9</v>
      </c>
      <c r="R3" s="91">
        <v>4</v>
      </c>
      <c r="S3" s="91">
        <v>0</v>
      </c>
      <c r="T3" s="91">
        <v>0</v>
      </c>
      <c r="Y3">
        <f t="shared" ref="Y3:Y13" si="1">M3-M$3</f>
        <v>0</v>
      </c>
      <c r="Z3">
        <f t="shared" si="0"/>
        <v>4.8999999999999986</v>
      </c>
      <c r="AA3">
        <f t="shared" si="0"/>
        <v>0</v>
      </c>
      <c r="AB3" t="e">
        <f t="shared" si="0"/>
        <v>#N/A</v>
      </c>
      <c r="AC3">
        <f t="shared" si="0"/>
        <v>-4</v>
      </c>
      <c r="AD3">
        <f t="shared" si="0"/>
        <v>-4.6999999999999993</v>
      </c>
      <c r="AE3">
        <f t="shared" ref="AE3:AE12" si="2">S3-S$3</f>
        <v>0</v>
      </c>
    </row>
    <row r="4" spans="1:31">
      <c r="A4" s="12" t="s">
        <v>46</v>
      </c>
      <c r="B4" s="12" t="s">
        <v>57</v>
      </c>
      <c r="C4" s="12" t="s">
        <v>58</v>
      </c>
      <c r="E4" s="9" t="s">
        <v>59</v>
      </c>
      <c r="F4" s="106">
        <f>IMREAL(VLOOKUP($G$3,Data,2,FALSE))</f>
        <v>149</v>
      </c>
      <c r="G4" s="13" t="str">
        <f t="shared" ref="G4:G9" si="3">VLOOKUP($G$3,Record,2,FALSE)</f>
        <v>UBIII</v>
      </c>
      <c r="H4" s="11"/>
      <c r="K4" t="s">
        <v>56</v>
      </c>
      <c r="L4" s="104">
        <v>33309</v>
      </c>
      <c r="M4" s="91">
        <v>133</v>
      </c>
      <c r="N4" s="91">
        <v>37</v>
      </c>
      <c r="O4" s="91">
        <v>-14</v>
      </c>
      <c r="P4" s="91">
        <v>61</v>
      </c>
      <c r="Q4" s="91">
        <v>10</v>
      </c>
      <c r="R4" s="91">
        <v>6</v>
      </c>
      <c r="S4" s="91">
        <v>0</v>
      </c>
      <c r="T4" s="91">
        <v>0</v>
      </c>
      <c r="Y4">
        <f t="shared" si="1"/>
        <v>9.6800000000000068</v>
      </c>
      <c r="Z4">
        <f t="shared" si="0"/>
        <v>6.8999999999999986</v>
      </c>
      <c r="AA4">
        <f t="shared" si="0"/>
        <v>-2</v>
      </c>
      <c r="AB4">
        <f t="shared" si="0"/>
        <v>8</v>
      </c>
      <c r="AC4">
        <f t="shared" si="0"/>
        <v>-3</v>
      </c>
      <c r="AD4">
        <f t="shared" si="0"/>
        <v>-2.6999999999999993</v>
      </c>
      <c r="AE4">
        <f t="shared" si="2"/>
        <v>0</v>
      </c>
    </row>
    <row r="5" spans="1:31">
      <c r="A5" s="1">
        <v>29728</v>
      </c>
      <c r="B5" t="s">
        <v>60</v>
      </c>
      <c r="C5" t="s">
        <v>61</v>
      </c>
      <c r="E5" s="9" t="s">
        <v>62</v>
      </c>
      <c r="F5" s="106">
        <f>IMREAL(VLOOKUP($G$3,Data,3,FALSE))</f>
        <v>54.348903584022779</v>
      </c>
      <c r="G5" s="13" t="str">
        <f t="shared" si="3"/>
        <v>UBIII</v>
      </c>
      <c r="H5" s="11"/>
      <c r="K5" t="s">
        <v>56</v>
      </c>
      <c r="L5" s="104">
        <v>34933</v>
      </c>
      <c r="M5" s="91">
        <v>127.40600000000001</v>
      </c>
      <c r="N5" s="91">
        <v>40.340000000000003</v>
      </c>
      <c r="O5" s="107">
        <v>-17.21</v>
      </c>
      <c r="P5" s="91">
        <v>52</v>
      </c>
      <c r="Q5" s="107">
        <v>11.21</v>
      </c>
      <c r="R5" s="107">
        <v>6.21</v>
      </c>
      <c r="S5" s="91">
        <v>0</v>
      </c>
      <c r="T5" s="91">
        <v>0</v>
      </c>
      <c r="Y5">
        <f t="shared" si="1"/>
        <v>4.0860000000000127</v>
      </c>
      <c r="Z5">
        <f t="shared" si="0"/>
        <v>10.240000000000002</v>
      </c>
      <c r="AA5">
        <f t="shared" si="0"/>
        <v>-5.2100000000000009</v>
      </c>
      <c r="AB5">
        <f t="shared" si="0"/>
        <v>-1</v>
      </c>
      <c r="AC5">
        <f t="shared" si="0"/>
        <v>-1.7899999999999991</v>
      </c>
      <c r="AD5">
        <f t="shared" si="0"/>
        <v>-2.4899999999999993</v>
      </c>
      <c r="AE5">
        <f t="shared" si="2"/>
        <v>0</v>
      </c>
    </row>
    <row r="6" spans="1:31">
      <c r="A6" s="1">
        <v>30665</v>
      </c>
      <c r="B6" t="s">
        <v>63</v>
      </c>
      <c r="C6" t="s">
        <v>64</v>
      </c>
      <c r="E6" s="9" t="s">
        <v>65</v>
      </c>
      <c r="F6" s="106">
        <f>IMREAL(VLOOKUP($G$3,Data,4,FALSE))</f>
        <v>-8.263471415803636</v>
      </c>
      <c r="G6" s="13" t="str">
        <f t="shared" si="3"/>
        <v>UBIII</v>
      </c>
      <c r="H6" s="11"/>
      <c r="K6" t="s">
        <v>56</v>
      </c>
      <c r="L6" s="104">
        <v>36102</v>
      </c>
      <c r="M6" s="91">
        <v>135.27000000000001</v>
      </c>
      <c r="N6" s="108">
        <v>43.374148761358811</v>
      </c>
      <c r="O6" s="107">
        <v>-16.35231834356091</v>
      </c>
      <c r="P6" s="108">
        <v>67.003866063780151</v>
      </c>
      <c r="Q6" s="107">
        <v>11.184371676790761</v>
      </c>
      <c r="R6" s="107">
        <v>6.6891116768238135</v>
      </c>
      <c r="S6" s="91">
        <v>0</v>
      </c>
      <c r="T6" s="91">
        <v>0</v>
      </c>
      <c r="Y6">
        <f t="shared" si="1"/>
        <v>11.950000000000017</v>
      </c>
      <c r="Z6">
        <f t="shared" si="0"/>
        <v>13.274148761358809</v>
      </c>
      <c r="AA6">
        <f t="shared" si="0"/>
        <v>-4.3523183435609099</v>
      </c>
      <c r="AB6">
        <f t="shared" si="0"/>
        <v>14.003866063780151</v>
      </c>
      <c r="AC6">
        <f t="shared" si="0"/>
        <v>-1.8156283232092392</v>
      </c>
      <c r="AD6">
        <f t="shared" si="0"/>
        <v>-2.0108883231761858</v>
      </c>
      <c r="AE6">
        <f t="shared" si="2"/>
        <v>0</v>
      </c>
    </row>
    <row r="7" spans="1:31">
      <c r="A7" s="1">
        <v>30722</v>
      </c>
      <c r="C7" t="s">
        <v>66</v>
      </c>
      <c r="E7" s="9" t="s">
        <v>67</v>
      </c>
      <c r="F7" s="106">
        <f>IMREAL(VLOOKUP($G$3,Data,5,FALSE))</f>
        <v>66.746803584205594</v>
      </c>
      <c r="G7" s="13" t="str">
        <f t="shared" si="3"/>
        <v>UBIII</v>
      </c>
      <c r="H7" s="11"/>
      <c r="K7" t="s">
        <v>56</v>
      </c>
      <c r="L7" s="104">
        <v>37142</v>
      </c>
      <c r="M7" s="107">
        <v>124.15653400852065</v>
      </c>
      <c r="N7" s="107">
        <v>46.005999473575088</v>
      </c>
      <c r="O7" s="107">
        <v>-17.319750828058801</v>
      </c>
      <c r="P7" s="107">
        <v>64.090992469401087</v>
      </c>
      <c r="Q7" s="107">
        <v>12.022750828099106</v>
      </c>
      <c r="R7" s="107">
        <v>7.47625082806357</v>
      </c>
      <c r="S7" s="91">
        <v>0</v>
      </c>
      <c r="T7" s="91">
        <v>0</v>
      </c>
      <c r="Y7">
        <f t="shared" si="1"/>
        <v>0.83653400852065829</v>
      </c>
      <c r="Z7">
        <f t="shared" si="0"/>
        <v>15.905999473575086</v>
      </c>
      <c r="AA7">
        <f t="shared" si="0"/>
        <v>-5.3197508280588011</v>
      </c>
      <c r="AB7">
        <f t="shared" si="0"/>
        <v>11.090992469401087</v>
      </c>
      <c r="AC7">
        <f t="shared" si="0"/>
        <v>-0.977249171900894</v>
      </c>
      <c r="AD7">
        <f t="shared" si="0"/>
        <v>-1.2237491719364293</v>
      </c>
      <c r="AE7">
        <f t="shared" si="2"/>
        <v>0</v>
      </c>
    </row>
    <row r="8" spans="1:31">
      <c r="A8" s="1">
        <v>32477</v>
      </c>
      <c r="B8" t="s">
        <v>68</v>
      </c>
      <c r="C8" t="s">
        <v>69</v>
      </c>
      <c r="E8" s="9" t="s">
        <v>70</v>
      </c>
      <c r="F8" s="106">
        <f>IMREAL(VLOOKUP($G$3,Data,6,FALSE))</f>
        <v>13.821956415749348</v>
      </c>
      <c r="G8" s="13" t="str">
        <f t="shared" si="3"/>
        <v>UBIII</v>
      </c>
      <c r="H8" s="11"/>
      <c r="K8" t="s">
        <v>56</v>
      </c>
      <c r="L8" s="104">
        <v>38008</v>
      </c>
      <c r="M8" s="107">
        <v>131.71484972722556</v>
      </c>
      <c r="N8" s="107">
        <v>47.52000000007861</v>
      </c>
      <c r="O8" s="107">
        <v>-16.235999999891781</v>
      </c>
      <c r="P8" s="107">
        <v>63.740000000089836</v>
      </c>
      <c r="Q8" s="107">
        <v>12.615999999798788</v>
      </c>
      <c r="R8" s="107">
        <v>7.5959999999986039</v>
      </c>
      <c r="S8" s="91">
        <v>0</v>
      </c>
      <c r="T8" s="91">
        <v>0</v>
      </c>
      <c r="Y8">
        <f t="shared" si="1"/>
        <v>8.3948497272255622</v>
      </c>
      <c r="Z8">
        <f t="shared" si="0"/>
        <v>17.420000000078609</v>
      </c>
      <c r="AA8">
        <f t="shared" si="0"/>
        <v>-4.2359999998917814</v>
      </c>
      <c r="AB8">
        <f t="shared" si="0"/>
        <v>10.740000000089836</v>
      </c>
      <c r="AC8">
        <f t="shared" si="0"/>
        <v>-0.38400000020121183</v>
      </c>
      <c r="AD8">
        <f t="shared" si="0"/>
        <v>-1.1040000000013954</v>
      </c>
      <c r="AE8">
        <f t="shared" si="2"/>
        <v>0</v>
      </c>
    </row>
    <row r="9" spans="1:31">
      <c r="A9" s="1">
        <v>33309</v>
      </c>
      <c r="B9" t="s">
        <v>68</v>
      </c>
      <c r="C9" t="s">
        <v>69</v>
      </c>
      <c r="E9" s="9" t="s">
        <v>71</v>
      </c>
      <c r="F9" s="106">
        <f>IMREAL(VLOOKUP($G$3,Data,7,FALSE))</f>
        <v>8.427201415805996</v>
      </c>
      <c r="G9" s="13" t="str">
        <f t="shared" si="3"/>
        <v>UBIII</v>
      </c>
      <c r="H9" s="11"/>
      <c r="K9" t="s">
        <v>56</v>
      </c>
      <c r="L9" s="104">
        <v>38035</v>
      </c>
      <c r="M9" s="107">
        <v>123.9</v>
      </c>
      <c r="N9" s="107">
        <v>47.52000000007861</v>
      </c>
      <c r="O9" s="107">
        <v>-16.235999999891781</v>
      </c>
      <c r="P9" s="107">
        <v>63.740000000089836</v>
      </c>
      <c r="Q9" s="107">
        <v>12.615999999798788</v>
      </c>
      <c r="R9" s="107">
        <v>7.5959999999986039</v>
      </c>
      <c r="S9" s="91">
        <v>5.2</v>
      </c>
      <c r="T9" s="91">
        <v>0</v>
      </c>
      <c r="Y9">
        <f t="shared" si="1"/>
        <v>0.58000000000001251</v>
      </c>
      <c r="Z9">
        <f t="shared" si="0"/>
        <v>17.420000000078609</v>
      </c>
      <c r="AA9">
        <f t="shared" si="0"/>
        <v>-4.2359999998917814</v>
      </c>
      <c r="AB9">
        <f t="shared" si="0"/>
        <v>10.740000000089836</v>
      </c>
      <c r="AC9">
        <f t="shared" si="0"/>
        <v>-0.38400000020121183</v>
      </c>
      <c r="AD9">
        <f t="shared" si="0"/>
        <v>-1.1040000000013954</v>
      </c>
      <c r="AE9">
        <f t="shared" si="2"/>
        <v>5.2</v>
      </c>
    </row>
    <row r="10" spans="1:31">
      <c r="A10" s="1">
        <v>33374</v>
      </c>
      <c r="B10" t="s">
        <v>68</v>
      </c>
      <c r="C10" t="s">
        <v>73</v>
      </c>
      <c r="E10" s="14"/>
      <c r="F10" s="15"/>
      <c r="G10" s="15"/>
      <c r="H10" s="11"/>
      <c r="K10" t="s">
        <v>56</v>
      </c>
      <c r="L10" s="104">
        <v>38401</v>
      </c>
      <c r="M10" s="109">
        <v>129.44934972722558</v>
      </c>
      <c r="N10" s="91">
        <v>46.540000000261372</v>
      </c>
      <c r="O10" s="91">
        <v>-16.960000000287856</v>
      </c>
      <c r="P10" s="91">
        <v>61.50000000015865</v>
      </c>
      <c r="Q10" s="91">
        <v>13.840000000375774</v>
      </c>
      <c r="R10" s="91">
        <v>9.0000000000367564</v>
      </c>
      <c r="S10" s="91">
        <v>5.7</v>
      </c>
      <c r="T10" s="91">
        <v>0</v>
      </c>
      <c r="Y10">
        <f t="shared" si="1"/>
        <v>6.1293497272255877</v>
      </c>
      <c r="Z10">
        <f t="shared" si="0"/>
        <v>16.440000000261371</v>
      </c>
      <c r="AA10">
        <f t="shared" si="0"/>
        <v>-4.9600000002878559</v>
      </c>
      <c r="AB10">
        <f t="shared" si="0"/>
        <v>8.50000000015865</v>
      </c>
      <c r="AC10">
        <f t="shared" si="0"/>
        <v>0.84000000037577394</v>
      </c>
      <c r="AD10">
        <f t="shared" si="0"/>
        <v>0.30000000003675709</v>
      </c>
      <c r="AE10">
        <f t="shared" si="2"/>
        <v>5.7</v>
      </c>
    </row>
    <row r="11" spans="1:31">
      <c r="A11" s="1">
        <v>33407</v>
      </c>
      <c r="B11" t="s">
        <v>74</v>
      </c>
      <c r="C11" t="s">
        <v>75</v>
      </c>
      <c r="E11" s="14" t="s">
        <v>76</v>
      </c>
      <c r="F11" s="15"/>
      <c r="G11" s="15"/>
      <c r="H11" s="11" t="s">
        <v>163</v>
      </c>
      <c r="K11" t="s">
        <v>56</v>
      </c>
      <c r="L11" s="104">
        <v>40038</v>
      </c>
      <c r="M11" s="91">
        <v>130.29869400282834</v>
      </c>
      <c r="N11" s="91">
        <v>50.874703493297702</v>
      </c>
      <c r="O11" s="91">
        <v>-14.104296506833869</v>
      </c>
      <c r="P11" s="91">
        <v>64.524703493384905</v>
      </c>
      <c r="Q11" s="91">
        <v>12.507296506814036</v>
      </c>
      <c r="R11" s="91">
        <v>7.4752965067981236</v>
      </c>
      <c r="S11" s="91">
        <v>2</v>
      </c>
      <c r="T11" s="91">
        <v>0</v>
      </c>
      <c r="Y11">
        <f t="shared" si="1"/>
        <v>6.9786940028283482</v>
      </c>
      <c r="Z11">
        <f t="shared" si="0"/>
        <v>20.7747034932977</v>
      </c>
      <c r="AA11">
        <f t="shared" si="0"/>
        <v>-2.1042965068338688</v>
      </c>
      <c r="AB11">
        <f t="shared" si="0"/>
        <v>11.524703493384905</v>
      </c>
      <c r="AC11">
        <f t="shared" si="0"/>
        <v>-0.49270349318596374</v>
      </c>
      <c r="AD11">
        <f t="shared" si="0"/>
        <v>-1.2247034932018757</v>
      </c>
      <c r="AE11">
        <f t="shared" si="2"/>
        <v>2</v>
      </c>
    </row>
    <row r="12" spans="1:31">
      <c r="A12" s="1">
        <v>34933</v>
      </c>
      <c r="B12" t="s">
        <v>68</v>
      </c>
      <c r="C12" t="s">
        <v>77</v>
      </c>
      <c r="E12" s="14" t="s">
        <v>78</v>
      </c>
      <c r="F12" s="3" t="s">
        <v>140</v>
      </c>
      <c r="G12" s="423">
        <f>IMREAL(VLOOKUP($G$3,Data,8,FALSE))</f>
        <v>10.97</v>
      </c>
      <c r="H12" s="11"/>
      <c r="K12" s="181" t="s">
        <v>56</v>
      </c>
      <c r="L12" s="104">
        <v>41827</v>
      </c>
      <c r="M12" s="91">
        <v>143.10000000006261</v>
      </c>
      <c r="N12" s="91">
        <v>54.126077194238675</v>
      </c>
      <c r="O12" s="91">
        <v>-9.8547183057240417</v>
      </c>
      <c r="P12" s="91">
        <v>67.19327719428847</v>
      </c>
      <c r="Q12" s="91">
        <v>12.948503305687531</v>
      </c>
      <c r="R12" s="91">
        <v>7.496058305744846</v>
      </c>
      <c r="S12" s="91">
        <v>10.97</v>
      </c>
      <c r="T12" s="91">
        <v>0</v>
      </c>
      <c r="Y12">
        <f t="shared" si="1"/>
        <v>19.780000000062614</v>
      </c>
      <c r="Z12">
        <f t="shared" si="0"/>
        <v>24.026077194238674</v>
      </c>
      <c r="AA12">
        <f t="shared" si="0"/>
        <v>2.1452816942759583</v>
      </c>
      <c r="AB12">
        <f t="shared" si="0"/>
        <v>14.19327719428847</v>
      </c>
      <c r="AC12">
        <f t="shared" si="0"/>
        <v>-5.149669431246906E-2</v>
      </c>
      <c r="AD12">
        <f t="shared" si="0"/>
        <v>-1.2039416942551533</v>
      </c>
      <c r="AE12">
        <f t="shared" si="2"/>
        <v>10.97</v>
      </c>
    </row>
    <row r="13" spans="1:31">
      <c r="A13" s="1">
        <v>36102</v>
      </c>
      <c r="B13" t="s">
        <v>68</v>
      </c>
      <c r="C13" t="s">
        <v>133</v>
      </c>
      <c r="E13" s="14" t="s">
        <v>79</v>
      </c>
      <c r="F13" s="15"/>
      <c r="G13" s="15"/>
      <c r="H13" s="11" t="s">
        <v>164</v>
      </c>
      <c r="K13" s="181" t="s">
        <v>459</v>
      </c>
      <c r="L13" s="104">
        <v>42125</v>
      </c>
      <c r="M13" s="107">
        <f>M12+L19</f>
        <v>162.99711690792583</v>
      </c>
      <c r="N13" s="91">
        <f>N12</f>
        <v>54.126077194238675</v>
      </c>
      <c r="O13" s="91">
        <f t="shared" ref="O13:T14" si="4">O12</f>
        <v>-9.8547183057240417</v>
      </c>
      <c r="P13" s="91">
        <f t="shared" si="4"/>
        <v>67.19327719428847</v>
      </c>
      <c r="Q13" s="91">
        <f t="shared" si="4"/>
        <v>12.948503305687531</v>
      </c>
      <c r="R13" s="91">
        <f t="shared" si="4"/>
        <v>7.496058305744846</v>
      </c>
      <c r="S13" s="91">
        <f t="shared" si="4"/>
        <v>10.97</v>
      </c>
      <c r="T13" s="91">
        <f t="shared" si="4"/>
        <v>0</v>
      </c>
      <c r="Y13">
        <f t="shared" si="1"/>
        <v>39.677116907925836</v>
      </c>
    </row>
    <row r="14" spans="1:31">
      <c r="A14" s="1">
        <v>37142</v>
      </c>
      <c r="B14" t="s">
        <v>136</v>
      </c>
      <c r="C14" t="s">
        <v>137</v>
      </c>
      <c r="E14" s="14" t="s">
        <v>80</v>
      </c>
      <c r="F14" s="15"/>
      <c r="G14" s="15"/>
      <c r="H14" s="11"/>
      <c r="K14" s="181" t="s">
        <v>460</v>
      </c>
      <c r="L14" s="104">
        <v>42614</v>
      </c>
      <c r="M14" s="91">
        <v>140.1</v>
      </c>
      <c r="N14" s="91">
        <f>N13</f>
        <v>54.126077194238675</v>
      </c>
      <c r="O14" s="91">
        <f t="shared" si="4"/>
        <v>-9.8547183057240417</v>
      </c>
      <c r="P14" s="91">
        <f t="shared" si="4"/>
        <v>67.19327719428847</v>
      </c>
      <c r="Q14" s="91">
        <f t="shared" si="4"/>
        <v>12.948503305687531</v>
      </c>
      <c r="R14" s="91">
        <f t="shared" si="4"/>
        <v>7.496058305744846</v>
      </c>
      <c r="S14" s="91">
        <f t="shared" si="4"/>
        <v>10.97</v>
      </c>
      <c r="T14" s="91">
        <f t="shared" si="4"/>
        <v>0</v>
      </c>
    </row>
    <row r="15" spans="1:31">
      <c r="A15" s="1">
        <v>38008</v>
      </c>
      <c r="B15" t="s">
        <v>136</v>
      </c>
      <c r="C15" t="s">
        <v>138</v>
      </c>
      <c r="E15" s="14"/>
      <c r="F15" s="15"/>
      <c r="G15" s="15"/>
      <c r="H15" s="11"/>
      <c r="K15" s="181" t="s">
        <v>520</v>
      </c>
      <c r="L15" s="104">
        <v>43049</v>
      </c>
      <c r="M15" s="91">
        <v>149</v>
      </c>
      <c r="N15" s="91">
        <v>54.348903584022779</v>
      </c>
      <c r="O15" s="91">
        <v>-8.263471415803636</v>
      </c>
      <c r="P15" s="91">
        <v>66.746803584205594</v>
      </c>
      <c r="Q15" s="91">
        <v>13.821956415749348</v>
      </c>
      <c r="R15" s="91">
        <v>8.427201415805996</v>
      </c>
      <c r="S15" s="91">
        <v>10.97</v>
      </c>
      <c r="T15" s="91">
        <v>0</v>
      </c>
    </row>
    <row r="16" spans="1:31">
      <c r="A16" s="1">
        <v>38035</v>
      </c>
      <c r="B16" t="s">
        <v>136</v>
      </c>
      <c r="C16" t="s">
        <v>139</v>
      </c>
      <c r="E16" s="14" t="s">
        <v>81</v>
      </c>
      <c r="F16" s="15"/>
      <c r="G16" s="15"/>
      <c r="H16" s="11"/>
      <c r="K16" s="181" t="s">
        <v>375</v>
      </c>
      <c r="L16" s="181" t="s">
        <v>376</v>
      </c>
    </row>
    <row r="17" spans="1:24">
      <c r="A17" s="1">
        <v>38401</v>
      </c>
      <c r="B17" t="s">
        <v>136</v>
      </c>
      <c r="C17" t="s">
        <v>149</v>
      </c>
      <c r="E17" s="14" t="s">
        <v>82</v>
      </c>
      <c r="F17" s="15"/>
      <c r="G17" s="15"/>
      <c r="H17" s="11"/>
      <c r="K17" s="1">
        <v>41828</v>
      </c>
      <c r="L17">
        <v>1000.1449</v>
      </c>
    </row>
    <row r="18" spans="1:24" ht="13.5" thickBot="1">
      <c r="A18" s="117">
        <v>40038</v>
      </c>
      <c r="B18" s="118" t="s">
        <v>165</v>
      </c>
      <c r="C18" s="118" t="s">
        <v>166</v>
      </c>
      <c r="E18" s="16" t="s">
        <v>83</v>
      </c>
      <c r="F18" s="17"/>
      <c r="G18" s="17"/>
      <c r="H18" s="18"/>
      <c r="K18" s="1">
        <v>42125</v>
      </c>
      <c r="L18">
        <v>1000.1648</v>
      </c>
      <c r="V18" t="s">
        <v>241</v>
      </c>
      <c r="W18" t="s">
        <v>242</v>
      </c>
      <c r="X18" t="s">
        <v>246</v>
      </c>
    </row>
    <row r="19" spans="1:24" ht="16.5" thickTop="1">
      <c r="A19" s="1">
        <v>41827</v>
      </c>
      <c r="B19" s="118" t="s">
        <v>165</v>
      </c>
      <c r="C19" s="118" t="s">
        <v>256</v>
      </c>
      <c r="K19" s="181" t="s">
        <v>377</v>
      </c>
      <c r="L19" s="85">
        <f>(L18/L17-1)*1000000</f>
        <v>19.897116907863222</v>
      </c>
      <c r="M19" s="181" t="s">
        <v>242</v>
      </c>
      <c r="N19" s="25" t="s">
        <v>72</v>
      </c>
      <c r="O19" s="110" t="s">
        <v>33</v>
      </c>
      <c r="P19" s="291" t="s">
        <v>458</v>
      </c>
      <c r="Q19" s="111" t="s">
        <v>456</v>
      </c>
      <c r="R19" s="112" t="s">
        <v>10</v>
      </c>
      <c r="S19" s="113" t="s">
        <v>11</v>
      </c>
      <c r="V19" t="s">
        <v>67</v>
      </c>
      <c r="W19" s="86">
        <f>(1/0.000000999985/1000000-1)*1000000</f>
        <v>15.000225003447554</v>
      </c>
      <c r="X19">
        <f>10000*0.0000000000000096/0.000001*1000</f>
        <v>9.6000000000000002E-2</v>
      </c>
    </row>
    <row r="20" spans="1:24">
      <c r="A20" s="1">
        <v>42125</v>
      </c>
      <c r="B20" s="118" t="s">
        <v>165</v>
      </c>
      <c r="C20" s="118" t="s">
        <v>379</v>
      </c>
      <c r="O20" s="114" t="s">
        <v>38</v>
      </c>
      <c r="P20" s="115"/>
      <c r="Q20" s="115" t="str">
        <f t="shared" ref="Q20:Q42" si="5">O20&amp;P20</f>
        <v>3Y</v>
      </c>
      <c r="R20" s="102">
        <f>Results!D10</f>
        <v>0</v>
      </c>
      <c r="S20" s="116">
        <f>Results!E10</f>
        <v>-2</v>
      </c>
      <c r="T20" s="181" t="s">
        <v>380</v>
      </c>
    </row>
    <row r="21" spans="1:24">
      <c r="A21" s="1">
        <v>42614</v>
      </c>
      <c r="B21" s="118" t="s">
        <v>461</v>
      </c>
      <c r="C21" s="118" t="s">
        <v>462</v>
      </c>
      <c r="O21" s="114" t="s">
        <v>95</v>
      </c>
      <c r="P21" s="115"/>
      <c r="Q21" s="115" t="str">
        <f t="shared" si="5"/>
        <v>4Y</v>
      </c>
      <c r="R21" s="102">
        <f>Results!D11</f>
        <v>0</v>
      </c>
      <c r="S21" s="116">
        <f>Results!E11</f>
        <v>-1</v>
      </c>
      <c r="T21" s="181" t="s">
        <v>380</v>
      </c>
      <c r="U21" s="118"/>
    </row>
    <row r="22" spans="1:24">
      <c r="A22" s="1">
        <v>43049</v>
      </c>
      <c r="B22" s="118" t="s">
        <v>165</v>
      </c>
      <c r="C22" s="118" t="s">
        <v>521</v>
      </c>
      <c r="O22" s="114" t="s">
        <v>42</v>
      </c>
      <c r="P22" s="115"/>
      <c r="Q22" s="115" t="str">
        <f t="shared" si="5"/>
        <v>5Y</v>
      </c>
      <c r="R22" s="102">
        <f>Results!D14</f>
        <v>-1</v>
      </c>
      <c r="S22" s="116">
        <f>Results!E14</f>
        <v>2</v>
      </c>
      <c r="T22" s="181" t="s">
        <v>380</v>
      </c>
    </row>
    <row r="23" spans="1:24">
      <c r="O23" s="114" t="s">
        <v>37</v>
      </c>
      <c r="P23" s="115"/>
      <c r="Q23" s="115" t="str">
        <f t="shared" si="5"/>
        <v>6Y</v>
      </c>
      <c r="R23" s="102">
        <f>Results!D15</f>
        <v>0</v>
      </c>
      <c r="S23" s="116">
        <f>Results!E15</f>
        <v>14</v>
      </c>
      <c r="T23" s="181" t="s">
        <v>380</v>
      </c>
    </row>
    <row r="24" spans="1:24">
      <c r="F24" s="19" t="s">
        <v>33</v>
      </c>
      <c r="G24" s="20" t="s">
        <v>84</v>
      </c>
      <c r="H24" s="20" t="s">
        <v>85</v>
      </c>
      <c r="O24" s="193" t="s">
        <v>44</v>
      </c>
      <c r="P24" s="115"/>
      <c r="Q24" s="115" t="str">
        <f t="shared" si="5"/>
        <v>7Y</v>
      </c>
      <c r="R24" s="102">
        <f>Results!D23</f>
        <v>6</v>
      </c>
      <c r="S24" s="116">
        <f>Results!E23</f>
        <v>19</v>
      </c>
      <c r="T24" s="181" t="s">
        <v>380</v>
      </c>
    </row>
    <row r="25" spans="1:24">
      <c r="F25" s="19"/>
      <c r="G25" s="19" t="s">
        <v>55</v>
      </c>
      <c r="H25" s="19" t="s">
        <v>55</v>
      </c>
      <c r="O25" s="193"/>
      <c r="P25" s="115"/>
      <c r="Q25" s="115" t="str">
        <f t="shared" si="5"/>
        <v/>
      </c>
      <c r="R25" s="102"/>
      <c r="S25" s="116"/>
    </row>
    <row r="26" spans="1:24">
      <c r="F26" s="2" t="s">
        <v>86</v>
      </c>
      <c r="G26" s="21">
        <f>R_4A-G_2+C_1+correction_c</f>
        <v>205.89170216821677</v>
      </c>
      <c r="H26" s="21">
        <f>R_4A-G_2+G_1+correction_c</f>
        <v>70.713658583966136</v>
      </c>
      <c r="O26" s="193"/>
      <c r="P26" s="115"/>
      <c r="Q26" s="115"/>
      <c r="R26" s="102"/>
      <c r="S26" s="116"/>
    </row>
    <row r="27" spans="1:24">
      <c r="F27" s="2" t="s">
        <v>87</v>
      </c>
      <c r="G27" s="21">
        <f>R_4A-G_2+C_1+correction_c</f>
        <v>205.89170216821677</v>
      </c>
      <c r="H27" s="21">
        <f>R_4A-G_2+G_1+correction_c</f>
        <v>70.713658583966136</v>
      </c>
      <c r="O27" s="114"/>
      <c r="P27" s="115"/>
      <c r="Q27" s="115" t="str">
        <f t="shared" si="5"/>
        <v/>
      </c>
      <c r="R27" s="102"/>
      <c r="S27" s="116"/>
    </row>
    <row r="28" spans="1:24">
      <c r="F28" s="2" t="s">
        <v>88</v>
      </c>
      <c r="G28" s="21">
        <f>R_4A-G_2+C_1+correction_c</f>
        <v>205.89170216821677</v>
      </c>
      <c r="H28" s="21">
        <f>R_4A-G_2+G_1+correction_c</f>
        <v>70.713658583966136</v>
      </c>
      <c r="O28" s="114"/>
      <c r="P28" s="115"/>
      <c r="Q28" s="115" t="str">
        <f t="shared" si="5"/>
        <v/>
      </c>
      <c r="R28" s="102"/>
      <c r="S28" s="116"/>
    </row>
    <row r="29" spans="1:24">
      <c r="F29" s="2" t="s">
        <v>89</v>
      </c>
      <c r="G29" s="21">
        <f>R_4A-G_2+C_1+correction_c</f>
        <v>205.89170216821677</v>
      </c>
      <c r="H29" s="21">
        <f>R_4A-G_2+G_1+correction_c</f>
        <v>70.713658583966136</v>
      </c>
      <c r="O29" s="114"/>
      <c r="P29" s="115"/>
      <c r="Q29" s="115" t="str">
        <f t="shared" si="5"/>
        <v/>
      </c>
      <c r="R29" s="102"/>
      <c r="S29" s="116"/>
    </row>
    <row r="30" spans="1:24">
      <c r="F30" s="2" t="s">
        <v>90</v>
      </c>
      <c r="G30" s="21">
        <f>R_4A-G_2+C_1+correction_c</f>
        <v>205.89170216821677</v>
      </c>
      <c r="H30" s="21">
        <f>R_4A-G_2+G_1+correction_c</f>
        <v>70.713658583966136</v>
      </c>
      <c r="O30" s="114"/>
      <c r="P30" s="115"/>
      <c r="Q30" s="115" t="str">
        <f t="shared" si="5"/>
        <v/>
      </c>
      <c r="R30" s="102"/>
      <c r="S30" s="116"/>
    </row>
    <row r="31" spans="1:24">
      <c r="F31" s="2" t="s">
        <v>91</v>
      </c>
      <c r="G31" s="21">
        <f>R_4B-G_2+C_1+correction_c</f>
        <v>143.27932716839038</v>
      </c>
      <c r="H31" s="21">
        <f>R_4B-G_2+G_1+correction_c</f>
        <v>8.1012835841397166</v>
      </c>
      <c r="O31" s="114"/>
      <c r="P31" s="115"/>
      <c r="Q31" s="115" t="str">
        <f t="shared" si="5"/>
        <v/>
      </c>
      <c r="R31" s="102"/>
      <c r="S31" s="116"/>
    </row>
    <row r="32" spans="1:24">
      <c r="F32" s="2" t="s">
        <v>92</v>
      </c>
      <c r="G32" s="21">
        <f>R_4C-G_2+C_1+correction_c</f>
        <v>218.2896021683996</v>
      </c>
      <c r="H32" s="21">
        <f>R_4C-G_2+G_1+correction_c</f>
        <v>83.111558584148952</v>
      </c>
      <c r="O32" s="114"/>
      <c r="P32" s="115"/>
      <c r="Q32" s="115" t="str">
        <f t="shared" si="5"/>
        <v/>
      </c>
      <c r="R32" s="102"/>
      <c r="S32" s="116"/>
    </row>
    <row r="33" spans="6:24">
      <c r="F33" s="2" t="s">
        <v>93</v>
      </c>
      <c r="G33" s="21">
        <f>-R_4A-G_2+C_1-correction_c</f>
        <v>75.253895000171227</v>
      </c>
      <c r="H33" s="21">
        <f>-R_4A-G_2+G_1-correction_c</f>
        <v>-59.924148584079425</v>
      </c>
      <c r="O33" s="114"/>
      <c r="P33" s="115"/>
      <c r="Q33" s="115" t="str">
        <f t="shared" si="5"/>
        <v/>
      </c>
      <c r="R33" s="102"/>
      <c r="S33" s="116"/>
    </row>
    <row r="34" spans="6:24">
      <c r="F34" s="2" t="s">
        <v>94</v>
      </c>
      <c r="G34" s="21">
        <f>-R_4A-G_2+C_1-correction_c</f>
        <v>75.253895000171227</v>
      </c>
      <c r="H34" s="21">
        <f>-R_4A-G_2+G_1-correction_c</f>
        <v>-59.924148584079425</v>
      </c>
      <c r="O34" s="114"/>
      <c r="P34" s="115"/>
      <c r="Q34" s="115" t="str">
        <f t="shared" si="5"/>
        <v/>
      </c>
      <c r="R34" s="102"/>
      <c r="S34" s="116"/>
    </row>
    <row r="35" spans="6:24">
      <c r="F35" s="2" t="s">
        <v>38</v>
      </c>
      <c r="G35" s="21">
        <f>-R_4A-G_2+C_1-correction_c</f>
        <v>75.253895000171227</v>
      </c>
      <c r="H35" s="21">
        <f>-R_4A-G_2+G_1-correction_c</f>
        <v>-59.924148584079425</v>
      </c>
      <c r="O35" s="114"/>
      <c r="P35" s="115"/>
      <c r="Q35" s="115" t="str">
        <f t="shared" si="5"/>
        <v/>
      </c>
      <c r="R35" s="102"/>
      <c r="S35" s="116"/>
    </row>
    <row r="36" spans="6:24">
      <c r="F36" s="2" t="s">
        <v>95</v>
      </c>
      <c r="G36" s="21">
        <f>-R_4A-G_2+C_1-correction_c</f>
        <v>75.253895000171227</v>
      </c>
      <c r="H36" s="21">
        <f>-R_4A-G_2+G_1-correction_c</f>
        <v>-59.924148584079425</v>
      </c>
      <c r="O36" s="114"/>
      <c r="P36" s="115"/>
      <c r="Q36" s="115" t="str">
        <f t="shared" si="5"/>
        <v/>
      </c>
      <c r="R36" s="102"/>
      <c r="S36" s="116"/>
    </row>
    <row r="37" spans="6:24">
      <c r="F37" s="2" t="s">
        <v>42</v>
      </c>
      <c r="G37" s="21">
        <f>-R_4A-G_2+C_1-correction_c</f>
        <v>75.253895000171227</v>
      </c>
      <c r="H37" s="21">
        <f>-R_4A-G_2+G_1-correction_c</f>
        <v>-59.924148584079425</v>
      </c>
      <c r="O37" s="114"/>
      <c r="P37" s="115"/>
      <c r="Q37" s="115" t="str">
        <f t="shared" si="5"/>
        <v/>
      </c>
      <c r="R37" s="102"/>
      <c r="S37" s="116"/>
    </row>
    <row r="38" spans="6:24">
      <c r="F38" s="2" t="s">
        <v>37</v>
      </c>
      <c r="G38" s="21">
        <f>-R_4B-G_2+C_1-correction_c</f>
        <v>137.86626999999763</v>
      </c>
      <c r="H38" s="21">
        <f>-R_4B-G_2+G_1-correction_c</f>
        <v>2.6882264157469873</v>
      </c>
      <c r="O38" s="114"/>
      <c r="P38" s="115"/>
      <c r="Q38" s="115" t="str">
        <f t="shared" si="5"/>
        <v/>
      </c>
      <c r="R38" s="102"/>
      <c r="S38" s="116"/>
    </row>
    <row r="39" spans="6:24">
      <c r="F39" s="2" t="s">
        <v>44</v>
      </c>
      <c r="G39" s="21">
        <f>-R_4C-G_2+C_1-correction_c</f>
        <v>62.855994999988411</v>
      </c>
      <c r="H39" s="21">
        <f>-R_4C-G_2+G_1-correction_c</f>
        <v>-72.322048584262248</v>
      </c>
      <c r="O39" s="114"/>
      <c r="P39" s="115"/>
      <c r="Q39" s="115" t="str">
        <f t="shared" si="5"/>
        <v/>
      </c>
      <c r="R39" s="102"/>
      <c r="S39" s="116"/>
    </row>
    <row r="40" spans="6:24">
      <c r="F40" s="2"/>
      <c r="G40" s="21"/>
      <c r="H40" s="21"/>
      <c r="O40" s="119"/>
      <c r="P40" s="115"/>
      <c r="Q40" s="115" t="str">
        <f t="shared" si="5"/>
        <v/>
      </c>
      <c r="R40" s="120"/>
      <c r="S40" s="116"/>
      <c r="U40" t="s">
        <v>167</v>
      </c>
      <c r="W40" t="s">
        <v>168</v>
      </c>
    </row>
    <row r="41" spans="6:24">
      <c r="G41" s="2" t="s">
        <v>97</v>
      </c>
      <c r="H41" s="2" t="s">
        <v>98</v>
      </c>
      <c r="I41" t="s">
        <v>96</v>
      </c>
      <c r="J41" t="s">
        <v>99</v>
      </c>
      <c r="K41" s="2" t="s">
        <v>98</v>
      </c>
      <c r="L41" t="s">
        <v>96</v>
      </c>
      <c r="M41" t="s">
        <v>169</v>
      </c>
      <c r="N41" t="s">
        <v>170</v>
      </c>
      <c r="O41" s="119"/>
      <c r="P41" s="115"/>
      <c r="Q41" s="115" t="str">
        <f t="shared" si="5"/>
        <v/>
      </c>
      <c r="R41" s="120"/>
      <c r="S41" s="116"/>
      <c r="U41" s="2" t="s">
        <v>98</v>
      </c>
      <c r="V41" s="2" t="s">
        <v>98</v>
      </c>
      <c r="W41" t="s">
        <v>98</v>
      </c>
      <c r="X41" t="s">
        <v>98</v>
      </c>
    </row>
    <row r="42" spans="6:24" ht="16.5" thickBot="1">
      <c r="F42" s="2" t="s">
        <v>86</v>
      </c>
      <c r="G42" s="22">
        <v>1E-4</v>
      </c>
      <c r="H42" t="s">
        <v>171</v>
      </c>
      <c r="I42" s="22">
        <v>9.9999999999999995E-7</v>
      </c>
      <c r="J42" s="22">
        <v>1E-4</v>
      </c>
      <c r="K42" t="s">
        <v>172</v>
      </c>
      <c r="L42" s="22">
        <v>1E-3</v>
      </c>
      <c r="M42" s="22">
        <v>0.2</v>
      </c>
      <c r="N42" s="22">
        <v>2E-3</v>
      </c>
      <c r="O42" s="121"/>
      <c r="P42" s="122"/>
      <c r="Q42" s="122" t="str">
        <f t="shared" si="5"/>
        <v/>
      </c>
      <c r="R42" s="123"/>
      <c r="S42" s="124"/>
      <c r="U42" s="23" t="s">
        <v>173</v>
      </c>
      <c r="V42" s="24" t="s">
        <v>100</v>
      </c>
      <c r="W42" t="s">
        <v>171</v>
      </c>
      <c r="X42" t="s">
        <v>172</v>
      </c>
    </row>
    <row r="43" spans="6:24" ht="16.5" thickTop="1">
      <c r="F43" s="2" t="s">
        <v>87</v>
      </c>
      <c r="G43" s="22">
        <v>1E-3</v>
      </c>
      <c r="H43" t="s">
        <v>171</v>
      </c>
      <c r="I43" s="22">
        <v>9.9999999999999995E-7</v>
      </c>
      <c r="J43" s="22">
        <v>9.9999999999999995E-7</v>
      </c>
      <c r="K43" t="s">
        <v>102</v>
      </c>
      <c r="L43" s="22">
        <v>1</v>
      </c>
      <c r="M43" s="22">
        <v>2</v>
      </c>
      <c r="N43" s="22">
        <v>0.02</v>
      </c>
      <c r="U43" s="23" t="s">
        <v>173</v>
      </c>
      <c r="V43" s="23" t="s">
        <v>101</v>
      </c>
      <c r="W43" t="s">
        <v>171</v>
      </c>
      <c r="X43" t="s">
        <v>102</v>
      </c>
    </row>
    <row r="44" spans="6:24" ht="15.75">
      <c r="F44" s="2" t="s">
        <v>88</v>
      </c>
      <c r="G44" s="22">
        <v>1.0000000000000001E-5</v>
      </c>
      <c r="H44" t="s">
        <v>174</v>
      </c>
      <c r="I44" s="22">
        <v>1E-3</v>
      </c>
      <c r="J44" s="22">
        <v>1.0000000000000001E-5</v>
      </c>
      <c r="K44" t="s">
        <v>102</v>
      </c>
      <c r="L44" s="22">
        <v>1</v>
      </c>
      <c r="M44" s="22">
        <v>20</v>
      </c>
      <c r="N44" s="22">
        <v>0.2</v>
      </c>
      <c r="U44" s="24" t="s">
        <v>175</v>
      </c>
      <c r="V44" s="23" t="s">
        <v>101</v>
      </c>
      <c r="W44" t="s">
        <v>174</v>
      </c>
      <c r="X44" t="s">
        <v>102</v>
      </c>
    </row>
    <row r="45" spans="6:24" ht="15.75">
      <c r="F45" s="2" t="s">
        <v>89</v>
      </c>
      <c r="G45" s="22">
        <v>1E-4</v>
      </c>
      <c r="H45" t="s">
        <v>174</v>
      </c>
      <c r="I45" s="22">
        <v>1E-3</v>
      </c>
      <c r="J45" s="22">
        <v>1E-4</v>
      </c>
      <c r="K45" t="s">
        <v>102</v>
      </c>
      <c r="L45" s="22">
        <v>1</v>
      </c>
      <c r="M45" s="22">
        <v>200</v>
      </c>
      <c r="N45" s="125">
        <v>2</v>
      </c>
      <c r="U45" s="24" t="s">
        <v>175</v>
      </c>
      <c r="V45" s="24" t="s">
        <v>102</v>
      </c>
      <c r="W45" t="s">
        <v>174</v>
      </c>
      <c r="X45" t="s">
        <v>102</v>
      </c>
    </row>
    <row r="46" spans="6:24" ht="15.75">
      <c r="F46" s="2" t="s">
        <v>90</v>
      </c>
      <c r="G46" s="22">
        <v>1E-3</v>
      </c>
      <c r="H46" t="s">
        <v>174</v>
      </c>
      <c r="I46" s="22">
        <v>1E-3</v>
      </c>
      <c r="J46" s="22">
        <v>1E-3</v>
      </c>
      <c r="K46" t="s">
        <v>102</v>
      </c>
      <c r="L46" s="22">
        <v>1</v>
      </c>
      <c r="M46" s="22">
        <v>2000</v>
      </c>
      <c r="N46" s="125">
        <v>20</v>
      </c>
      <c r="U46" s="24" t="s">
        <v>175</v>
      </c>
      <c r="V46" s="24" t="s">
        <v>102</v>
      </c>
      <c r="W46" t="s">
        <v>174</v>
      </c>
      <c r="X46" t="s">
        <v>102</v>
      </c>
    </row>
    <row r="47" spans="6:24" ht="15.75">
      <c r="F47" s="2" t="s">
        <v>91</v>
      </c>
      <c r="G47" s="22">
        <v>1.0000000000000001E-5</v>
      </c>
      <c r="H47" t="s">
        <v>103</v>
      </c>
      <c r="I47" s="22">
        <v>1</v>
      </c>
      <c r="J47" s="22">
        <v>1.0000000000000001E-5</v>
      </c>
      <c r="K47" t="s">
        <v>176</v>
      </c>
      <c r="L47" s="126">
        <v>1000</v>
      </c>
      <c r="M47" s="22">
        <v>20000</v>
      </c>
      <c r="N47" s="125">
        <v>200</v>
      </c>
      <c r="U47" s="24" t="s">
        <v>103</v>
      </c>
      <c r="V47" s="24" t="s">
        <v>104</v>
      </c>
      <c r="W47" t="s">
        <v>103</v>
      </c>
      <c r="X47" t="s">
        <v>176</v>
      </c>
    </row>
    <row r="48" spans="6:24" ht="15.75">
      <c r="F48" s="2" t="s">
        <v>92</v>
      </c>
      <c r="G48" s="22">
        <v>1E-4</v>
      </c>
      <c r="H48" t="s">
        <v>103</v>
      </c>
      <c r="I48" s="22">
        <v>1</v>
      </c>
      <c r="J48" s="22">
        <v>1E-4</v>
      </c>
      <c r="K48" t="s">
        <v>176</v>
      </c>
      <c r="L48" s="126">
        <v>1000</v>
      </c>
      <c r="M48" s="22">
        <v>200000</v>
      </c>
      <c r="N48" s="125">
        <v>2000</v>
      </c>
      <c r="U48" s="24" t="s">
        <v>103</v>
      </c>
      <c r="V48" s="24" t="s">
        <v>104</v>
      </c>
      <c r="W48" t="s">
        <v>103</v>
      </c>
      <c r="X48" t="s">
        <v>176</v>
      </c>
    </row>
    <row r="49" spans="6:24" ht="15.75">
      <c r="F49" s="2" t="s">
        <v>93</v>
      </c>
      <c r="G49" s="22">
        <v>1E-4</v>
      </c>
      <c r="H49" t="s">
        <v>177</v>
      </c>
      <c r="I49" s="22">
        <v>9.9999999999999995E-7</v>
      </c>
      <c r="J49" s="22">
        <v>1E-4</v>
      </c>
      <c r="K49" t="s">
        <v>178</v>
      </c>
      <c r="L49" s="22">
        <v>1E-3</v>
      </c>
      <c r="U49" s="23" t="s">
        <v>179</v>
      </c>
      <c r="V49" s="24" t="s">
        <v>105</v>
      </c>
      <c r="W49" t="s">
        <v>177</v>
      </c>
      <c r="X49" t="s">
        <v>178</v>
      </c>
    </row>
    <row r="50" spans="6:24" ht="15.75">
      <c r="F50" s="2" t="s">
        <v>94</v>
      </c>
      <c r="G50" s="22">
        <v>1.0000000000000001E-5</v>
      </c>
      <c r="H50" t="s">
        <v>177</v>
      </c>
      <c r="I50" s="22">
        <v>9.9999999999999995E-7</v>
      </c>
      <c r="J50" s="22">
        <v>1.0000000000000001E-5</v>
      </c>
      <c r="K50" t="s">
        <v>178</v>
      </c>
      <c r="L50" s="22">
        <v>1E-3</v>
      </c>
      <c r="U50" s="23" t="s">
        <v>179</v>
      </c>
      <c r="V50" s="24" t="s">
        <v>105</v>
      </c>
      <c r="W50" t="s">
        <v>177</v>
      </c>
      <c r="X50" t="s">
        <v>178</v>
      </c>
    </row>
    <row r="51" spans="6:24" ht="15.75">
      <c r="F51" s="2" t="s">
        <v>38</v>
      </c>
      <c r="G51" s="22">
        <v>9.9999999999999995E-7</v>
      </c>
      <c r="H51" t="s">
        <v>177</v>
      </c>
      <c r="I51" s="22">
        <v>9.9999999999999995E-7</v>
      </c>
      <c r="J51" s="22">
        <v>9.9999999999999995E-7</v>
      </c>
      <c r="K51" t="s">
        <v>178</v>
      </c>
      <c r="L51" s="22">
        <v>1E-3</v>
      </c>
      <c r="U51" s="23" t="s">
        <v>179</v>
      </c>
      <c r="V51" s="24" t="s">
        <v>105</v>
      </c>
      <c r="W51" t="s">
        <v>177</v>
      </c>
      <c r="X51" t="s">
        <v>178</v>
      </c>
    </row>
    <row r="52" spans="6:24" ht="15.75">
      <c r="F52" s="2" t="s">
        <v>95</v>
      </c>
      <c r="G52" s="22">
        <v>1E-4</v>
      </c>
      <c r="H52" t="s">
        <v>106</v>
      </c>
      <c r="I52" s="22">
        <v>1.0000000000000001E-9</v>
      </c>
      <c r="J52" s="22">
        <v>1E-4</v>
      </c>
      <c r="K52" t="s">
        <v>180</v>
      </c>
      <c r="L52" s="22">
        <v>9.9999999999999995E-7</v>
      </c>
      <c r="U52" s="24" t="s">
        <v>106</v>
      </c>
      <c r="V52" s="23" t="s">
        <v>181</v>
      </c>
      <c r="W52" t="s">
        <v>106</v>
      </c>
      <c r="X52" t="s">
        <v>180</v>
      </c>
    </row>
    <row r="53" spans="6:24" ht="15.75">
      <c r="F53" s="2" t="s">
        <v>42</v>
      </c>
      <c r="G53" s="22">
        <v>1.0000000000000001E-5</v>
      </c>
      <c r="H53" t="s">
        <v>106</v>
      </c>
      <c r="I53" s="22">
        <v>1.0000000000000001E-9</v>
      </c>
      <c r="J53" s="22">
        <v>1.0000000000000001E-5</v>
      </c>
      <c r="K53" t="s">
        <v>180</v>
      </c>
      <c r="L53" s="22">
        <v>9.9999999999999995E-7</v>
      </c>
      <c r="U53" s="24" t="s">
        <v>106</v>
      </c>
      <c r="V53" s="23" t="s">
        <v>181</v>
      </c>
      <c r="W53" t="s">
        <v>106</v>
      </c>
      <c r="X53" t="s">
        <v>180</v>
      </c>
    </row>
    <row r="54" spans="6:24" ht="15.75">
      <c r="F54" s="2" t="s">
        <v>37</v>
      </c>
      <c r="G54" s="22">
        <v>1E-3</v>
      </c>
      <c r="H54" t="s">
        <v>107</v>
      </c>
      <c r="I54" s="22">
        <v>9.9999999999999998E-13</v>
      </c>
      <c r="J54" s="22">
        <v>1E-3</v>
      </c>
      <c r="K54" t="s">
        <v>1</v>
      </c>
      <c r="L54" s="22">
        <v>1.0000000000000001E-9</v>
      </c>
      <c r="U54" s="24" t="s">
        <v>107</v>
      </c>
      <c r="V54" s="24" t="s">
        <v>1</v>
      </c>
      <c r="W54" t="s">
        <v>107</v>
      </c>
      <c r="X54" t="s">
        <v>1</v>
      </c>
    </row>
    <row r="55" spans="6:24" ht="15.75">
      <c r="F55" s="2" t="s">
        <v>44</v>
      </c>
      <c r="G55" s="22">
        <v>1E-4</v>
      </c>
      <c r="H55" t="s">
        <v>107</v>
      </c>
      <c r="I55" s="22">
        <v>9.9999999999999998E-13</v>
      </c>
      <c r="J55" s="22">
        <v>1E-4</v>
      </c>
      <c r="K55" t="s">
        <v>1</v>
      </c>
      <c r="L55" s="22">
        <v>1.0000000000000001E-9</v>
      </c>
      <c r="U55" s="24" t="s">
        <v>107</v>
      </c>
      <c r="V55" s="24" t="s">
        <v>1</v>
      </c>
      <c r="W55" t="s">
        <v>107</v>
      </c>
      <c r="X55" t="s">
        <v>1</v>
      </c>
    </row>
    <row r="56" spans="6:24" ht="15.75">
      <c r="G56" s="22"/>
      <c r="H56" s="24"/>
      <c r="I56" s="22"/>
      <c r="J56" s="22"/>
      <c r="K56" s="23"/>
      <c r="L56" s="22"/>
    </row>
  </sheetData>
  <phoneticPr fontId="0" type="noConversion"/>
  <pageMargins left="0.75" right="0.75" top="1" bottom="1" header="0.5" footer="0.5"/>
  <pageSetup paperSize="9" scale="95" orientation="portrait" r:id="rId1"/>
  <headerFooter alignWithMargins="0">
    <oddHeader>&amp;A</oddHeader>
    <oddFooter>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88"/>
  <sheetViews>
    <sheetView workbookViewId="0">
      <selection activeCell="C63" sqref="C63"/>
    </sheetView>
  </sheetViews>
  <sheetFormatPr defaultRowHeight="12.75"/>
  <cols>
    <col min="1" max="1" width="47.5703125" customWidth="1"/>
    <col min="2" max="2" width="20.140625" customWidth="1"/>
    <col min="3" max="3" width="10.5703125" customWidth="1"/>
    <col min="4" max="4" width="11.85546875" customWidth="1"/>
    <col min="5" max="5" width="19.28515625" customWidth="1"/>
    <col min="18" max="18" width="13" customWidth="1"/>
    <col min="19" max="19" width="13.5703125" customWidth="1"/>
    <col min="20" max="21" width="10.7109375" customWidth="1"/>
    <col min="28" max="28" width="13.140625" customWidth="1"/>
    <col min="29" max="29" width="13.28515625" customWidth="1"/>
    <col min="31" max="31" width="12" customWidth="1"/>
    <col min="33" max="33" width="7.85546875" customWidth="1"/>
    <col min="34" max="34" width="7.7109375" customWidth="1"/>
    <col min="36" max="36" width="7.42578125" customWidth="1"/>
    <col min="37" max="37" width="8.140625" customWidth="1"/>
    <col min="39" max="39" width="7.28515625" customWidth="1"/>
    <col min="40" max="40" width="6.85546875" customWidth="1"/>
    <col min="41" max="41" width="6.5703125" customWidth="1"/>
    <col min="43" max="43" width="23.5703125" customWidth="1"/>
    <col min="44" max="44" width="7.7109375" customWidth="1"/>
    <col min="45" max="45" width="28.7109375" customWidth="1"/>
    <col min="47" max="47" width="11.42578125" bestFit="1" customWidth="1"/>
    <col min="48" max="48" width="11.42578125" customWidth="1"/>
    <col min="49" max="49" width="9.5703125" customWidth="1"/>
  </cols>
  <sheetData>
    <row r="1" spans="1:50" ht="15.75">
      <c r="A1" s="26" t="s">
        <v>6</v>
      </c>
      <c r="F1" s="27" t="s">
        <v>7</v>
      </c>
      <c r="S1" t="s">
        <v>187</v>
      </c>
      <c r="AB1" s="12" t="s">
        <v>188</v>
      </c>
      <c r="AQ1" s="12" t="s">
        <v>189</v>
      </c>
      <c r="AR1" s="12"/>
      <c r="AU1" s="12" t="s">
        <v>190</v>
      </c>
      <c r="AV1" s="12"/>
    </row>
    <row r="2" spans="1:50">
      <c r="A2" s="28" t="s">
        <v>8</v>
      </c>
      <c r="F2" s="28" t="s">
        <v>9</v>
      </c>
      <c r="AB2" t="s">
        <v>191</v>
      </c>
      <c r="AP2" s="127"/>
      <c r="AQ2" s="28" t="s">
        <v>250</v>
      </c>
      <c r="AS2" s="28" t="s">
        <v>249</v>
      </c>
    </row>
    <row r="3" spans="1:50">
      <c r="A3" s="29" t="s">
        <v>192</v>
      </c>
      <c r="C3" s="30"/>
      <c r="F3" s="28" t="s">
        <v>10</v>
      </c>
      <c r="G3">
        <v>1.96</v>
      </c>
      <c r="L3" t="s">
        <v>108</v>
      </c>
      <c r="S3" s="2" t="s">
        <v>16</v>
      </c>
      <c r="T3" t="s">
        <v>193</v>
      </c>
      <c r="U3" t="s">
        <v>194</v>
      </c>
      <c r="V3" t="s">
        <v>195</v>
      </c>
      <c r="W3" t="s">
        <v>196</v>
      </c>
      <c r="X3" t="s">
        <v>197</v>
      </c>
      <c r="Y3" t="s">
        <v>198</v>
      </c>
      <c r="AB3" s="2" t="s">
        <v>16</v>
      </c>
      <c r="AC3" s="2" t="s">
        <v>199</v>
      </c>
      <c r="AD3" s="2" t="s">
        <v>17</v>
      </c>
      <c r="AE3" s="2" t="s">
        <v>239</v>
      </c>
      <c r="AF3" s="2" t="s">
        <v>17</v>
      </c>
      <c r="AG3" s="2" t="s">
        <v>240</v>
      </c>
      <c r="AH3" s="2" t="s">
        <v>33</v>
      </c>
      <c r="AI3" s="2" t="s">
        <v>200</v>
      </c>
      <c r="AJ3" s="2" t="s">
        <v>201</v>
      </c>
      <c r="AK3" s="2" t="s">
        <v>202</v>
      </c>
      <c r="AL3" s="2" t="s">
        <v>203</v>
      </c>
      <c r="AM3" s="2" t="s">
        <v>201</v>
      </c>
      <c r="AN3" s="2" t="s">
        <v>204</v>
      </c>
      <c r="AO3" s="2" t="s">
        <v>205</v>
      </c>
      <c r="AP3" s="128"/>
      <c r="AQ3" s="28" t="s">
        <v>107</v>
      </c>
      <c r="AR3" s="2" t="s">
        <v>206</v>
      </c>
      <c r="AS3" s="28"/>
      <c r="AT3" s="2" t="s">
        <v>206</v>
      </c>
      <c r="AU3" t="s">
        <v>0</v>
      </c>
      <c r="AW3" t="s">
        <v>156</v>
      </c>
    </row>
    <row r="4" spans="1:50">
      <c r="F4" s="28" t="s">
        <v>11</v>
      </c>
      <c r="G4">
        <v>2.3719999999999999</v>
      </c>
      <c r="L4" t="s">
        <v>110</v>
      </c>
      <c r="S4" s="87"/>
      <c r="AB4" s="87"/>
      <c r="AC4" s="129">
        <f>F80</f>
        <v>4.2879445133159838E-5</v>
      </c>
      <c r="AD4" s="130">
        <f>F78</f>
        <v>2.2941425031017615</v>
      </c>
      <c r="AE4" s="129">
        <f>F66</f>
        <v>3.4529569477386455E-4</v>
      </c>
      <c r="AF4" s="130">
        <f>F64</f>
        <v>2.1500454269547329</v>
      </c>
      <c r="AG4" s="187" t="s">
        <v>246</v>
      </c>
    </row>
    <row r="5" spans="1:50">
      <c r="A5" s="28" t="s">
        <v>12</v>
      </c>
      <c r="B5" s="33"/>
      <c r="F5" s="28" t="s">
        <v>13</v>
      </c>
      <c r="G5">
        <v>1.2737000000000001</v>
      </c>
      <c r="S5" s="87" t="s">
        <v>611</v>
      </c>
      <c r="T5">
        <v>0</v>
      </c>
      <c r="U5">
        <v>0</v>
      </c>
      <c r="V5">
        <f>AVERAGE(-20,35)</f>
        <v>7.5</v>
      </c>
      <c r="W5">
        <f>(35+20)/2</f>
        <v>27.5</v>
      </c>
      <c r="X5">
        <v>0</v>
      </c>
      <c r="Y5">
        <v>0</v>
      </c>
      <c r="AB5" s="87" t="s">
        <v>611</v>
      </c>
      <c r="AC5" s="129">
        <f t="dataTable" ref="AC5:AF55" dt2D="0" dtr="0" r1="B9"/>
        <v>4.2879445133159838E-5</v>
      </c>
      <c r="AD5" s="130">
        <v>2.2941425031017615</v>
      </c>
      <c r="AE5" s="129">
        <v>3.4529569477386455E-4</v>
      </c>
      <c r="AF5" s="130">
        <v>2.1500454269547329</v>
      </c>
      <c r="AG5" s="188">
        <f>AE5*AM5/(2*PI()*AO5*AI5*AJ5)*1000</f>
        <v>3.4533361710514569E-2</v>
      </c>
      <c r="AH5" t="str">
        <f t="shared" ref="AH5:AH36" si="0">VLOOKUP(AB5, Results,2,FALSE)</f>
        <v>3Y</v>
      </c>
      <c r="AI5">
        <f>VLOOKUP(AB5,Results,5,FALSE)</f>
        <v>0.99992124230590029</v>
      </c>
      <c r="AJ5" s="131">
        <f t="shared" ref="AJ5:AJ36" si="1">VLOOKUP(AH5,multiplier,4,FALSE)</f>
        <v>9.9999999999999995E-7</v>
      </c>
      <c r="AK5" s="131">
        <f t="shared" ref="AK5:AK36" si="2">VLOOKUP(AH5,multiplier,8,FALSE)</f>
        <v>0</v>
      </c>
      <c r="AL5">
        <f>VLOOKUP(AB5,Results,7,FALSE)</f>
        <v>1.7178970503127324E-3</v>
      </c>
      <c r="AM5" s="131">
        <f t="shared" ref="AM5:AM36" si="3">VLOOKUP(AH5,multiplier,7,FALSE)</f>
        <v>1E-3</v>
      </c>
      <c r="AN5" s="131">
        <f t="shared" ref="AN5:AN36" si="4">VLOOKUP(AH5,multiplier,9,FALSE)</f>
        <v>0</v>
      </c>
      <c r="AO5">
        <f t="shared" ref="AO5:AO36" si="5">VLOOKUP(AB5,Results,9,FALSE)</f>
        <v>1591.5</v>
      </c>
      <c r="AQ5" s="131">
        <f>0.2/AO5+22*AI5*AJ5*1000000</f>
        <v>21.998392998338979</v>
      </c>
      <c r="AR5" s="82">
        <f>AQ5*0.000000000001/(AC5*AJ5)</f>
        <v>0.51302886336388298</v>
      </c>
      <c r="AS5" s="173">
        <f>0.000027+0.00027/(AI5*AJ5*1000000000000)</f>
        <v>2.700027002126625E-5</v>
      </c>
      <c r="AT5" s="85">
        <f>AS5*1000/AG5</f>
        <v>0.78186045852134123</v>
      </c>
      <c r="AU5" s="132">
        <f>AQ5</f>
        <v>21.998392998338979</v>
      </c>
      <c r="AV5" s="82">
        <f>AU5*0.000000000001/(AC5*AJ5)</f>
        <v>0.51302886336388298</v>
      </c>
      <c r="AW5" s="132">
        <f>0.00003*1000</f>
        <v>3.0000000000000002E-2</v>
      </c>
      <c r="AX5" s="85">
        <f>AW5/AG5</f>
        <v>0.86872515486570001</v>
      </c>
    </row>
    <row r="6" spans="1:50">
      <c r="A6" s="28" t="s">
        <v>14</v>
      </c>
      <c r="B6" s="33"/>
      <c r="F6" s="28" t="s">
        <v>15</v>
      </c>
      <c r="G6">
        <v>7.0961999999999996</v>
      </c>
      <c r="S6" s="87" t="s">
        <v>612</v>
      </c>
      <c r="T6">
        <v>0</v>
      </c>
      <c r="U6">
        <v>0</v>
      </c>
      <c r="V6">
        <f>AVERAGE(-20,35)</f>
        <v>7.5</v>
      </c>
      <c r="W6">
        <f>(35+20)/2</f>
        <v>27.5</v>
      </c>
      <c r="X6">
        <v>0</v>
      </c>
      <c r="Y6">
        <v>0</v>
      </c>
      <c r="AB6" s="87" t="s">
        <v>612</v>
      </c>
      <c r="AC6" s="129">
        <v>4.288449282023132E-3</v>
      </c>
      <c r="AD6" s="130">
        <v>2.2941438367094689</v>
      </c>
      <c r="AE6" s="129">
        <v>3.4533622871502856E-2</v>
      </c>
      <c r="AF6" s="130">
        <v>2.1500462400229141</v>
      </c>
      <c r="AG6" s="188">
        <f t="shared" ref="AG6:AG55" si="6">AE6*AM6/(2*PI()*AO6*AI6*AJ6)*1000</f>
        <v>3.4533339988042581E-2</v>
      </c>
      <c r="AH6" t="str">
        <f t="shared" si="0"/>
        <v>4Y</v>
      </c>
      <c r="AI6">
        <f t="shared" ref="AI6:AI59" si="7">VLOOKUP(AB6,Results,5,FALSE)</f>
        <v>100.00392511858601</v>
      </c>
      <c r="AJ6" s="131">
        <f t="shared" si="1"/>
        <v>1.0000000000000001E-9</v>
      </c>
      <c r="AK6" s="131">
        <f t="shared" si="2"/>
        <v>0</v>
      </c>
      <c r="AL6">
        <f t="shared" ref="AL6:AL59" si="8">VLOOKUP(AB6,Results,7,FALSE)</f>
        <v>4.1297525132663479E-2</v>
      </c>
      <c r="AM6" s="131">
        <f t="shared" si="3"/>
        <v>9.9999999999999995E-7</v>
      </c>
      <c r="AN6" s="131">
        <f t="shared" si="4"/>
        <v>0</v>
      </c>
      <c r="AO6">
        <f t="shared" si="5"/>
        <v>1591.5</v>
      </c>
      <c r="AQ6" s="131">
        <f t="shared" ref="AQ6:AQ11" si="9">0.2/AO6+22*AI6*AJ6*1000000</f>
        <v>2.2002120202180664</v>
      </c>
      <c r="AR6" s="82">
        <f t="shared" ref="AR6:AR11" si="10">AQ6*0.000000000001/(AC6*AJ6)</f>
        <v>0.51305539031117742</v>
      </c>
      <c r="AS6" s="173">
        <f t="shared" ref="AS6:AS11" si="11">0.000027+0.00027/(AI6*AJ6*1000000000000)</f>
        <v>2.7002699894025958E-5</v>
      </c>
      <c r="AT6" s="85">
        <f t="shared" ref="AT6:AT11" si="12">AS6*1000/AG6</f>
        <v>0.78193131343147926</v>
      </c>
      <c r="AU6" s="132">
        <f t="shared" ref="AU6:AU11" si="13">AQ6</f>
        <v>2.2002120202180664</v>
      </c>
      <c r="AV6" s="82">
        <f t="shared" ref="AV6:AV11" si="14">AU6*0.000000000001/(AC6*AJ6)</f>
        <v>0.51305539031117742</v>
      </c>
      <c r="AW6" s="132">
        <f t="shared" ref="AW6:AW55" si="15">0.00003*1000</f>
        <v>3.0000000000000002E-2</v>
      </c>
      <c r="AX6" s="85">
        <f t="shared" ref="AX6:AX11" si="16">AW6/AG6</f>
        <v>0.86872570131900706</v>
      </c>
    </row>
    <row r="7" spans="1:50">
      <c r="A7" s="28" t="s">
        <v>18</v>
      </c>
      <c r="B7" s="33"/>
      <c r="O7" s="2"/>
      <c r="P7" s="2"/>
      <c r="Q7" s="2"/>
      <c r="R7" s="2"/>
      <c r="S7" s="87" t="s">
        <v>613</v>
      </c>
      <c r="T7">
        <v>0</v>
      </c>
      <c r="U7">
        <v>0</v>
      </c>
      <c r="V7">
        <f>AVERAGE(-20,35)</f>
        <v>7.5</v>
      </c>
      <c r="W7">
        <f>(35+20)/2</f>
        <v>27.5</v>
      </c>
      <c r="X7">
        <v>0</v>
      </c>
      <c r="Y7">
        <v>0</v>
      </c>
      <c r="Z7" s="2"/>
      <c r="AA7" s="2"/>
      <c r="AB7" s="87" t="s">
        <v>613</v>
      </c>
      <c r="AC7" s="129">
        <v>4.2887059519124333E-4</v>
      </c>
      <c r="AD7" s="130">
        <v>2.2941445062808827</v>
      </c>
      <c r="AE7" s="129">
        <v>3.4535684981948068E-3</v>
      </c>
      <c r="AF7" s="130">
        <v>2.1500466130674445</v>
      </c>
      <c r="AG7" s="188">
        <f t="shared" si="6"/>
        <v>3.4533295474734139E-2</v>
      </c>
      <c r="AH7" t="str">
        <f t="shared" si="0"/>
        <v>5Y</v>
      </c>
      <c r="AI7">
        <f t="shared" si="7"/>
        <v>10.001002557763476</v>
      </c>
      <c r="AJ7" s="131">
        <f t="shared" si="1"/>
        <v>1.0000000000000001E-9</v>
      </c>
      <c r="AK7" s="131">
        <f t="shared" si="2"/>
        <v>0</v>
      </c>
      <c r="AL7">
        <f t="shared" si="8"/>
        <v>4.9597027762230232E-3</v>
      </c>
      <c r="AM7" s="131">
        <f t="shared" si="3"/>
        <v>9.9999999999999995E-7</v>
      </c>
      <c r="AN7" s="131">
        <f t="shared" si="4"/>
        <v>0</v>
      </c>
      <c r="AO7">
        <f t="shared" si="5"/>
        <v>1591.5</v>
      </c>
      <c r="AQ7" s="131">
        <f t="shared" si="9"/>
        <v>0.22014772387997023</v>
      </c>
      <c r="AR7" s="82">
        <f t="shared" si="10"/>
        <v>0.51331969677660283</v>
      </c>
      <c r="AS7" s="173">
        <f t="shared" si="11"/>
        <v>2.7026997293365395E-5</v>
      </c>
      <c r="AT7" s="85">
        <f t="shared" si="12"/>
        <v>0.78263591475477234</v>
      </c>
      <c r="AU7" s="132">
        <f t="shared" si="13"/>
        <v>0.22014772387997023</v>
      </c>
      <c r="AV7" s="82">
        <f t="shared" si="14"/>
        <v>0.51331969677660283</v>
      </c>
      <c r="AW7" s="132">
        <f t="shared" si="15"/>
        <v>3.0000000000000002E-2</v>
      </c>
      <c r="AX7" s="85">
        <f t="shared" si="16"/>
        <v>0.86872682110368338</v>
      </c>
    </row>
    <row r="8" spans="1:50">
      <c r="A8" s="28" t="s">
        <v>19</v>
      </c>
      <c r="B8" s="33"/>
      <c r="O8" s="2"/>
      <c r="P8" s="34"/>
      <c r="Q8" s="35"/>
      <c r="R8" s="36"/>
      <c r="S8" s="87" t="s">
        <v>607</v>
      </c>
      <c r="T8">
        <v>0</v>
      </c>
      <c r="U8">
        <v>0</v>
      </c>
      <c r="V8">
        <v>30</v>
      </c>
      <c r="W8">
        <f>0.3*V8</f>
        <v>9</v>
      </c>
      <c r="X8">
        <v>0</v>
      </c>
      <c r="Y8">
        <v>0</v>
      </c>
      <c r="Z8" s="36"/>
      <c r="AA8" s="35"/>
      <c r="AB8" s="87" t="s">
        <v>607</v>
      </c>
      <c r="AC8" s="129">
        <v>5.027260158025957E-2</v>
      </c>
      <c r="AD8" s="130">
        <v>2.1371461707448796</v>
      </c>
      <c r="AE8" s="129">
        <v>0.34525615135629184</v>
      </c>
      <c r="AF8" s="130">
        <v>2.15004478616975</v>
      </c>
      <c r="AG8" s="188">
        <f t="shared" si="6"/>
        <v>3.4531216965908079E-2</v>
      </c>
      <c r="AH8" t="str">
        <f t="shared" si="0"/>
        <v>6Y</v>
      </c>
      <c r="AI8">
        <f t="shared" si="7"/>
        <v>999.86882918397339</v>
      </c>
      <c r="AJ8" s="131">
        <f t="shared" si="1"/>
        <v>9.9999999999999998E-13</v>
      </c>
      <c r="AK8" s="131">
        <f t="shared" si="2"/>
        <v>0</v>
      </c>
      <c r="AL8">
        <f t="shared" si="8"/>
        <v>-0.20100054033350956</v>
      </c>
      <c r="AM8" s="131">
        <f t="shared" si="3"/>
        <v>1.0000000000000001E-9</v>
      </c>
      <c r="AN8" s="131">
        <f t="shared" si="4"/>
        <v>0</v>
      </c>
      <c r="AO8">
        <f t="shared" si="5"/>
        <v>1591.5</v>
      </c>
      <c r="AQ8" s="131">
        <f t="shared" si="9"/>
        <v>2.2122781851221147E-2</v>
      </c>
      <c r="AR8" s="82">
        <f t="shared" si="10"/>
        <v>0.44005643543038858</v>
      </c>
      <c r="AS8" s="173">
        <f t="shared" si="11"/>
        <v>2.7270035420766497E-5</v>
      </c>
      <c r="AT8" s="85">
        <f t="shared" si="12"/>
        <v>0.78972123825492768</v>
      </c>
      <c r="AU8" s="132">
        <f t="shared" si="13"/>
        <v>2.2122781851221147E-2</v>
      </c>
      <c r="AV8" s="82">
        <f t="shared" si="14"/>
        <v>0.44005643543038858</v>
      </c>
      <c r="AW8" s="132">
        <f t="shared" si="15"/>
        <v>3.0000000000000002E-2</v>
      </c>
      <c r="AX8" s="85">
        <f t="shared" si="16"/>
        <v>0.8687791116547775</v>
      </c>
    </row>
    <row r="9" spans="1:50">
      <c r="A9" s="37" t="s">
        <v>207</v>
      </c>
      <c r="B9" s="38" t="s">
        <v>611</v>
      </c>
      <c r="O9" s="2"/>
      <c r="P9" s="31"/>
      <c r="Q9" s="32"/>
      <c r="R9" s="31"/>
      <c r="S9" s="87" t="s">
        <v>608</v>
      </c>
      <c r="T9">
        <v>0</v>
      </c>
      <c r="U9">
        <v>0</v>
      </c>
      <c r="V9">
        <v>30</v>
      </c>
      <c r="W9">
        <f>0.3*V9</f>
        <v>9</v>
      </c>
      <c r="X9">
        <v>0</v>
      </c>
      <c r="Y9">
        <v>0</v>
      </c>
      <c r="Z9" s="31"/>
      <c r="AA9" s="32"/>
      <c r="AB9" s="87" t="s">
        <v>608</v>
      </c>
      <c r="AC9" s="129">
        <v>5.0283380543389624E-3</v>
      </c>
      <c r="AD9" s="130">
        <v>2.1371469092382602</v>
      </c>
      <c r="AE9" s="129">
        <v>3.4533006974180408E-2</v>
      </c>
      <c r="AF9" s="130">
        <v>2.150046024308164</v>
      </c>
      <c r="AG9" s="188">
        <f t="shared" si="6"/>
        <v>3.4533981047499884E-2</v>
      </c>
      <c r="AH9" t="str">
        <f t="shared" si="0"/>
        <v>7Y</v>
      </c>
      <c r="AI9">
        <f t="shared" si="7"/>
        <v>100.00028522236404</v>
      </c>
      <c r="AJ9" s="131">
        <f t="shared" si="1"/>
        <v>9.9999999999999998E-13</v>
      </c>
      <c r="AK9" s="131">
        <f t="shared" si="2"/>
        <v>0</v>
      </c>
      <c r="AL9">
        <f t="shared" si="8"/>
        <v>0.19768570193099488</v>
      </c>
      <c r="AM9" s="131">
        <f t="shared" si="3"/>
        <v>1.0000000000000001E-9</v>
      </c>
      <c r="AN9" s="131">
        <f t="shared" si="4"/>
        <v>0</v>
      </c>
      <c r="AO9">
        <f t="shared" si="5"/>
        <v>1591.5</v>
      </c>
      <c r="AQ9" s="131">
        <f t="shared" si="9"/>
        <v>2.3256738840657445E-3</v>
      </c>
      <c r="AR9" s="82">
        <f t="shared" si="10"/>
        <v>0.46251343066700057</v>
      </c>
      <c r="AS9" s="173">
        <f t="shared" si="11"/>
        <v>2.9699992299018136E-5</v>
      </c>
      <c r="AT9" s="85">
        <f t="shared" si="12"/>
        <v>0.86002225628626994</v>
      </c>
      <c r="AU9" s="132">
        <f t="shared" si="13"/>
        <v>2.3256738840657445E-3</v>
      </c>
      <c r="AV9" s="82">
        <f t="shared" si="14"/>
        <v>0.46251343066700057</v>
      </c>
      <c r="AW9" s="132">
        <f t="shared" si="15"/>
        <v>3.0000000000000002E-2</v>
      </c>
      <c r="AX9" s="85">
        <f t="shared" si="16"/>
        <v>0.86870957503383106</v>
      </c>
    </row>
    <row r="10" spans="1:50" ht="15.75">
      <c r="A10" s="39" t="s">
        <v>208</v>
      </c>
      <c r="B10" s="40"/>
      <c r="C10" s="41"/>
      <c r="D10" s="42"/>
      <c r="F10" s="28" t="s">
        <v>20</v>
      </c>
      <c r="O10" s="2"/>
      <c r="P10" s="31"/>
      <c r="Q10" s="32"/>
      <c r="R10" s="31"/>
      <c r="S10" s="87" t="s">
        <v>609</v>
      </c>
      <c r="T10">
        <v>0</v>
      </c>
      <c r="U10">
        <v>0</v>
      </c>
      <c r="V10">
        <v>30</v>
      </c>
      <c r="W10">
        <f>0.3*V10</f>
        <v>9</v>
      </c>
      <c r="X10">
        <v>0</v>
      </c>
      <c r="Y10">
        <v>0</v>
      </c>
      <c r="Z10" s="31"/>
      <c r="AA10" s="32"/>
      <c r="AB10" s="87" t="s">
        <v>609</v>
      </c>
      <c r="AC10" s="129">
        <v>5.9597384516450714E-4</v>
      </c>
      <c r="AD10" s="130">
        <v>2.0955393967720135</v>
      </c>
      <c r="AE10" s="129">
        <v>4.4013715486818416E-3</v>
      </c>
      <c r="AF10" s="130">
        <v>2.0612813342294927</v>
      </c>
      <c r="AG10" s="188">
        <f t="shared" si="6"/>
        <v>4.4020680014484073E-2</v>
      </c>
      <c r="AH10" t="str">
        <f t="shared" si="0"/>
        <v>7Y</v>
      </c>
      <c r="AI10">
        <f t="shared" si="7"/>
        <v>9.9987284405236085</v>
      </c>
      <c r="AJ10" s="131">
        <f t="shared" si="1"/>
        <v>9.9999999999999998E-13</v>
      </c>
      <c r="AK10" s="131">
        <f t="shared" si="2"/>
        <v>0</v>
      </c>
      <c r="AL10">
        <f t="shared" si="8"/>
        <v>1.9098618648872041E-2</v>
      </c>
      <c r="AM10" s="131">
        <f t="shared" si="3"/>
        <v>1.0000000000000001E-9</v>
      </c>
      <c r="AN10" s="131">
        <f t="shared" si="4"/>
        <v>0</v>
      </c>
      <c r="AO10">
        <f t="shared" si="5"/>
        <v>1591.5</v>
      </c>
      <c r="AQ10" s="131">
        <f t="shared" si="9"/>
        <v>3.4563963486525484E-4</v>
      </c>
      <c r="AR10" s="82">
        <f t="shared" si="10"/>
        <v>0.57995772410087498</v>
      </c>
      <c r="AS10" s="173">
        <f t="shared" si="11"/>
        <v>5.4003433647194919E-5</v>
      </c>
      <c r="AT10" s="85">
        <f t="shared" si="12"/>
        <v>1.2267741804403347</v>
      </c>
      <c r="AU10" s="132">
        <f t="shared" si="13"/>
        <v>3.4563963486525484E-4</v>
      </c>
      <c r="AV10" s="82">
        <f t="shared" si="14"/>
        <v>0.57995772410087498</v>
      </c>
      <c r="AW10" s="132">
        <f t="shared" si="15"/>
        <v>3.0000000000000002E-2</v>
      </c>
      <c r="AX10" s="85">
        <f t="shared" si="16"/>
        <v>0.68149787759137603</v>
      </c>
    </row>
    <row r="11" spans="1:50">
      <c r="A11" s="43"/>
      <c r="B11" s="44" t="s">
        <v>21</v>
      </c>
      <c r="C11" s="133" t="s">
        <v>209</v>
      </c>
      <c r="D11" s="134">
        <f>VLOOKUP(label,Results,3,FALSE)</f>
        <v>999846</v>
      </c>
      <c r="E11" s="135" t="s">
        <v>243</v>
      </c>
      <c r="F11" s="43"/>
      <c r="O11" s="2"/>
      <c r="P11" s="31"/>
      <c r="Q11" s="32"/>
      <c r="R11" s="31"/>
      <c r="S11" s="87" t="s">
        <v>610</v>
      </c>
      <c r="T11">
        <v>0</v>
      </c>
      <c r="U11">
        <v>0</v>
      </c>
      <c r="V11">
        <v>40</v>
      </c>
      <c r="W11">
        <f>0.3*V11</f>
        <v>12</v>
      </c>
      <c r="X11">
        <v>0</v>
      </c>
      <c r="Y11">
        <v>0</v>
      </c>
      <c r="Z11" s="31"/>
      <c r="AA11" s="32"/>
      <c r="AB11" s="87" t="s">
        <v>610</v>
      </c>
      <c r="AC11" s="129">
        <v>4.1578284159589628E-4</v>
      </c>
      <c r="AD11" s="130">
        <v>2.5531887290894928</v>
      </c>
      <c r="AE11" s="129">
        <v>3.1065770135817244E-3</v>
      </c>
      <c r="AF11" s="130">
        <v>2.1827453941864152</v>
      </c>
      <c r="AG11" s="188">
        <f t="shared" si="6"/>
        <v>0.31070996609245055</v>
      </c>
      <c r="AH11" t="str">
        <f t="shared" si="0"/>
        <v>7Y</v>
      </c>
      <c r="AI11">
        <f t="shared" si="7"/>
        <v>0.99986284342380105</v>
      </c>
      <c r="AJ11" s="131">
        <f t="shared" si="1"/>
        <v>9.9999999999999998E-13</v>
      </c>
      <c r="AK11" s="131">
        <f t="shared" si="2"/>
        <v>0</v>
      </c>
      <c r="AL11">
        <f t="shared" si="8"/>
        <v>2.6998047304688227E-3</v>
      </c>
      <c r="AM11" s="131">
        <f t="shared" si="3"/>
        <v>1.0000000000000001E-9</v>
      </c>
      <c r="AN11" s="131">
        <f t="shared" si="4"/>
        <v>0</v>
      </c>
      <c r="AO11">
        <f t="shared" si="5"/>
        <v>1591.5</v>
      </c>
      <c r="AQ11" s="131">
        <f t="shared" si="9"/>
        <v>1.476645917290591E-4</v>
      </c>
      <c r="AR11" s="82">
        <f t="shared" si="10"/>
        <v>0.35514835379516668</v>
      </c>
      <c r="AS11" s="173">
        <f t="shared" si="11"/>
        <v>2.970370373554906E-4</v>
      </c>
      <c r="AT11" s="85">
        <f t="shared" si="12"/>
        <v>0.95599456010724926</v>
      </c>
      <c r="AU11" s="132">
        <f t="shared" si="13"/>
        <v>1.476645917290591E-4</v>
      </c>
      <c r="AV11" s="82">
        <f t="shared" si="14"/>
        <v>0.35514835379516668</v>
      </c>
      <c r="AW11" s="132">
        <f t="shared" si="15"/>
        <v>3.0000000000000002E-2</v>
      </c>
      <c r="AX11" s="85">
        <f t="shared" si="16"/>
        <v>9.655306644098316E-2</v>
      </c>
    </row>
    <row r="12" spans="1:50">
      <c r="A12" s="45" t="s">
        <v>22</v>
      </c>
      <c r="B12" s="44" t="s">
        <v>23</v>
      </c>
      <c r="E12" s="46" t="s">
        <v>24</v>
      </c>
      <c r="S12" s="87" t="s">
        <v>614</v>
      </c>
      <c r="T12">
        <v>0</v>
      </c>
      <c r="U12">
        <v>0</v>
      </c>
      <c r="V12">
        <f>AVERAGE(-20,35)</f>
        <v>7.5</v>
      </c>
      <c r="W12">
        <f>(35+20)/2</f>
        <v>27.5</v>
      </c>
      <c r="X12">
        <v>0</v>
      </c>
      <c r="Y12">
        <v>0</v>
      </c>
      <c r="AB12" s="186" t="s">
        <v>614</v>
      </c>
      <c r="AC12" s="129">
        <v>5.323320969033059E-3</v>
      </c>
      <c r="AD12" s="130">
        <v>2.1647224233221305</v>
      </c>
      <c r="AE12" s="129">
        <v>4.4014459767202786E-2</v>
      </c>
      <c r="AF12" s="130">
        <v>2.0612816437849393</v>
      </c>
      <c r="AG12" s="188">
        <f t="shared" si="6"/>
        <v>4.4014160781413181E-2</v>
      </c>
      <c r="AH12" t="str">
        <f t="shared" si="0"/>
        <v>6Y</v>
      </c>
      <c r="AI12">
        <f t="shared" si="7"/>
        <v>100.00378524833729</v>
      </c>
      <c r="AJ12" s="131">
        <f t="shared" si="1"/>
        <v>9.9999999999999998E-13</v>
      </c>
      <c r="AK12" s="131">
        <f t="shared" si="2"/>
        <v>0</v>
      </c>
      <c r="AL12">
        <f t="shared" si="8"/>
        <v>-2.9000077958566055E-2</v>
      </c>
      <c r="AM12" s="131">
        <f t="shared" si="3"/>
        <v>1.0000000000000001E-9</v>
      </c>
      <c r="AN12" s="131">
        <f t="shared" si="4"/>
        <v>0</v>
      </c>
      <c r="AO12">
        <f t="shared" si="5"/>
        <v>1591.5</v>
      </c>
      <c r="AQ12" s="131">
        <f t="shared" ref="AQ12:AQ55" si="17">0.2/AO12+22*AI12*AJ12*1000000</f>
        <v>2.3257508846371558E-3</v>
      </c>
      <c r="AR12" s="82">
        <f t="shared" ref="AR12:AR55" si="18">AQ12*0.000000000001/(AC12*AJ12)</f>
        <v>0.43689848839973494</v>
      </c>
      <c r="AS12" s="173">
        <f t="shared" ref="AS12:AS55" si="19">0.000027+0.00027/(AI12*AJ12*1000000000000)</f>
        <v>2.9699897802163334E-5</v>
      </c>
      <c r="AT12" s="85">
        <f t="shared" ref="AT12:AT55" si="20">AS12*1000/AG12</f>
        <v>0.67478050870176665</v>
      </c>
      <c r="AU12" s="132">
        <f t="shared" ref="AU12:AU55" si="21">AQ12</f>
        <v>2.3257508846371558E-3</v>
      </c>
      <c r="AV12" s="82">
        <f t="shared" ref="AV12:AV55" si="22">AU12*0.000000000001/(AC12*AJ12)</f>
        <v>0.43689848839973494</v>
      </c>
      <c r="AW12" s="132">
        <f t="shared" si="15"/>
        <v>3.0000000000000002E-2</v>
      </c>
      <c r="AX12" s="85">
        <f t="shared" ref="AX12:AX55" si="23">AW12/AG12</f>
        <v>0.68159881882079998</v>
      </c>
    </row>
    <row r="13" spans="1:50" ht="15.75">
      <c r="A13" s="47"/>
      <c r="B13" s="44" t="s">
        <v>210</v>
      </c>
      <c r="C13" s="45" t="s">
        <v>25</v>
      </c>
      <c r="D13" s="45" t="s">
        <v>26</v>
      </c>
      <c r="E13" s="45" t="s">
        <v>27</v>
      </c>
      <c r="F13" s="45" t="s">
        <v>28</v>
      </c>
      <c r="K13" s="136" t="s">
        <v>141</v>
      </c>
      <c r="S13" s="87"/>
      <c r="AB13" s="186"/>
      <c r="AC13" s="129" t="e">
        <v>#N/A</v>
      </c>
      <c r="AD13" s="130" t="e">
        <v>#N/A</v>
      </c>
      <c r="AE13" s="129" t="e">
        <v>#N/A</v>
      </c>
      <c r="AF13" s="130" t="e">
        <v>#N/A</v>
      </c>
      <c r="AG13" s="188" t="e">
        <f t="shared" si="6"/>
        <v>#N/A</v>
      </c>
      <c r="AH13" t="e">
        <f t="shared" si="0"/>
        <v>#N/A</v>
      </c>
      <c r="AI13" t="e">
        <f t="shared" si="7"/>
        <v>#N/A</v>
      </c>
      <c r="AJ13" s="131" t="e">
        <f t="shared" si="1"/>
        <v>#N/A</v>
      </c>
      <c r="AK13" s="131" t="e">
        <f t="shared" si="2"/>
        <v>#N/A</v>
      </c>
      <c r="AL13" t="e">
        <f t="shared" si="8"/>
        <v>#N/A</v>
      </c>
      <c r="AM13" s="131" t="e">
        <f t="shared" si="3"/>
        <v>#N/A</v>
      </c>
      <c r="AN13" s="131" t="e">
        <f t="shared" si="4"/>
        <v>#N/A</v>
      </c>
      <c r="AO13" t="e">
        <f t="shared" si="5"/>
        <v>#N/A</v>
      </c>
      <c r="AQ13" s="131" t="e">
        <f t="shared" si="17"/>
        <v>#N/A</v>
      </c>
      <c r="AR13" s="82" t="e">
        <f t="shared" si="18"/>
        <v>#N/A</v>
      </c>
      <c r="AS13" s="173" t="e">
        <f t="shared" si="19"/>
        <v>#N/A</v>
      </c>
      <c r="AT13" s="85" t="e">
        <f t="shared" si="20"/>
        <v>#N/A</v>
      </c>
      <c r="AU13" s="132" t="e">
        <f t="shared" si="21"/>
        <v>#N/A</v>
      </c>
      <c r="AV13" s="82" t="e">
        <f t="shared" si="22"/>
        <v>#N/A</v>
      </c>
      <c r="AW13" s="132">
        <f t="shared" si="15"/>
        <v>3.0000000000000002E-2</v>
      </c>
      <c r="AX13" s="85" t="e">
        <f t="shared" si="23"/>
        <v>#N/A</v>
      </c>
    </row>
    <row r="14" spans="1:50">
      <c r="A14" s="48" t="s">
        <v>111</v>
      </c>
      <c r="B14" s="137">
        <f>2.5*0.000001*D11</f>
        <v>2.4996149999999999</v>
      </c>
      <c r="C14" s="138">
        <f t="shared" ref="C14:C22" si="24">B14^2</f>
        <v>6.2480751482249994</v>
      </c>
      <c r="D14" s="51">
        <v>30</v>
      </c>
      <c r="E14" s="53">
        <f t="shared" ref="E14:E22" si="25">0.5*(1/(0.01*D14)^2)</f>
        <v>5.5555555555555554</v>
      </c>
      <c r="F14" s="50">
        <f t="shared" ref="F14:F22" si="26">B14^4/E14</f>
        <v>7.0269197504160337</v>
      </c>
      <c r="G14" t="s">
        <v>112</v>
      </c>
      <c r="K14" s="139"/>
      <c r="S14" s="87"/>
      <c r="AB14" s="186"/>
      <c r="AC14" s="129" t="e">
        <v>#N/A</v>
      </c>
      <c r="AD14" s="130" t="e">
        <v>#N/A</v>
      </c>
      <c r="AE14" s="129" t="e">
        <v>#N/A</v>
      </c>
      <c r="AF14" s="130" t="e">
        <v>#N/A</v>
      </c>
      <c r="AG14" s="188" t="e">
        <f t="shared" si="6"/>
        <v>#N/A</v>
      </c>
      <c r="AH14" t="e">
        <f t="shared" si="0"/>
        <v>#N/A</v>
      </c>
      <c r="AI14" t="e">
        <f t="shared" si="7"/>
        <v>#N/A</v>
      </c>
      <c r="AJ14" s="131" t="e">
        <f t="shared" si="1"/>
        <v>#N/A</v>
      </c>
      <c r="AK14" s="131" t="e">
        <f t="shared" si="2"/>
        <v>#N/A</v>
      </c>
      <c r="AL14" t="e">
        <f t="shared" si="8"/>
        <v>#N/A</v>
      </c>
      <c r="AM14" s="131" t="e">
        <f t="shared" si="3"/>
        <v>#N/A</v>
      </c>
      <c r="AN14" s="131" t="e">
        <f t="shared" si="4"/>
        <v>#N/A</v>
      </c>
      <c r="AO14" t="e">
        <f t="shared" si="5"/>
        <v>#N/A</v>
      </c>
      <c r="AQ14" s="131" t="e">
        <f t="shared" si="17"/>
        <v>#N/A</v>
      </c>
      <c r="AR14" s="82" t="e">
        <f t="shared" si="18"/>
        <v>#N/A</v>
      </c>
      <c r="AS14" s="173" t="e">
        <f t="shared" si="19"/>
        <v>#N/A</v>
      </c>
      <c r="AT14" s="85" t="e">
        <f t="shared" si="20"/>
        <v>#N/A</v>
      </c>
      <c r="AU14" s="132" t="e">
        <f t="shared" si="21"/>
        <v>#N/A</v>
      </c>
      <c r="AV14" s="82" t="e">
        <f t="shared" si="22"/>
        <v>#N/A</v>
      </c>
      <c r="AW14" s="132">
        <f t="shared" si="15"/>
        <v>3.0000000000000002E-2</v>
      </c>
      <c r="AX14" s="85" t="e">
        <f t="shared" si="23"/>
        <v>#N/A</v>
      </c>
    </row>
    <row r="15" spans="1:50">
      <c r="A15" s="48" t="s">
        <v>113</v>
      </c>
      <c r="B15" s="140">
        <v>1</v>
      </c>
      <c r="C15" s="138">
        <f t="shared" si="24"/>
        <v>1</v>
      </c>
      <c r="D15" s="51">
        <v>30</v>
      </c>
      <c r="E15" s="53">
        <f t="shared" si="25"/>
        <v>5.5555555555555554</v>
      </c>
      <c r="F15" s="50">
        <f t="shared" si="26"/>
        <v>0.18</v>
      </c>
      <c r="G15" t="s">
        <v>114</v>
      </c>
      <c r="K15" s="139"/>
      <c r="S15" s="87"/>
      <c r="AB15" s="186"/>
      <c r="AC15" s="129" t="e">
        <v>#N/A</v>
      </c>
      <c r="AD15" s="130" t="e">
        <v>#N/A</v>
      </c>
      <c r="AE15" s="129" t="e">
        <v>#N/A</v>
      </c>
      <c r="AF15" s="130" t="e">
        <v>#N/A</v>
      </c>
      <c r="AG15" s="188" t="e">
        <f t="shared" si="6"/>
        <v>#N/A</v>
      </c>
      <c r="AH15" t="e">
        <f t="shared" si="0"/>
        <v>#N/A</v>
      </c>
      <c r="AI15" t="e">
        <f t="shared" si="7"/>
        <v>#N/A</v>
      </c>
      <c r="AJ15" s="131" t="e">
        <f t="shared" si="1"/>
        <v>#N/A</v>
      </c>
      <c r="AK15" s="131" t="e">
        <f t="shared" si="2"/>
        <v>#N/A</v>
      </c>
      <c r="AL15" t="e">
        <f t="shared" si="8"/>
        <v>#N/A</v>
      </c>
      <c r="AM15" s="131" t="e">
        <f t="shared" si="3"/>
        <v>#N/A</v>
      </c>
      <c r="AN15" s="131" t="e">
        <f t="shared" si="4"/>
        <v>#N/A</v>
      </c>
      <c r="AO15" t="e">
        <f t="shared" si="5"/>
        <v>#N/A</v>
      </c>
      <c r="AQ15" s="131" t="e">
        <f t="shared" si="17"/>
        <v>#N/A</v>
      </c>
      <c r="AR15" s="82" t="e">
        <f t="shared" si="18"/>
        <v>#N/A</v>
      </c>
      <c r="AS15" s="173" t="e">
        <f t="shared" si="19"/>
        <v>#N/A</v>
      </c>
      <c r="AT15" s="85" t="e">
        <f t="shared" si="20"/>
        <v>#N/A</v>
      </c>
      <c r="AU15" s="132" t="e">
        <f t="shared" si="21"/>
        <v>#N/A</v>
      </c>
      <c r="AV15" s="82" t="e">
        <f t="shared" si="22"/>
        <v>#N/A</v>
      </c>
      <c r="AW15" s="132">
        <f t="shared" si="15"/>
        <v>3.0000000000000002E-2</v>
      </c>
      <c r="AX15" s="85" t="e">
        <f t="shared" si="23"/>
        <v>#N/A</v>
      </c>
    </row>
    <row r="16" spans="1:50">
      <c r="A16" s="48" t="s">
        <v>115</v>
      </c>
      <c r="B16" s="137">
        <f>17*0.000001*D11</f>
        <v>16.997381999999998</v>
      </c>
      <c r="C16" s="138">
        <f t="shared" si="24"/>
        <v>288.91099485392397</v>
      </c>
      <c r="D16" s="51">
        <v>30</v>
      </c>
      <c r="E16" s="53">
        <f t="shared" si="25"/>
        <v>5.5555555555555554</v>
      </c>
      <c r="F16" s="50">
        <f t="shared" si="26"/>
        <v>15024.521330547135</v>
      </c>
      <c r="G16" t="s">
        <v>211</v>
      </c>
      <c r="K16" s="141" t="s">
        <v>212</v>
      </c>
      <c r="S16" s="87"/>
      <c r="AB16" s="186"/>
      <c r="AC16" s="129" t="e">
        <v>#N/A</v>
      </c>
      <c r="AD16" s="130" t="e">
        <v>#N/A</v>
      </c>
      <c r="AE16" s="129" t="e">
        <v>#N/A</v>
      </c>
      <c r="AF16" s="130" t="e">
        <v>#N/A</v>
      </c>
      <c r="AG16" s="188" t="e">
        <f t="shared" si="6"/>
        <v>#N/A</v>
      </c>
      <c r="AH16" t="e">
        <f t="shared" si="0"/>
        <v>#N/A</v>
      </c>
      <c r="AI16" t="e">
        <f t="shared" si="7"/>
        <v>#N/A</v>
      </c>
      <c r="AJ16" s="131" t="e">
        <f t="shared" si="1"/>
        <v>#N/A</v>
      </c>
      <c r="AK16" s="131" t="e">
        <f t="shared" si="2"/>
        <v>#N/A</v>
      </c>
      <c r="AL16" t="e">
        <f t="shared" si="8"/>
        <v>#N/A</v>
      </c>
      <c r="AM16" s="131" t="e">
        <f t="shared" si="3"/>
        <v>#N/A</v>
      </c>
      <c r="AN16" s="131" t="e">
        <f t="shared" si="4"/>
        <v>#N/A</v>
      </c>
      <c r="AO16" t="e">
        <f t="shared" si="5"/>
        <v>#N/A</v>
      </c>
      <c r="AQ16" s="131" t="e">
        <f t="shared" si="17"/>
        <v>#N/A</v>
      </c>
      <c r="AR16" s="82" t="e">
        <f t="shared" si="18"/>
        <v>#N/A</v>
      </c>
      <c r="AS16" s="173" t="e">
        <f t="shared" si="19"/>
        <v>#N/A</v>
      </c>
      <c r="AT16" s="85" t="e">
        <f t="shared" si="20"/>
        <v>#N/A</v>
      </c>
      <c r="AU16" s="132" t="e">
        <f t="shared" si="21"/>
        <v>#N/A</v>
      </c>
      <c r="AV16" s="82" t="e">
        <f t="shared" si="22"/>
        <v>#N/A</v>
      </c>
      <c r="AW16" s="132">
        <f t="shared" si="15"/>
        <v>3.0000000000000002E-2</v>
      </c>
      <c r="AX16" s="85" t="e">
        <f t="shared" si="23"/>
        <v>#N/A</v>
      </c>
    </row>
    <row r="17" spans="1:50">
      <c r="A17" s="54" t="s">
        <v>116</v>
      </c>
      <c r="B17" s="142">
        <f>2*0.000001*D11</f>
        <v>1.9996919999999998</v>
      </c>
      <c r="C17" s="138">
        <f t="shared" si="24"/>
        <v>3.9987680948639994</v>
      </c>
      <c r="D17" s="51">
        <v>50</v>
      </c>
      <c r="E17" s="53">
        <f t="shared" si="25"/>
        <v>2</v>
      </c>
      <c r="F17" s="50">
        <f t="shared" si="26"/>
        <v>7.9950731382511293</v>
      </c>
      <c r="G17" t="s">
        <v>117</v>
      </c>
      <c r="K17" s="139"/>
      <c r="S17" s="87"/>
      <c r="AB17" s="186"/>
      <c r="AC17" s="129" t="e">
        <v>#N/A</v>
      </c>
      <c r="AD17" s="130" t="e">
        <v>#N/A</v>
      </c>
      <c r="AE17" s="129" t="e">
        <v>#N/A</v>
      </c>
      <c r="AF17" s="130" t="e">
        <v>#N/A</v>
      </c>
      <c r="AG17" s="188" t="e">
        <f t="shared" si="6"/>
        <v>#N/A</v>
      </c>
      <c r="AH17" t="e">
        <f t="shared" si="0"/>
        <v>#N/A</v>
      </c>
      <c r="AI17" t="e">
        <f t="shared" si="7"/>
        <v>#N/A</v>
      </c>
      <c r="AJ17" s="131" t="e">
        <f t="shared" si="1"/>
        <v>#N/A</v>
      </c>
      <c r="AK17" s="131" t="e">
        <f t="shared" si="2"/>
        <v>#N/A</v>
      </c>
      <c r="AL17" t="e">
        <f t="shared" si="8"/>
        <v>#N/A</v>
      </c>
      <c r="AM17" s="131" t="e">
        <f t="shared" si="3"/>
        <v>#N/A</v>
      </c>
      <c r="AN17" s="131" t="e">
        <f t="shared" si="4"/>
        <v>#N/A</v>
      </c>
      <c r="AO17" t="e">
        <f t="shared" si="5"/>
        <v>#N/A</v>
      </c>
      <c r="AQ17" s="131" t="e">
        <f t="shared" si="17"/>
        <v>#N/A</v>
      </c>
      <c r="AR17" s="82" t="e">
        <f t="shared" si="18"/>
        <v>#N/A</v>
      </c>
      <c r="AS17" s="173" t="e">
        <f t="shared" si="19"/>
        <v>#N/A</v>
      </c>
      <c r="AT17" s="85" t="e">
        <f t="shared" si="20"/>
        <v>#N/A</v>
      </c>
      <c r="AU17" s="132" t="e">
        <f t="shared" si="21"/>
        <v>#N/A</v>
      </c>
      <c r="AV17" s="82" t="e">
        <f t="shared" si="22"/>
        <v>#N/A</v>
      </c>
      <c r="AW17" s="132">
        <f t="shared" si="15"/>
        <v>3.0000000000000002E-2</v>
      </c>
      <c r="AX17" s="85" t="e">
        <f t="shared" si="23"/>
        <v>#N/A</v>
      </c>
    </row>
    <row r="18" spans="1:50">
      <c r="A18" s="54" t="s">
        <v>118</v>
      </c>
      <c r="B18" s="142">
        <f>2*0.5*0.000001*D11</f>
        <v>0.9998459999999999</v>
      </c>
      <c r="C18" s="138">
        <f t="shared" si="24"/>
        <v>0.99969202371599986</v>
      </c>
      <c r="D18" s="51">
        <v>30</v>
      </c>
      <c r="E18" s="53">
        <f t="shared" si="25"/>
        <v>5.5555555555555554</v>
      </c>
      <c r="F18" s="50">
        <f t="shared" si="26"/>
        <v>0.17988914561065042</v>
      </c>
      <c r="G18" t="s">
        <v>119</v>
      </c>
      <c r="K18" s="139"/>
      <c r="S18" s="87"/>
      <c r="AB18" s="186"/>
      <c r="AC18" s="129" t="e">
        <v>#N/A</v>
      </c>
      <c r="AD18" s="130" t="e">
        <v>#N/A</v>
      </c>
      <c r="AE18" s="129" t="e">
        <v>#N/A</v>
      </c>
      <c r="AF18" s="130" t="e">
        <v>#N/A</v>
      </c>
      <c r="AG18" s="188" t="e">
        <f t="shared" si="6"/>
        <v>#N/A</v>
      </c>
      <c r="AH18" t="e">
        <f t="shared" si="0"/>
        <v>#N/A</v>
      </c>
      <c r="AI18" t="e">
        <f t="shared" si="7"/>
        <v>#N/A</v>
      </c>
      <c r="AJ18" s="131" t="e">
        <f t="shared" si="1"/>
        <v>#N/A</v>
      </c>
      <c r="AK18" s="131" t="e">
        <f t="shared" si="2"/>
        <v>#N/A</v>
      </c>
      <c r="AL18" t="e">
        <f t="shared" si="8"/>
        <v>#N/A</v>
      </c>
      <c r="AM18" s="131" t="e">
        <f t="shared" si="3"/>
        <v>#N/A</v>
      </c>
      <c r="AN18" s="131" t="e">
        <f t="shared" si="4"/>
        <v>#N/A</v>
      </c>
      <c r="AO18" t="e">
        <f t="shared" si="5"/>
        <v>#N/A</v>
      </c>
      <c r="AQ18" s="131" t="e">
        <f t="shared" si="17"/>
        <v>#N/A</v>
      </c>
      <c r="AR18" s="82" t="e">
        <f t="shared" si="18"/>
        <v>#N/A</v>
      </c>
      <c r="AS18" s="173" t="e">
        <f t="shared" si="19"/>
        <v>#N/A</v>
      </c>
      <c r="AT18" s="85" t="e">
        <f t="shared" si="20"/>
        <v>#N/A</v>
      </c>
      <c r="AU18" s="132" t="e">
        <f t="shared" si="21"/>
        <v>#N/A</v>
      </c>
      <c r="AV18" s="82" t="e">
        <f t="shared" si="22"/>
        <v>#N/A</v>
      </c>
      <c r="AW18" s="132">
        <f t="shared" si="15"/>
        <v>3.0000000000000002E-2</v>
      </c>
      <c r="AX18" s="85" t="e">
        <f t="shared" si="23"/>
        <v>#N/A</v>
      </c>
    </row>
    <row r="19" spans="1:50">
      <c r="A19" s="54" t="s">
        <v>120</v>
      </c>
      <c r="B19" s="142">
        <f>5*0.000001*D11</f>
        <v>4.9992299999999998</v>
      </c>
      <c r="C19" s="138">
        <f t="shared" si="24"/>
        <v>24.992300592899998</v>
      </c>
      <c r="D19" s="51">
        <v>50</v>
      </c>
      <c r="E19" s="53">
        <f t="shared" si="25"/>
        <v>2</v>
      </c>
      <c r="F19" s="50">
        <f t="shared" si="26"/>
        <v>312.3075444629348</v>
      </c>
      <c r="G19" t="s">
        <v>213</v>
      </c>
      <c r="K19" s="141" t="s">
        <v>142</v>
      </c>
      <c r="S19" s="87"/>
      <c r="AB19" s="87"/>
      <c r="AC19" s="129" t="e">
        <v>#N/A</v>
      </c>
      <c r="AD19" s="130" t="e">
        <v>#N/A</v>
      </c>
      <c r="AE19" s="129" t="e">
        <v>#N/A</v>
      </c>
      <c r="AF19" s="130" t="e">
        <v>#N/A</v>
      </c>
      <c r="AG19" s="188" t="e">
        <f t="shared" si="6"/>
        <v>#N/A</v>
      </c>
      <c r="AH19" t="e">
        <f t="shared" si="0"/>
        <v>#N/A</v>
      </c>
      <c r="AI19" t="e">
        <f t="shared" si="7"/>
        <v>#N/A</v>
      </c>
      <c r="AJ19" s="131" t="e">
        <f t="shared" si="1"/>
        <v>#N/A</v>
      </c>
      <c r="AK19" s="131" t="e">
        <f t="shared" si="2"/>
        <v>#N/A</v>
      </c>
      <c r="AL19" t="e">
        <f t="shared" si="8"/>
        <v>#N/A</v>
      </c>
      <c r="AM19" s="131" t="e">
        <f t="shared" si="3"/>
        <v>#N/A</v>
      </c>
      <c r="AN19" s="131" t="e">
        <f t="shared" si="4"/>
        <v>#N/A</v>
      </c>
      <c r="AO19" t="e">
        <f t="shared" si="5"/>
        <v>#N/A</v>
      </c>
      <c r="AQ19" s="131" t="e">
        <f t="shared" si="17"/>
        <v>#N/A</v>
      </c>
      <c r="AR19" s="82" t="e">
        <f t="shared" si="18"/>
        <v>#N/A</v>
      </c>
      <c r="AS19" s="173" t="e">
        <f t="shared" si="19"/>
        <v>#N/A</v>
      </c>
      <c r="AT19" s="85" t="e">
        <f t="shared" si="20"/>
        <v>#N/A</v>
      </c>
      <c r="AU19" s="132" t="e">
        <f t="shared" si="21"/>
        <v>#N/A</v>
      </c>
      <c r="AV19" s="82" t="e">
        <f t="shared" si="22"/>
        <v>#N/A</v>
      </c>
      <c r="AW19" s="132">
        <f t="shared" si="15"/>
        <v>3.0000000000000002E-2</v>
      </c>
      <c r="AX19" s="85" t="e">
        <f t="shared" si="23"/>
        <v>#N/A</v>
      </c>
    </row>
    <row r="20" spans="1:50">
      <c r="A20" s="54" t="s">
        <v>245</v>
      </c>
      <c r="B20" s="142">
        <f>16*D34/10000000</f>
        <v>2.7456E-3</v>
      </c>
      <c r="C20" s="138">
        <f t="shared" si="24"/>
        <v>7.5383193599999994E-6</v>
      </c>
      <c r="D20" s="51" t="s">
        <v>126</v>
      </c>
      <c r="E20" s="52">
        <v>13</v>
      </c>
      <c r="F20" s="50">
        <f t="shared" si="26"/>
        <v>4.3712506748731384E-12</v>
      </c>
      <c r="G20" t="s">
        <v>214</v>
      </c>
      <c r="K20" s="141" t="s">
        <v>215</v>
      </c>
      <c r="S20" s="87"/>
      <c r="AB20" s="87"/>
      <c r="AC20" s="129" t="e">
        <v>#N/A</v>
      </c>
      <c r="AD20" s="130" t="e">
        <v>#N/A</v>
      </c>
      <c r="AE20" s="129" t="e">
        <v>#N/A</v>
      </c>
      <c r="AF20" s="130" t="e">
        <v>#N/A</v>
      </c>
      <c r="AG20" s="188" t="e">
        <f t="shared" si="6"/>
        <v>#N/A</v>
      </c>
      <c r="AH20" t="e">
        <f t="shared" si="0"/>
        <v>#N/A</v>
      </c>
      <c r="AI20" t="e">
        <f t="shared" si="7"/>
        <v>#N/A</v>
      </c>
      <c r="AJ20" s="131" t="e">
        <f t="shared" si="1"/>
        <v>#N/A</v>
      </c>
      <c r="AK20" s="131" t="e">
        <f t="shared" si="2"/>
        <v>#N/A</v>
      </c>
      <c r="AL20" t="e">
        <f t="shared" si="8"/>
        <v>#N/A</v>
      </c>
      <c r="AM20" s="131" t="e">
        <f t="shared" si="3"/>
        <v>#N/A</v>
      </c>
      <c r="AN20" s="131" t="e">
        <f t="shared" si="4"/>
        <v>#N/A</v>
      </c>
      <c r="AO20" t="e">
        <f t="shared" si="5"/>
        <v>#N/A</v>
      </c>
      <c r="AQ20" s="131" t="e">
        <f t="shared" si="17"/>
        <v>#N/A</v>
      </c>
      <c r="AR20" s="82" t="e">
        <f t="shared" si="18"/>
        <v>#N/A</v>
      </c>
      <c r="AS20" s="173" t="e">
        <f t="shared" si="19"/>
        <v>#N/A</v>
      </c>
      <c r="AT20" s="85" t="e">
        <f t="shared" si="20"/>
        <v>#N/A</v>
      </c>
      <c r="AU20" s="132" t="e">
        <f t="shared" si="21"/>
        <v>#N/A</v>
      </c>
      <c r="AV20" s="82" t="e">
        <f t="shared" si="22"/>
        <v>#N/A</v>
      </c>
      <c r="AW20" s="132">
        <f t="shared" si="15"/>
        <v>3.0000000000000002E-2</v>
      </c>
      <c r="AX20" s="85" t="e">
        <f t="shared" si="23"/>
        <v>#N/A</v>
      </c>
    </row>
    <row r="21" spans="1:50">
      <c r="A21" s="54" t="s">
        <v>121</v>
      </c>
      <c r="B21" s="143">
        <f>2000/(VLOOKUP(label,Results,9,FALSE))</f>
        <v>1.2566760917373547</v>
      </c>
      <c r="C21" s="138">
        <f t="shared" si="24"/>
        <v>1.5792347995442724</v>
      </c>
      <c r="D21" s="55">
        <v>50</v>
      </c>
      <c r="E21" s="53">
        <f t="shared" si="25"/>
        <v>2</v>
      </c>
      <c r="F21" s="50">
        <f t="shared" si="26"/>
        <v>1.2469912760458191</v>
      </c>
      <c r="G21" t="s">
        <v>122</v>
      </c>
      <c r="K21" s="144" t="s">
        <v>216</v>
      </c>
      <c r="S21" s="87"/>
      <c r="AB21" s="87"/>
      <c r="AC21" s="129" t="e">
        <v>#N/A</v>
      </c>
      <c r="AD21" s="130" t="e">
        <v>#N/A</v>
      </c>
      <c r="AE21" s="129" t="e">
        <v>#N/A</v>
      </c>
      <c r="AF21" s="130" t="e">
        <v>#N/A</v>
      </c>
      <c r="AG21" s="188" t="e">
        <f t="shared" si="6"/>
        <v>#N/A</v>
      </c>
      <c r="AH21" t="e">
        <f t="shared" si="0"/>
        <v>#N/A</v>
      </c>
      <c r="AI21" t="e">
        <f t="shared" si="7"/>
        <v>#N/A</v>
      </c>
      <c r="AJ21" s="131" t="e">
        <f t="shared" si="1"/>
        <v>#N/A</v>
      </c>
      <c r="AK21" s="131" t="e">
        <f t="shared" si="2"/>
        <v>#N/A</v>
      </c>
      <c r="AL21" t="e">
        <f t="shared" si="8"/>
        <v>#N/A</v>
      </c>
      <c r="AM21" s="131" t="e">
        <f t="shared" si="3"/>
        <v>#N/A</v>
      </c>
      <c r="AN21" s="131" t="e">
        <f t="shared" si="4"/>
        <v>#N/A</v>
      </c>
      <c r="AO21" t="e">
        <f t="shared" si="5"/>
        <v>#N/A</v>
      </c>
      <c r="AQ21" s="131" t="e">
        <f t="shared" si="17"/>
        <v>#N/A</v>
      </c>
      <c r="AR21" s="82" t="e">
        <f t="shared" si="18"/>
        <v>#N/A</v>
      </c>
      <c r="AS21" s="173" t="e">
        <f t="shared" si="19"/>
        <v>#N/A</v>
      </c>
      <c r="AT21" s="85" t="e">
        <f t="shared" si="20"/>
        <v>#N/A</v>
      </c>
      <c r="AU21" s="132" t="e">
        <f t="shared" si="21"/>
        <v>#N/A</v>
      </c>
      <c r="AV21" s="82" t="e">
        <f t="shared" si="22"/>
        <v>#N/A</v>
      </c>
      <c r="AW21" s="132">
        <f t="shared" si="15"/>
        <v>3.0000000000000002E-2</v>
      </c>
      <c r="AX21" s="85" t="e">
        <f t="shared" si="23"/>
        <v>#N/A</v>
      </c>
    </row>
    <row r="22" spans="1:50">
      <c r="A22" s="54"/>
      <c r="B22" s="53">
        <v>0</v>
      </c>
      <c r="C22" s="138">
        <f t="shared" si="24"/>
        <v>0</v>
      </c>
      <c r="D22" s="51">
        <v>1</v>
      </c>
      <c r="E22" s="52">
        <f t="shared" si="25"/>
        <v>5000</v>
      </c>
      <c r="F22" s="50">
        <f t="shared" si="26"/>
        <v>0</v>
      </c>
      <c r="S22" s="87"/>
      <c r="AB22" s="87"/>
      <c r="AC22" s="129" t="e">
        <v>#N/A</v>
      </c>
      <c r="AD22" s="130" t="e">
        <v>#N/A</v>
      </c>
      <c r="AE22" s="129" t="e">
        <v>#N/A</v>
      </c>
      <c r="AF22" s="130" t="e">
        <v>#N/A</v>
      </c>
      <c r="AG22" s="188" t="e">
        <f t="shared" si="6"/>
        <v>#N/A</v>
      </c>
      <c r="AH22" t="e">
        <f t="shared" si="0"/>
        <v>#N/A</v>
      </c>
      <c r="AI22" t="e">
        <f t="shared" si="7"/>
        <v>#N/A</v>
      </c>
      <c r="AJ22" s="131" t="e">
        <f t="shared" si="1"/>
        <v>#N/A</v>
      </c>
      <c r="AK22" s="131" t="e">
        <f t="shared" si="2"/>
        <v>#N/A</v>
      </c>
      <c r="AL22" t="e">
        <f t="shared" si="8"/>
        <v>#N/A</v>
      </c>
      <c r="AM22" s="131" t="e">
        <f t="shared" si="3"/>
        <v>#N/A</v>
      </c>
      <c r="AN22" s="131" t="e">
        <f t="shared" si="4"/>
        <v>#N/A</v>
      </c>
      <c r="AO22" t="e">
        <f t="shared" si="5"/>
        <v>#N/A</v>
      </c>
      <c r="AQ22" s="131" t="e">
        <f t="shared" si="17"/>
        <v>#N/A</v>
      </c>
      <c r="AR22" s="82" t="e">
        <f t="shared" si="18"/>
        <v>#N/A</v>
      </c>
      <c r="AS22" s="173" t="e">
        <f t="shared" si="19"/>
        <v>#N/A</v>
      </c>
      <c r="AT22" s="85" t="e">
        <f t="shared" si="20"/>
        <v>#N/A</v>
      </c>
      <c r="AU22" s="132" t="e">
        <f t="shared" si="21"/>
        <v>#N/A</v>
      </c>
      <c r="AV22" s="82" t="e">
        <f t="shared" si="22"/>
        <v>#N/A</v>
      </c>
      <c r="AW22" s="132">
        <f t="shared" si="15"/>
        <v>3.0000000000000002E-2</v>
      </c>
      <c r="AX22" s="85" t="e">
        <f t="shared" si="23"/>
        <v>#N/A</v>
      </c>
    </row>
    <row r="23" spans="1:50" ht="13.5" thickBot="1">
      <c r="B23" s="56" t="s">
        <v>29</v>
      </c>
      <c r="C23" s="138">
        <f>SUM(C14:C22)</f>
        <v>327.72907305149261</v>
      </c>
      <c r="E23" s="26" t="s">
        <v>30</v>
      </c>
      <c r="F23" s="138">
        <f>SUM(F14:F22)</f>
        <v>15353.457748320396</v>
      </c>
      <c r="S23" s="87"/>
      <c r="AB23" s="87"/>
      <c r="AC23" s="129" t="e">
        <v>#N/A</v>
      </c>
      <c r="AD23" s="130" t="e">
        <v>#N/A</v>
      </c>
      <c r="AE23" s="129" t="e">
        <v>#N/A</v>
      </c>
      <c r="AF23" s="130" t="e">
        <v>#N/A</v>
      </c>
      <c r="AG23" s="188" t="e">
        <f t="shared" si="6"/>
        <v>#N/A</v>
      </c>
      <c r="AH23" t="e">
        <f t="shared" si="0"/>
        <v>#N/A</v>
      </c>
      <c r="AI23" t="e">
        <f t="shared" si="7"/>
        <v>#N/A</v>
      </c>
      <c r="AJ23" s="131" t="e">
        <f t="shared" si="1"/>
        <v>#N/A</v>
      </c>
      <c r="AK23" s="131" t="e">
        <f t="shared" si="2"/>
        <v>#N/A</v>
      </c>
      <c r="AL23" t="e">
        <f t="shared" si="8"/>
        <v>#N/A</v>
      </c>
      <c r="AM23" s="131" t="e">
        <f t="shared" si="3"/>
        <v>#N/A</v>
      </c>
      <c r="AN23" s="131" t="e">
        <f t="shared" si="4"/>
        <v>#N/A</v>
      </c>
      <c r="AO23" t="e">
        <f t="shared" si="5"/>
        <v>#N/A</v>
      </c>
      <c r="AQ23" s="131" t="e">
        <f t="shared" si="17"/>
        <v>#N/A</v>
      </c>
      <c r="AR23" s="82" t="e">
        <f t="shared" si="18"/>
        <v>#N/A</v>
      </c>
      <c r="AS23" s="173" t="e">
        <f t="shared" si="19"/>
        <v>#N/A</v>
      </c>
      <c r="AT23" s="85" t="e">
        <f t="shared" si="20"/>
        <v>#N/A</v>
      </c>
      <c r="AU23" s="132" t="e">
        <f t="shared" si="21"/>
        <v>#N/A</v>
      </c>
      <c r="AV23" s="82" t="e">
        <f t="shared" si="22"/>
        <v>#N/A</v>
      </c>
      <c r="AW23" s="132">
        <f t="shared" si="15"/>
        <v>3.0000000000000002E-2</v>
      </c>
      <c r="AX23" s="85" t="e">
        <f t="shared" si="23"/>
        <v>#N/A</v>
      </c>
    </row>
    <row r="24" spans="1:50">
      <c r="B24" s="56" t="s">
        <v>217</v>
      </c>
      <c r="C24" s="145">
        <f>SQRT(C23)</f>
        <v>18.103289011985989</v>
      </c>
      <c r="E24" s="57" t="s">
        <v>31</v>
      </c>
      <c r="F24" s="146">
        <f>L_standard_uncertainty^4/F23</f>
        <v>6.9955802193769951</v>
      </c>
      <c r="S24" s="87"/>
      <c r="AB24" s="87"/>
      <c r="AC24" s="129" t="e">
        <v>#N/A</v>
      </c>
      <c r="AD24" s="130" t="e">
        <v>#N/A</v>
      </c>
      <c r="AE24" s="129" t="e">
        <v>#N/A</v>
      </c>
      <c r="AF24" s="130" t="e">
        <v>#N/A</v>
      </c>
      <c r="AG24" s="188" t="e">
        <f t="shared" si="6"/>
        <v>#N/A</v>
      </c>
      <c r="AH24" t="e">
        <f t="shared" si="0"/>
        <v>#N/A</v>
      </c>
      <c r="AI24" t="e">
        <f t="shared" si="7"/>
        <v>#N/A</v>
      </c>
      <c r="AJ24" s="131" t="e">
        <f t="shared" si="1"/>
        <v>#N/A</v>
      </c>
      <c r="AK24" s="131" t="e">
        <f t="shared" si="2"/>
        <v>#N/A</v>
      </c>
      <c r="AL24" t="e">
        <f t="shared" si="8"/>
        <v>#N/A</v>
      </c>
      <c r="AM24" s="131" t="e">
        <f t="shared" si="3"/>
        <v>#N/A</v>
      </c>
      <c r="AN24" s="131" t="e">
        <f t="shared" si="4"/>
        <v>#N/A</v>
      </c>
      <c r="AO24" t="e">
        <f t="shared" si="5"/>
        <v>#N/A</v>
      </c>
      <c r="AQ24" s="131" t="e">
        <f t="shared" si="17"/>
        <v>#N/A</v>
      </c>
      <c r="AR24" s="82" t="e">
        <f t="shared" si="18"/>
        <v>#N/A</v>
      </c>
      <c r="AS24" s="173" t="e">
        <f t="shared" si="19"/>
        <v>#N/A</v>
      </c>
      <c r="AT24" s="85" t="e">
        <f t="shared" si="20"/>
        <v>#N/A</v>
      </c>
      <c r="AU24" s="132" t="e">
        <f t="shared" si="21"/>
        <v>#N/A</v>
      </c>
      <c r="AV24" s="82" t="e">
        <f t="shared" si="22"/>
        <v>#N/A</v>
      </c>
      <c r="AW24" s="132">
        <f t="shared" si="15"/>
        <v>3.0000000000000002E-2</v>
      </c>
      <c r="AX24" s="85" t="e">
        <f t="shared" si="23"/>
        <v>#N/A</v>
      </c>
    </row>
    <row r="25" spans="1:50">
      <c r="B25" s="33"/>
      <c r="E25" s="58" t="s">
        <v>17</v>
      </c>
      <c r="F25" s="147">
        <f>$G$3+$G$4/F24+$G$5/F24^2+$G$6/F24^3</f>
        <v>2.3458258325913928</v>
      </c>
      <c r="S25" s="87"/>
      <c r="AB25" s="87"/>
      <c r="AC25" s="129" t="e">
        <v>#N/A</v>
      </c>
      <c r="AD25" s="130" t="e">
        <v>#N/A</v>
      </c>
      <c r="AE25" s="129" t="e">
        <v>#N/A</v>
      </c>
      <c r="AF25" s="130" t="e">
        <v>#N/A</v>
      </c>
      <c r="AG25" s="188" t="e">
        <f t="shared" si="6"/>
        <v>#N/A</v>
      </c>
      <c r="AH25" t="e">
        <f t="shared" si="0"/>
        <v>#N/A</v>
      </c>
      <c r="AI25" t="e">
        <f t="shared" si="7"/>
        <v>#N/A</v>
      </c>
      <c r="AJ25" s="131" t="e">
        <f t="shared" si="1"/>
        <v>#N/A</v>
      </c>
      <c r="AK25" s="131" t="e">
        <f t="shared" si="2"/>
        <v>#N/A</v>
      </c>
      <c r="AL25" t="e">
        <f t="shared" si="8"/>
        <v>#N/A</v>
      </c>
      <c r="AM25" s="131" t="e">
        <f t="shared" si="3"/>
        <v>#N/A</v>
      </c>
      <c r="AN25" s="131" t="e">
        <f t="shared" si="4"/>
        <v>#N/A</v>
      </c>
      <c r="AO25" t="e">
        <f t="shared" si="5"/>
        <v>#N/A</v>
      </c>
      <c r="AQ25" s="131" t="e">
        <f t="shared" si="17"/>
        <v>#N/A</v>
      </c>
      <c r="AR25" s="82" t="e">
        <f t="shared" si="18"/>
        <v>#N/A</v>
      </c>
      <c r="AS25" s="173" t="e">
        <f t="shared" si="19"/>
        <v>#N/A</v>
      </c>
      <c r="AT25" s="85" t="e">
        <f t="shared" si="20"/>
        <v>#N/A</v>
      </c>
      <c r="AU25" s="132" t="e">
        <f t="shared" si="21"/>
        <v>#N/A</v>
      </c>
      <c r="AV25" s="82" t="e">
        <f t="shared" si="22"/>
        <v>#N/A</v>
      </c>
      <c r="AW25" s="132">
        <f t="shared" si="15"/>
        <v>3.0000000000000002E-2</v>
      </c>
      <c r="AX25" s="85" t="e">
        <f t="shared" si="23"/>
        <v>#N/A</v>
      </c>
    </row>
    <row r="26" spans="1:50" ht="13.5" thickBot="1">
      <c r="A26" s="26" t="s">
        <v>32</v>
      </c>
      <c r="B26" s="33"/>
      <c r="E26" s="59" t="s">
        <v>123</v>
      </c>
      <c r="F26" s="148">
        <f>F25*L_standard_uncertainty</f>
        <v>42.467163019184646</v>
      </c>
      <c r="S26" s="87"/>
      <c r="AB26" s="87"/>
      <c r="AC26" s="129" t="e">
        <v>#N/A</v>
      </c>
      <c r="AD26" s="130" t="e">
        <v>#N/A</v>
      </c>
      <c r="AE26" s="129" t="e">
        <v>#N/A</v>
      </c>
      <c r="AF26" s="130" t="e">
        <v>#N/A</v>
      </c>
      <c r="AG26" s="188" t="e">
        <f t="shared" si="6"/>
        <v>#N/A</v>
      </c>
      <c r="AH26" t="e">
        <f t="shared" si="0"/>
        <v>#N/A</v>
      </c>
      <c r="AI26" t="e">
        <f t="shared" si="7"/>
        <v>#N/A</v>
      </c>
      <c r="AJ26" s="131" t="e">
        <f t="shared" si="1"/>
        <v>#N/A</v>
      </c>
      <c r="AK26" s="131" t="e">
        <f t="shared" si="2"/>
        <v>#N/A</v>
      </c>
      <c r="AL26" t="e">
        <f t="shared" si="8"/>
        <v>#N/A</v>
      </c>
      <c r="AM26" s="131" t="e">
        <f t="shared" si="3"/>
        <v>#N/A</v>
      </c>
      <c r="AN26" s="131" t="e">
        <f t="shared" si="4"/>
        <v>#N/A</v>
      </c>
      <c r="AO26" t="e">
        <f t="shared" si="5"/>
        <v>#N/A</v>
      </c>
      <c r="AQ26" s="131" t="e">
        <f t="shared" si="17"/>
        <v>#N/A</v>
      </c>
      <c r="AR26" s="82" t="e">
        <f t="shared" si="18"/>
        <v>#N/A</v>
      </c>
      <c r="AS26" s="173" t="e">
        <f t="shared" si="19"/>
        <v>#N/A</v>
      </c>
      <c r="AT26" s="85" t="e">
        <f t="shared" si="20"/>
        <v>#N/A</v>
      </c>
      <c r="AU26" s="132" t="e">
        <f t="shared" si="21"/>
        <v>#N/A</v>
      </c>
      <c r="AV26" s="82" t="e">
        <f t="shared" si="22"/>
        <v>#N/A</v>
      </c>
      <c r="AW26" s="132">
        <f t="shared" si="15"/>
        <v>3.0000000000000002E-2</v>
      </c>
      <c r="AX26" s="85" t="e">
        <f t="shared" si="23"/>
        <v>#N/A</v>
      </c>
    </row>
    <row r="27" spans="1:50">
      <c r="A27" s="28" t="s">
        <v>218</v>
      </c>
      <c r="B27" s="33"/>
      <c r="S27" s="87"/>
      <c r="AB27" s="87"/>
      <c r="AC27" s="129" t="e">
        <v>#N/A</v>
      </c>
      <c r="AD27" s="130" t="e">
        <v>#N/A</v>
      </c>
      <c r="AE27" s="129" t="e">
        <v>#N/A</v>
      </c>
      <c r="AF27" s="130" t="e">
        <v>#N/A</v>
      </c>
      <c r="AG27" s="188" t="e">
        <f t="shared" si="6"/>
        <v>#N/A</v>
      </c>
      <c r="AH27" t="e">
        <f t="shared" si="0"/>
        <v>#N/A</v>
      </c>
      <c r="AI27" t="e">
        <f t="shared" si="7"/>
        <v>#N/A</v>
      </c>
      <c r="AJ27" s="131" t="e">
        <f t="shared" si="1"/>
        <v>#N/A</v>
      </c>
      <c r="AK27" s="131" t="e">
        <f t="shared" si="2"/>
        <v>#N/A</v>
      </c>
      <c r="AL27" t="e">
        <f t="shared" si="8"/>
        <v>#N/A</v>
      </c>
      <c r="AM27" s="131" t="e">
        <f t="shared" si="3"/>
        <v>#N/A</v>
      </c>
      <c r="AN27" s="131" t="e">
        <f t="shared" si="4"/>
        <v>#N/A</v>
      </c>
      <c r="AO27" t="e">
        <f t="shared" si="5"/>
        <v>#N/A</v>
      </c>
      <c r="AQ27" s="131" t="e">
        <f t="shared" si="17"/>
        <v>#N/A</v>
      </c>
      <c r="AR27" s="82" t="e">
        <f t="shared" si="18"/>
        <v>#N/A</v>
      </c>
      <c r="AS27" s="173" t="e">
        <f t="shared" si="19"/>
        <v>#N/A</v>
      </c>
      <c r="AT27" s="85" t="e">
        <f t="shared" si="20"/>
        <v>#N/A</v>
      </c>
      <c r="AU27" s="132" t="e">
        <f t="shared" si="21"/>
        <v>#N/A</v>
      </c>
      <c r="AV27" s="82" t="e">
        <f t="shared" si="22"/>
        <v>#N/A</v>
      </c>
      <c r="AW27" s="132">
        <f t="shared" si="15"/>
        <v>3.0000000000000002E-2</v>
      </c>
      <c r="AX27" s="85" t="e">
        <f t="shared" si="23"/>
        <v>#N/A</v>
      </c>
    </row>
    <row r="28" spans="1:50">
      <c r="A28" t="s">
        <v>124</v>
      </c>
      <c r="B28" s="33"/>
      <c r="E28" s="28"/>
      <c r="F28" s="60"/>
      <c r="S28" s="87"/>
      <c r="AB28" s="87"/>
      <c r="AC28" s="129" t="e">
        <v>#N/A</v>
      </c>
      <c r="AD28" s="130" t="e">
        <v>#N/A</v>
      </c>
      <c r="AE28" s="129" t="e">
        <v>#N/A</v>
      </c>
      <c r="AF28" s="130" t="e">
        <v>#N/A</v>
      </c>
      <c r="AG28" s="188" t="e">
        <f t="shared" si="6"/>
        <v>#N/A</v>
      </c>
      <c r="AH28" t="e">
        <f t="shared" si="0"/>
        <v>#N/A</v>
      </c>
      <c r="AI28" t="e">
        <f t="shared" si="7"/>
        <v>#N/A</v>
      </c>
      <c r="AJ28" s="131" t="e">
        <f t="shared" si="1"/>
        <v>#N/A</v>
      </c>
      <c r="AK28" s="131" t="e">
        <f t="shared" si="2"/>
        <v>#N/A</v>
      </c>
      <c r="AL28" t="e">
        <f t="shared" si="8"/>
        <v>#N/A</v>
      </c>
      <c r="AM28" s="131" t="e">
        <f t="shared" si="3"/>
        <v>#N/A</v>
      </c>
      <c r="AN28" s="131" t="e">
        <f t="shared" si="4"/>
        <v>#N/A</v>
      </c>
      <c r="AO28" t="e">
        <f t="shared" si="5"/>
        <v>#N/A</v>
      </c>
      <c r="AQ28" s="131" t="e">
        <f t="shared" si="17"/>
        <v>#N/A</v>
      </c>
      <c r="AR28" s="82" t="e">
        <f t="shared" si="18"/>
        <v>#N/A</v>
      </c>
      <c r="AS28" s="173" t="e">
        <f t="shared" si="19"/>
        <v>#N/A</v>
      </c>
      <c r="AT28" s="85" t="e">
        <f t="shared" si="20"/>
        <v>#N/A</v>
      </c>
      <c r="AU28" s="132" t="e">
        <f t="shared" si="21"/>
        <v>#N/A</v>
      </c>
      <c r="AV28" s="82" t="e">
        <f t="shared" si="22"/>
        <v>#N/A</v>
      </c>
      <c r="AW28" s="132">
        <f t="shared" si="15"/>
        <v>3.0000000000000002E-2</v>
      </c>
      <c r="AX28" s="85" t="e">
        <f t="shared" si="23"/>
        <v>#N/A</v>
      </c>
    </row>
    <row r="29" spans="1:50">
      <c r="A29" t="s">
        <v>125</v>
      </c>
      <c r="B29" s="33"/>
      <c r="S29" s="87"/>
      <c r="AB29" s="87"/>
      <c r="AC29" s="129" t="e">
        <v>#N/A</v>
      </c>
      <c r="AD29" s="130" t="e">
        <v>#N/A</v>
      </c>
      <c r="AE29" s="129" t="e">
        <v>#N/A</v>
      </c>
      <c r="AF29" s="130" t="e">
        <v>#N/A</v>
      </c>
      <c r="AG29" s="188" t="e">
        <f t="shared" si="6"/>
        <v>#N/A</v>
      </c>
      <c r="AH29" t="e">
        <f t="shared" si="0"/>
        <v>#N/A</v>
      </c>
      <c r="AI29" t="e">
        <f t="shared" si="7"/>
        <v>#N/A</v>
      </c>
      <c r="AJ29" s="131" t="e">
        <f t="shared" si="1"/>
        <v>#N/A</v>
      </c>
      <c r="AK29" s="131" t="e">
        <f t="shared" si="2"/>
        <v>#N/A</v>
      </c>
      <c r="AL29" t="e">
        <f t="shared" si="8"/>
        <v>#N/A</v>
      </c>
      <c r="AM29" s="131" t="e">
        <f t="shared" si="3"/>
        <v>#N/A</v>
      </c>
      <c r="AN29" s="131" t="e">
        <f t="shared" si="4"/>
        <v>#N/A</v>
      </c>
      <c r="AO29" t="e">
        <f t="shared" si="5"/>
        <v>#N/A</v>
      </c>
      <c r="AQ29" s="131" t="e">
        <f t="shared" si="17"/>
        <v>#N/A</v>
      </c>
      <c r="AR29" s="82" t="e">
        <f t="shared" si="18"/>
        <v>#N/A</v>
      </c>
      <c r="AS29" s="173" t="e">
        <f t="shared" si="19"/>
        <v>#N/A</v>
      </c>
      <c r="AT29" s="85" t="e">
        <f t="shared" si="20"/>
        <v>#N/A</v>
      </c>
      <c r="AU29" s="132" t="e">
        <f t="shared" si="21"/>
        <v>#N/A</v>
      </c>
      <c r="AV29" s="82" t="e">
        <f t="shared" si="22"/>
        <v>#N/A</v>
      </c>
      <c r="AW29" s="132">
        <f t="shared" si="15"/>
        <v>3.0000000000000002E-2</v>
      </c>
      <c r="AX29" s="85" t="e">
        <f t="shared" si="23"/>
        <v>#N/A</v>
      </c>
    </row>
    <row r="30" spans="1:50">
      <c r="A30" t="s">
        <v>219</v>
      </c>
      <c r="S30" s="87"/>
      <c r="AB30" s="87"/>
      <c r="AC30" s="129" t="e">
        <v>#N/A</v>
      </c>
      <c r="AD30" s="130" t="e">
        <v>#N/A</v>
      </c>
      <c r="AE30" s="129" t="e">
        <v>#N/A</v>
      </c>
      <c r="AF30" s="130" t="e">
        <v>#N/A</v>
      </c>
      <c r="AG30" s="188" t="e">
        <f t="shared" si="6"/>
        <v>#N/A</v>
      </c>
      <c r="AH30" t="e">
        <f t="shared" si="0"/>
        <v>#N/A</v>
      </c>
      <c r="AI30" t="e">
        <f t="shared" si="7"/>
        <v>#N/A</v>
      </c>
      <c r="AJ30" s="131" t="e">
        <f t="shared" si="1"/>
        <v>#N/A</v>
      </c>
      <c r="AK30" s="131" t="e">
        <f t="shared" si="2"/>
        <v>#N/A</v>
      </c>
      <c r="AL30" t="e">
        <f t="shared" si="8"/>
        <v>#N/A</v>
      </c>
      <c r="AM30" s="131" t="e">
        <f t="shared" si="3"/>
        <v>#N/A</v>
      </c>
      <c r="AN30" s="131" t="e">
        <f t="shared" si="4"/>
        <v>#N/A</v>
      </c>
      <c r="AO30" t="e">
        <f t="shared" si="5"/>
        <v>#N/A</v>
      </c>
      <c r="AQ30" s="131" t="e">
        <f t="shared" si="17"/>
        <v>#N/A</v>
      </c>
      <c r="AR30" s="82" t="e">
        <f t="shared" si="18"/>
        <v>#N/A</v>
      </c>
      <c r="AS30" s="173" t="e">
        <f t="shared" si="19"/>
        <v>#N/A</v>
      </c>
      <c r="AT30" s="85" t="e">
        <f t="shared" si="20"/>
        <v>#N/A</v>
      </c>
      <c r="AU30" s="132" t="e">
        <f t="shared" si="21"/>
        <v>#N/A</v>
      </c>
      <c r="AV30" s="82" t="e">
        <f t="shared" si="22"/>
        <v>#N/A</v>
      </c>
      <c r="AW30" s="132">
        <f t="shared" si="15"/>
        <v>3.0000000000000002E-2</v>
      </c>
      <c r="AX30" s="85" t="e">
        <f t="shared" si="23"/>
        <v>#N/A</v>
      </c>
    </row>
    <row r="31" spans="1:50">
      <c r="S31" s="87"/>
      <c r="AB31" s="87"/>
      <c r="AC31" s="129" t="e">
        <v>#N/A</v>
      </c>
      <c r="AD31" s="130" t="e">
        <v>#N/A</v>
      </c>
      <c r="AE31" s="129" t="e">
        <v>#N/A</v>
      </c>
      <c r="AF31" s="130" t="e">
        <v>#N/A</v>
      </c>
      <c r="AG31" s="188" t="e">
        <f t="shared" si="6"/>
        <v>#N/A</v>
      </c>
      <c r="AH31" t="e">
        <f t="shared" si="0"/>
        <v>#N/A</v>
      </c>
      <c r="AI31" t="e">
        <f t="shared" si="7"/>
        <v>#N/A</v>
      </c>
      <c r="AJ31" s="131" t="e">
        <f t="shared" si="1"/>
        <v>#N/A</v>
      </c>
      <c r="AK31" s="131" t="e">
        <f t="shared" si="2"/>
        <v>#N/A</v>
      </c>
      <c r="AL31" t="e">
        <f t="shared" si="8"/>
        <v>#N/A</v>
      </c>
      <c r="AM31" s="131" t="e">
        <f t="shared" si="3"/>
        <v>#N/A</v>
      </c>
      <c r="AN31" s="131" t="e">
        <f t="shared" si="4"/>
        <v>#N/A</v>
      </c>
      <c r="AO31" t="e">
        <f t="shared" si="5"/>
        <v>#N/A</v>
      </c>
      <c r="AQ31" s="131" t="e">
        <f t="shared" si="17"/>
        <v>#N/A</v>
      </c>
      <c r="AR31" s="82" t="e">
        <f t="shared" si="18"/>
        <v>#N/A</v>
      </c>
      <c r="AS31" s="173" t="e">
        <f t="shared" si="19"/>
        <v>#N/A</v>
      </c>
      <c r="AT31" s="85" t="e">
        <f t="shared" si="20"/>
        <v>#N/A</v>
      </c>
      <c r="AU31" s="132" t="e">
        <f t="shared" si="21"/>
        <v>#N/A</v>
      </c>
      <c r="AV31" s="82" t="e">
        <f t="shared" si="22"/>
        <v>#N/A</v>
      </c>
      <c r="AW31" s="132">
        <f t="shared" si="15"/>
        <v>3.0000000000000002E-2</v>
      </c>
      <c r="AX31" s="85" t="e">
        <f t="shared" si="23"/>
        <v>#N/A</v>
      </c>
    </row>
    <row r="32" spans="1:50">
      <c r="S32" s="87"/>
      <c r="AB32" s="87"/>
      <c r="AC32" s="129" t="e">
        <v>#N/A</v>
      </c>
      <c r="AD32" s="130" t="e">
        <v>#N/A</v>
      </c>
      <c r="AE32" s="129" t="e">
        <v>#N/A</v>
      </c>
      <c r="AF32" s="130" t="e">
        <v>#N/A</v>
      </c>
      <c r="AG32" s="188" t="e">
        <f t="shared" si="6"/>
        <v>#N/A</v>
      </c>
      <c r="AH32" t="e">
        <f t="shared" si="0"/>
        <v>#N/A</v>
      </c>
      <c r="AI32" t="e">
        <f t="shared" si="7"/>
        <v>#N/A</v>
      </c>
      <c r="AJ32" s="131" t="e">
        <f t="shared" si="1"/>
        <v>#N/A</v>
      </c>
      <c r="AK32" s="131" t="e">
        <f t="shared" si="2"/>
        <v>#N/A</v>
      </c>
      <c r="AL32" t="e">
        <f t="shared" si="8"/>
        <v>#N/A</v>
      </c>
      <c r="AM32" s="131" t="e">
        <f t="shared" si="3"/>
        <v>#N/A</v>
      </c>
      <c r="AN32" s="131" t="e">
        <f t="shared" si="4"/>
        <v>#N/A</v>
      </c>
      <c r="AO32" t="e">
        <f t="shared" si="5"/>
        <v>#N/A</v>
      </c>
      <c r="AQ32" s="131" t="e">
        <f t="shared" si="17"/>
        <v>#N/A</v>
      </c>
      <c r="AR32" s="82" t="e">
        <f t="shared" si="18"/>
        <v>#N/A</v>
      </c>
      <c r="AS32" s="173" t="e">
        <f t="shared" si="19"/>
        <v>#N/A</v>
      </c>
      <c r="AT32" s="85" t="e">
        <f t="shared" si="20"/>
        <v>#N/A</v>
      </c>
      <c r="AU32" s="132" t="e">
        <f t="shared" si="21"/>
        <v>#N/A</v>
      </c>
      <c r="AV32" s="82" t="e">
        <f t="shared" si="22"/>
        <v>#N/A</v>
      </c>
      <c r="AW32" s="132">
        <f t="shared" si="15"/>
        <v>3.0000000000000002E-2</v>
      </c>
      <c r="AX32" s="85" t="e">
        <f t="shared" si="23"/>
        <v>#N/A</v>
      </c>
    </row>
    <row r="33" spans="1:50" ht="15.75">
      <c r="A33" s="39" t="s">
        <v>220</v>
      </c>
      <c r="B33" s="40"/>
      <c r="C33" s="41"/>
      <c r="D33" s="42"/>
      <c r="F33" s="28" t="s">
        <v>20</v>
      </c>
      <c r="S33" s="87"/>
      <c r="AB33" s="87"/>
      <c r="AC33" s="129" t="e">
        <v>#N/A</v>
      </c>
      <c r="AD33" s="130" t="e">
        <v>#N/A</v>
      </c>
      <c r="AE33" s="129" t="e">
        <v>#N/A</v>
      </c>
      <c r="AF33" s="130" t="e">
        <v>#N/A</v>
      </c>
      <c r="AG33" s="188" t="e">
        <f t="shared" si="6"/>
        <v>#N/A</v>
      </c>
      <c r="AH33" t="e">
        <f t="shared" si="0"/>
        <v>#N/A</v>
      </c>
      <c r="AI33" t="e">
        <f t="shared" si="7"/>
        <v>#N/A</v>
      </c>
      <c r="AJ33" s="131" t="e">
        <f t="shared" si="1"/>
        <v>#N/A</v>
      </c>
      <c r="AK33" s="131" t="e">
        <f t="shared" si="2"/>
        <v>#N/A</v>
      </c>
      <c r="AL33" t="e">
        <f t="shared" si="8"/>
        <v>#N/A</v>
      </c>
      <c r="AM33" s="131" t="e">
        <f t="shared" si="3"/>
        <v>#N/A</v>
      </c>
      <c r="AN33" s="131" t="e">
        <f t="shared" si="4"/>
        <v>#N/A</v>
      </c>
      <c r="AO33" t="e">
        <f t="shared" si="5"/>
        <v>#N/A</v>
      </c>
      <c r="AQ33" s="131" t="e">
        <f t="shared" si="17"/>
        <v>#N/A</v>
      </c>
      <c r="AR33" s="82" t="e">
        <f t="shared" si="18"/>
        <v>#N/A</v>
      </c>
      <c r="AS33" s="173" t="e">
        <f t="shared" si="19"/>
        <v>#N/A</v>
      </c>
      <c r="AT33" s="85" t="e">
        <f t="shared" si="20"/>
        <v>#N/A</v>
      </c>
      <c r="AU33" s="132" t="e">
        <f t="shared" si="21"/>
        <v>#N/A</v>
      </c>
      <c r="AV33" s="82" t="e">
        <f t="shared" si="22"/>
        <v>#N/A</v>
      </c>
      <c r="AW33" s="132">
        <f t="shared" si="15"/>
        <v>3.0000000000000002E-2</v>
      </c>
      <c r="AX33" s="85" t="e">
        <f t="shared" si="23"/>
        <v>#N/A</v>
      </c>
    </row>
    <row r="34" spans="1:50">
      <c r="A34" s="43"/>
      <c r="B34" s="44" t="s">
        <v>21</v>
      </c>
      <c r="C34" s="149" t="s">
        <v>209</v>
      </c>
      <c r="D34" s="150">
        <f>VLOOKUP(label,Results,4,FALSE)</f>
        <v>1716</v>
      </c>
      <c r="E34" s="151" t="s">
        <v>221</v>
      </c>
      <c r="F34" s="152"/>
      <c r="G34" s="141" t="s">
        <v>222</v>
      </c>
      <c r="S34" s="87"/>
      <c r="AB34" s="87"/>
      <c r="AC34" s="129" t="e">
        <v>#N/A</v>
      </c>
      <c r="AD34" s="130" t="e">
        <v>#N/A</v>
      </c>
      <c r="AE34" s="129" t="e">
        <v>#N/A</v>
      </c>
      <c r="AF34" s="130" t="e">
        <v>#N/A</v>
      </c>
      <c r="AG34" s="188" t="e">
        <f t="shared" si="6"/>
        <v>#N/A</v>
      </c>
      <c r="AH34" t="e">
        <f t="shared" si="0"/>
        <v>#N/A</v>
      </c>
      <c r="AI34" t="e">
        <f t="shared" si="7"/>
        <v>#N/A</v>
      </c>
      <c r="AJ34" s="131" t="e">
        <f t="shared" si="1"/>
        <v>#N/A</v>
      </c>
      <c r="AK34" s="131" t="e">
        <f t="shared" si="2"/>
        <v>#N/A</v>
      </c>
      <c r="AL34" t="e">
        <f t="shared" si="8"/>
        <v>#N/A</v>
      </c>
      <c r="AM34" s="131" t="e">
        <f t="shared" si="3"/>
        <v>#N/A</v>
      </c>
      <c r="AN34" s="131" t="e">
        <f t="shared" si="4"/>
        <v>#N/A</v>
      </c>
      <c r="AO34" t="e">
        <f t="shared" si="5"/>
        <v>#N/A</v>
      </c>
      <c r="AQ34" s="131" t="e">
        <f t="shared" si="17"/>
        <v>#N/A</v>
      </c>
      <c r="AR34" s="82" t="e">
        <f t="shared" si="18"/>
        <v>#N/A</v>
      </c>
      <c r="AS34" s="173" t="e">
        <f t="shared" si="19"/>
        <v>#N/A</v>
      </c>
      <c r="AT34" s="85" t="e">
        <f t="shared" si="20"/>
        <v>#N/A</v>
      </c>
      <c r="AU34" s="132" t="e">
        <f t="shared" si="21"/>
        <v>#N/A</v>
      </c>
      <c r="AV34" s="82" t="e">
        <f t="shared" si="22"/>
        <v>#N/A</v>
      </c>
      <c r="AW34" s="132">
        <f t="shared" si="15"/>
        <v>3.0000000000000002E-2</v>
      </c>
      <c r="AX34" s="85" t="e">
        <f t="shared" si="23"/>
        <v>#N/A</v>
      </c>
    </row>
    <row r="35" spans="1:50">
      <c r="A35" s="45" t="s">
        <v>22</v>
      </c>
      <c r="B35" s="44" t="s">
        <v>23</v>
      </c>
      <c r="E35" s="45" t="s">
        <v>24</v>
      </c>
      <c r="S35" s="87"/>
      <c r="AB35" s="87"/>
      <c r="AC35" s="129" t="e">
        <v>#N/A</v>
      </c>
      <c r="AD35" s="130" t="e">
        <v>#N/A</v>
      </c>
      <c r="AE35" s="129" t="e">
        <v>#N/A</v>
      </c>
      <c r="AF35" s="130" t="e">
        <v>#N/A</v>
      </c>
      <c r="AG35" s="188" t="e">
        <f t="shared" si="6"/>
        <v>#N/A</v>
      </c>
      <c r="AH35" t="e">
        <f t="shared" si="0"/>
        <v>#N/A</v>
      </c>
      <c r="AI35" t="e">
        <f t="shared" si="7"/>
        <v>#N/A</v>
      </c>
      <c r="AJ35" s="131" t="e">
        <f t="shared" si="1"/>
        <v>#N/A</v>
      </c>
      <c r="AK35" s="131" t="e">
        <f t="shared" si="2"/>
        <v>#N/A</v>
      </c>
      <c r="AL35" t="e">
        <f t="shared" si="8"/>
        <v>#N/A</v>
      </c>
      <c r="AM35" s="131" t="e">
        <f t="shared" si="3"/>
        <v>#N/A</v>
      </c>
      <c r="AN35" s="131" t="e">
        <f t="shared" si="4"/>
        <v>#N/A</v>
      </c>
      <c r="AO35" t="e">
        <f t="shared" si="5"/>
        <v>#N/A</v>
      </c>
      <c r="AQ35" s="131" t="e">
        <f t="shared" si="17"/>
        <v>#N/A</v>
      </c>
      <c r="AR35" s="82" t="e">
        <f t="shared" si="18"/>
        <v>#N/A</v>
      </c>
      <c r="AS35" s="173" t="e">
        <f t="shared" si="19"/>
        <v>#N/A</v>
      </c>
      <c r="AT35" s="85" t="e">
        <f t="shared" si="20"/>
        <v>#N/A</v>
      </c>
      <c r="AU35" s="132" t="e">
        <f t="shared" si="21"/>
        <v>#N/A</v>
      </c>
      <c r="AV35" s="82" t="e">
        <f t="shared" si="22"/>
        <v>#N/A</v>
      </c>
      <c r="AW35" s="132">
        <f t="shared" si="15"/>
        <v>3.0000000000000002E-2</v>
      </c>
      <c r="AX35" s="85" t="e">
        <f t="shared" si="23"/>
        <v>#N/A</v>
      </c>
    </row>
    <row r="36" spans="1:50" ht="15.75">
      <c r="A36" s="47"/>
      <c r="B36" s="44" t="s">
        <v>210</v>
      </c>
      <c r="C36" s="45" t="s">
        <v>25</v>
      </c>
      <c r="D36" s="45" t="s">
        <v>26</v>
      </c>
      <c r="E36" s="45" t="s">
        <v>27</v>
      </c>
      <c r="F36" s="45" t="s">
        <v>28</v>
      </c>
      <c r="K36" s="136" t="s">
        <v>141</v>
      </c>
      <c r="S36" s="87"/>
      <c r="AB36" s="87"/>
      <c r="AC36" s="129" t="e">
        <v>#N/A</v>
      </c>
      <c r="AD36" s="130" t="e">
        <v>#N/A</v>
      </c>
      <c r="AE36" s="129" t="e">
        <v>#N/A</v>
      </c>
      <c r="AF36" s="130" t="e">
        <v>#N/A</v>
      </c>
      <c r="AG36" s="188" t="e">
        <f t="shared" si="6"/>
        <v>#N/A</v>
      </c>
      <c r="AH36" t="e">
        <f t="shared" si="0"/>
        <v>#N/A</v>
      </c>
      <c r="AI36" t="e">
        <f t="shared" si="7"/>
        <v>#N/A</v>
      </c>
      <c r="AJ36" s="131" t="e">
        <f t="shared" si="1"/>
        <v>#N/A</v>
      </c>
      <c r="AK36" s="131" t="e">
        <f t="shared" si="2"/>
        <v>#N/A</v>
      </c>
      <c r="AL36" t="e">
        <f t="shared" si="8"/>
        <v>#N/A</v>
      </c>
      <c r="AM36" s="131" t="e">
        <f t="shared" si="3"/>
        <v>#N/A</v>
      </c>
      <c r="AN36" s="131" t="e">
        <f t="shared" si="4"/>
        <v>#N/A</v>
      </c>
      <c r="AO36" t="e">
        <f t="shared" si="5"/>
        <v>#N/A</v>
      </c>
      <c r="AQ36" s="131" t="e">
        <f t="shared" si="17"/>
        <v>#N/A</v>
      </c>
      <c r="AR36" s="82" t="e">
        <f t="shared" si="18"/>
        <v>#N/A</v>
      </c>
      <c r="AS36" s="173" t="e">
        <f t="shared" si="19"/>
        <v>#N/A</v>
      </c>
      <c r="AT36" s="85" t="e">
        <f t="shared" si="20"/>
        <v>#N/A</v>
      </c>
      <c r="AU36" s="132" t="e">
        <f t="shared" si="21"/>
        <v>#N/A</v>
      </c>
      <c r="AV36" s="82" t="e">
        <f t="shared" si="22"/>
        <v>#N/A</v>
      </c>
      <c r="AW36" s="132">
        <f t="shared" si="15"/>
        <v>3.0000000000000002E-2</v>
      </c>
      <c r="AX36" s="85" t="e">
        <f t="shared" si="23"/>
        <v>#N/A</v>
      </c>
    </row>
    <row r="37" spans="1:50">
      <c r="A37" s="48" t="s">
        <v>244</v>
      </c>
      <c r="B37" s="49">
        <f>10*0.000016*D11</f>
        <v>159.97535999999999</v>
      </c>
      <c r="C37" s="50">
        <f t="shared" ref="C37:C45" si="27">B37^2</f>
        <v>25592.115807129598</v>
      </c>
      <c r="D37" s="61" t="s">
        <v>126</v>
      </c>
      <c r="E37" s="52">
        <v>13</v>
      </c>
      <c r="F37" s="50">
        <f t="shared" ref="F37:F45" si="28">B37^4/E37</f>
        <v>50381260.883502513</v>
      </c>
      <c r="G37" t="s">
        <v>127</v>
      </c>
      <c r="K37" s="141" t="s">
        <v>223</v>
      </c>
      <c r="L37" t="s">
        <v>251</v>
      </c>
      <c r="S37" s="87"/>
      <c r="AB37" s="87"/>
      <c r="AC37" s="129" t="e">
        <v>#N/A</v>
      </c>
      <c r="AD37" s="130" t="e">
        <v>#N/A</v>
      </c>
      <c r="AE37" s="129" t="e">
        <v>#N/A</v>
      </c>
      <c r="AF37" s="130" t="e">
        <v>#N/A</v>
      </c>
      <c r="AG37" s="188" t="e">
        <f t="shared" si="6"/>
        <v>#N/A</v>
      </c>
      <c r="AH37" t="e">
        <f t="shared" ref="AH37:AH59" si="29">VLOOKUP(AB37, Results,2,FALSE)</f>
        <v>#N/A</v>
      </c>
      <c r="AI37" t="e">
        <f t="shared" si="7"/>
        <v>#N/A</v>
      </c>
      <c r="AJ37" s="131" t="e">
        <f t="shared" ref="AJ37:AJ59" si="30">VLOOKUP(AH37,multiplier,4,FALSE)</f>
        <v>#N/A</v>
      </c>
      <c r="AK37" s="131" t="e">
        <f t="shared" ref="AK37:AK59" si="31">VLOOKUP(AH37,multiplier,8,FALSE)</f>
        <v>#N/A</v>
      </c>
      <c r="AL37" t="e">
        <f t="shared" si="8"/>
        <v>#N/A</v>
      </c>
      <c r="AM37" s="131" t="e">
        <f t="shared" ref="AM37:AM59" si="32">VLOOKUP(AH37,multiplier,7,FALSE)</f>
        <v>#N/A</v>
      </c>
      <c r="AN37" s="131" t="e">
        <f t="shared" ref="AN37:AN59" si="33">VLOOKUP(AH37,multiplier,9,FALSE)</f>
        <v>#N/A</v>
      </c>
      <c r="AO37" t="e">
        <f t="shared" ref="AO37:AO59" si="34">VLOOKUP(AB37,Results,9,FALSE)</f>
        <v>#N/A</v>
      </c>
      <c r="AQ37" s="131" t="e">
        <f t="shared" si="17"/>
        <v>#N/A</v>
      </c>
      <c r="AR37" s="82" t="e">
        <f t="shared" si="18"/>
        <v>#N/A</v>
      </c>
      <c r="AS37" s="173" t="e">
        <f t="shared" si="19"/>
        <v>#N/A</v>
      </c>
      <c r="AT37" s="85" t="e">
        <f t="shared" si="20"/>
        <v>#N/A</v>
      </c>
      <c r="AU37" s="132" t="e">
        <f t="shared" si="21"/>
        <v>#N/A</v>
      </c>
      <c r="AV37" s="82" t="e">
        <f t="shared" si="22"/>
        <v>#N/A</v>
      </c>
      <c r="AW37" s="132">
        <f t="shared" si="15"/>
        <v>3.0000000000000002E-2</v>
      </c>
      <c r="AX37" s="85" t="e">
        <f t="shared" si="23"/>
        <v>#N/A</v>
      </c>
    </row>
    <row r="38" spans="1:50">
      <c r="A38" s="48" t="s">
        <v>113</v>
      </c>
      <c r="B38" s="140">
        <v>10</v>
      </c>
      <c r="C38" s="50">
        <f t="shared" si="27"/>
        <v>100</v>
      </c>
      <c r="D38" s="51">
        <v>30</v>
      </c>
      <c r="E38" s="52">
        <f t="shared" ref="E38:E44" si="35">0.5*(1/(0.01*D38)^2)</f>
        <v>5.5555555555555554</v>
      </c>
      <c r="F38" s="50">
        <f t="shared" si="28"/>
        <v>1800</v>
      </c>
      <c r="K38" s="141" t="s">
        <v>224</v>
      </c>
      <c r="S38" s="87"/>
      <c r="AB38" s="87"/>
      <c r="AC38" s="129" t="e">
        <v>#N/A</v>
      </c>
      <c r="AD38" s="130" t="e">
        <v>#N/A</v>
      </c>
      <c r="AE38" s="129" t="e">
        <v>#N/A</v>
      </c>
      <c r="AF38" s="130" t="e">
        <v>#N/A</v>
      </c>
      <c r="AG38" s="188" t="e">
        <f t="shared" si="6"/>
        <v>#N/A</v>
      </c>
      <c r="AH38" t="e">
        <f t="shared" si="29"/>
        <v>#N/A</v>
      </c>
      <c r="AI38" t="e">
        <f t="shared" si="7"/>
        <v>#N/A</v>
      </c>
      <c r="AJ38" s="131" t="e">
        <f t="shared" si="30"/>
        <v>#N/A</v>
      </c>
      <c r="AK38" s="131" t="e">
        <f t="shared" si="31"/>
        <v>#N/A</v>
      </c>
      <c r="AL38" t="e">
        <f t="shared" si="8"/>
        <v>#N/A</v>
      </c>
      <c r="AM38" s="131" t="e">
        <f t="shared" si="32"/>
        <v>#N/A</v>
      </c>
      <c r="AN38" s="131" t="e">
        <f t="shared" si="33"/>
        <v>#N/A</v>
      </c>
      <c r="AO38" t="e">
        <f t="shared" si="34"/>
        <v>#N/A</v>
      </c>
      <c r="AQ38" s="131" t="e">
        <f t="shared" si="17"/>
        <v>#N/A</v>
      </c>
      <c r="AR38" s="82" t="e">
        <f t="shared" si="18"/>
        <v>#N/A</v>
      </c>
      <c r="AS38" s="173" t="e">
        <f t="shared" si="19"/>
        <v>#N/A</v>
      </c>
      <c r="AT38" s="85" t="e">
        <f t="shared" si="20"/>
        <v>#N/A</v>
      </c>
      <c r="AU38" s="132" t="e">
        <f t="shared" si="21"/>
        <v>#N/A</v>
      </c>
      <c r="AV38" s="82" t="e">
        <f t="shared" si="22"/>
        <v>#N/A</v>
      </c>
      <c r="AW38" s="132">
        <f t="shared" si="15"/>
        <v>3.0000000000000002E-2</v>
      </c>
      <c r="AX38" s="85" t="e">
        <f t="shared" si="23"/>
        <v>#N/A</v>
      </c>
    </row>
    <row r="39" spans="1:50">
      <c r="A39" s="48" t="s">
        <v>111</v>
      </c>
      <c r="B39" s="137">
        <f>2.5*0.000001*D34*10</f>
        <v>4.2899999999999994E-2</v>
      </c>
      <c r="C39" s="50">
        <f t="shared" si="27"/>
        <v>1.8404099999999994E-3</v>
      </c>
      <c r="D39" s="51">
        <v>30</v>
      </c>
      <c r="E39" s="52">
        <f t="shared" si="35"/>
        <v>5.5555555555555554</v>
      </c>
      <c r="F39" s="50">
        <f t="shared" si="28"/>
        <v>6.0967961425799959E-7</v>
      </c>
      <c r="G39" t="s">
        <v>112</v>
      </c>
      <c r="K39" s="139"/>
      <c r="S39" s="87"/>
      <c r="AB39" s="87"/>
      <c r="AC39" s="129" t="e">
        <v>#N/A</v>
      </c>
      <c r="AD39" s="130" t="e">
        <v>#N/A</v>
      </c>
      <c r="AE39" s="129" t="e">
        <v>#N/A</v>
      </c>
      <c r="AF39" s="130" t="e">
        <v>#N/A</v>
      </c>
      <c r="AG39" s="188" t="e">
        <f t="shared" si="6"/>
        <v>#N/A</v>
      </c>
      <c r="AH39" t="e">
        <f t="shared" si="29"/>
        <v>#N/A</v>
      </c>
      <c r="AI39" t="e">
        <f t="shared" si="7"/>
        <v>#N/A</v>
      </c>
      <c r="AJ39" s="131" t="e">
        <f t="shared" si="30"/>
        <v>#N/A</v>
      </c>
      <c r="AK39" s="131" t="e">
        <f t="shared" si="31"/>
        <v>#N/A</v>
      </c>
      <c r="AL39" t="e">
        <f t="shared" si="8"/>
        <v>#N/A</v>
      </c>
      <c r="AM39" s="131" t="e">
        <f t="shared" si="32"/>
        <v>#N/A</v>
      </c>
      <c r="AN39" s="131" t="e">
        <f t="shared" si="33"/>
        <v>#N/A</v>
      </c>
      <c r="AO39" t="e">
        <f t="shared" si="34"/>
        <v>#N/A</v>
      </c>
      <c r="AQ39" s="131" t="e">
        <f t="shared" si="17"/>
        <v>#N/A</v>
      </c>
      <c r="AR39" s="82" t="e">
        <f t="shared" si="18"/>
        <v>#N/A</v>
      </c>
      <c r="AS39" s="173" t="e">
        <f t="shared" si="19"/>
        <v>#N/A</v>
      </c>
      <c r="AT39" s="85" t="e">
        <f t="shared" si="20"/>
        <v>#N/A</v>
      </c>
      <c r="AU39" s="132" t="e">
        <f t="shared" si="21"/>
        <v>#N/A</v>
      </c>
      <c r="AV39" s="82" t="e">
        <f t="shared" si="22"/>
        <v>#N/A</v>
      </c>
      <c r="AW39" s="132">
        <f t="shared" si="15"/>
        <v>3.0000000000000002E-2</v>
      </c>
      <c r="AX39" s="85" t="e">
        <f t="shared" si="23"/>
        <v>#N/A</v>
      </c>
    </row>
    <row r="40" spans="1:50">
      <c r="A40" s="54" t="s">
        <v>121</v>
      </c>
      <c r="B40" s="143">
        <v>10</v>
      </c>
      <c r="C40" s="50">
        <f t="shared" si="27"/>
        <v>100</v>
      </c>
      <c r="D40" s="51">
        <v>30</v>
      </c>
      <c r="E40" s="52">
        <f t="shared" si="35"/>
        <v>5.5555555555555554</v>
      </c>
      <c r="F40" s="50">
        <f t="shared" si="28"/>
        <v>1800</v>
      </c>
      <c r="G40" t="s">
        <v>225</v>
      </c>
      <c r="L40" s="174" t="s">
        <v>252</v>
      </c>
      <c r="S40" s="87"/>
      <c r="AB40" s="87"/>
      <c r="AC40" s="129" t="e">
        <v>#N/A</v>
      </c>
      <c r="AD40" s="130" t="e">
        <v>#N/A</v>
      </c>
      <c r="AE40" s="129" t="e">
        <v>#N/A</v>
      </c>
      <c r="AF40" s="130" t="e">
        <v>#N/A</v>
      </c>
      <c r="AG40" s="188" t="e">
        <f t="shared" si="6"/>
        <v>#N/A</v>
      </c>
      <c r="AH40" t="e">
        <f t="shared" si="29"/>
        <v>#N/A</v>
      </c>
      <c r="AI40" t="e">
        <f t="shared" si="7"/>
        <v>#N/A</v>
      </c>
      <c r="AJ40" s="131" t="e">
        <f t="shared" si="30"/>
        <v>#N/A</v>
      </c>
      <c r="AK40" s="131" t="e">
        <f t="shared" si="31"/>
        <v>#N/A</v>
      </c>
      <c r="AL40" t="e">
        <f t="shared" si="8"/>
        <v>#N/A</v>
      </c>
      <c r="AM40" s="131" t="e">
        <f t="shared" si="32"/>
        <v>#N/A</v>
      </c>
      <c r="AN40" s="131" t="e">
        <f t="shared" si="33"/>
        <v>#N/A</v>
      </c>
      <c r="AO40" t="e">
        <f t="shared" si="34"/>
        <v>#N/A</v>
      </c>
      <c r="AQ40" s="131" t="e">
        <f t="shared" si="17"/>
        <v>#N/A</v>
      </c>
      <c r="AR40" s="82" t="e">
        <f t="shared" si="18"/>
        <v>#N/A</v>
      </c>
      <c r="AS40" s="173" t="e">
        <f t="shared" si="19"/>
        <v>#N/A</v>
      </c>
      <c r="AT40" s="85" t="e">
        <f t="shared" si="20"/>
        <v>#N/A</v>
      </c>
      <c r="AU40" s="132" t="e">
        <f t="shared" si="21"/>
        <v>#N/A</v>
      </c>
      <c r="AV40" s="82" t="e">
        <f t="shared" si="22"/>
        <v>#N/A</v>
      </c>
      <c r="AW40" s="132">
        <f t="shared" si="15"/>
        <v>3.0000000000000002E-2</v>
      </c>
      <c r="AX40" s="85" t="e">
        <f t="shared" si="23"/>
        <v>#N/A</v>
      </c>
    </row>
    <row r="41" spans="1:50">
      <c r="A41" s="48" t="s">
        <v>115</v>
      </c>
      <c r="B41" s="137">
        <f>17*0.000001*D34</f>
        <v>2.9172E-2</v>
      </c>
      <c r="C41" s="50">
        <f t="shared" si="27"/>
        <v>8.51005584E-4</v>
      </c>
      <c r="D41" s="51">
        <v>30</v>
      </c>
      <c r="E41" s="52">
        <f t="shared" si="35"/>
        <v>5.5555555555555554</v>
      </c>
      <c r="F41" s="50">
        <f t="shared" si="28"/>
        <v>1.303578907198526E-7</v>
      </c>
      <c r="G41" t="s">
        <v>226</v>
      </c>
      <c r="K41" s="141" t="s">
        <v>212</v>
      </c>
      <c r="S41" s="87"/>
      <c r="AB41" s="87"/>
      <c r="AC41" s="129" t="e">
        <v>#N/A</v>
      </c>
      <c r="AD41" s="130" t="e">
        <v>#N/A</v>
      </c>
      <c r="AE41" s="129" t="e">
        <v>#N/A</v>
      </c>
      <c r="AF41" s="130" t="e">
        <v>#N/A</v>
      </c>
      <c r="AG41" s="188" t="e">
        <f t="shared" si="6"/>
        <v>#N/A</v>
      </c>
      <c r="AH41" t="e">
        <f t="shared" si="29"/>
        <v>#N/A</v>
      </c>
      <c r="AI41" t="e">
        <f t="shared" si="7"/>
        <v>#N/A</v>
      </c>
      <c r="AJ41" s="131" t="e">
        <f t="shared" si="30"/>
        <v>#N/A</v>
      </c>
      <c r="AK41" s="131" t="e">
        <f t="shared" si="31"/>
        <v>#N/A</v>
      </c>
      <c r="AL41" t="e">
        <f t="shared" si="8"/>
        <v>#N/A</v>
      </c>
      <c r="AM41" s="131" t="e">
        <f t="shared" si="32"/>
        <v>#N/A</v>
      </c>
      <c r="AN41" s="131" t="e">
        <f t="shared" si="33"/>
        <v>#N/A</v>
      </c>
      <c r="AO41" t="e">
        <f t="shared" si="34"/>
        <v>#N/A</v>
      </c>
      <c r="AQ41" s="131" t="e">
        <f t="shared" si="17"/>
        <v>#N/A</v>
      </c>
      <c r="AR41" s="82" t="e">
        <f t="shared" si="18"/>
        <v>#N/A</v>
      </c>
      <c r="AS41" s="173" t="e">
        <f t="shared" si="19"/>
        <v>#N/A</v>
      </c>
      <c r="AT41" s="85" t="e">
        <f t="shared" si="20"/>
        <v>#N/A</v>
      </c>
      <c r="AU41" s="132" t="e">
        <f t="shared" si="21"/>
        <v>#N/A</v>
      </c>
      <c r="AV41" s="82" t="e">
        <f t="shared" si="22"/>
        <v>#N/A</v>
      </c>
      <c r="AW41" s="132">
        <f t="shared" si="15"/>
        <v>3.0000000000000002E-2</v>
      </c>
      <c r="AX41" s="85" t="e">
        <f t="shared" si="23"/>
        <v>#N/A</v>
      </c>
    </row>
    <row r="42" spans="1:50">
      <c r="A42" s="54" t="s">
        <v>116</v>
      </c>
      <c r="B42" s="142">
        <f>2*0.000001*D34*10</f>
        <v>3.4319999999999996E-2</v>
      </c>
      <c r="C42" s="50">
        <f t="shared" si="27"/>
        <v>1.1778623999999997E-3</v>
      </c>
      <c r="D42" s="51">
        <v>50</v>
      </c>
      <c r="E42" s="52">
        <f t="shared" si="35"/>
        <v>2</v>
      </c>
      <c r="F42" s="50">
        <f t="shared" si="28"/>
        <v>6.9367991666687964E-7</v>
      </c>
      <c r="G42" t="s">
        <v>117</v>
      </c>
      <c r="K42" s="139"/>
      <c r="S42" s="87"/>
      <c r="AB42" s="87"/>
      <c r="AC42" s="129" t="e">
        <v>#N/A</v>
      </c>
      <c r="AD42" s="130" t="e">
        <v>#N/A</v>
      </c>
      <c r="AE42" s="129" t="e">
        <v>#N/A</v>
      </c>
      <c r="AF42" s="130" t="e">
        <v>#N/A</v>
      </c>
      <c r="AG42" s="188" t="e">
        <f t="shared" si="6"/>
        <v>#N/A</v>
      </c>
      <c r="AH42" t="e">
        <f t="shared" si="29"/>
        <v>#N/A</v>
      </c>
      <c r="AI42" t="e">
        <f t="shared" si="7"/>
        <v>#N/A</v>
      </c>
      <c r="AJ42" s="131" t="e">
        <f t="shared" si="30"/>
        <v>#N/A</v>
      </c>
      <c r="AK42" s="131" t="e">
        <f t="shared" si="31"/>
        <v>#N/A</v>
      </c>
      <c r="AL42" t="e">
        <f t="shared" si="8"/>
        <v>#N/A</v>
      </c>
      <c r="AM42" s="131" t="e">
        <f t="shared" si="32"/>
        <v>#N/A</v>
      </c>
      <c r="AN42" s="131" t="e">
        <f t="shared" si="33"/>
        <v>#N/A</v>
      </c>
      <c r="AO42" t="e">
        <f t="shared" si="34"/>
        <v>#N/A</v>
      </c>
      <c r="AQ42" s="131" t="e">
        <f t="shared" si="17"/>
        <v>#N/A</v>
      </c>
      <c r="AR42" s="82" t="e">
        <f t="shared" si="18"/>
        <v>#N/A</v>
      </c>
      <c r="AS42" s="173" t="e">
        <f t="shared" si="19"/>
        <v>#N/A</v>
      </c>
      <c r="AT42" s="85" t="e">
        <f t="shared" si="20"/>
        <v>#N/A</v>
      </c>
      <c r="AU42" s="132" t="e">
        <f t="shared" si="21"/>
        <v>#N/A</v>
      </c>
      <c r="AV42" s="82" t="e">
        <f t="shared" si="22"/>
        <v>#N/A</v>
      </c>
      <c r="AW42" s="132">
        <f t="shared" si="15"/>
        <v>3.0000000000000002E-2</v>
      </c>
      <c r="AX42" s="85" t="e">
        <f t="shared" si="23"/>
        <v>#N/A</v>
      </c>
    </row>
    <row r="43" spans="1:50">
      <c r="A43" s="54" t="s">
        <v>120</v>
      </c>
      <c r="B43" s="142">
        <f>2*0.000001*D34*10</f>
        <v>3.4319999999999996E-2</v>
      </c>
      <c r="C43" s="138">
        <f t="shared" si="27"/>
        <v>1.1778623999999997E-3</v>
      </c>
      <c r="D43" s="51">
        <v>30</v>
      </c>
      <c r="E43" s="52">
        <f t="shared" si="35"/>
        <v>5.5555555555555554</v>
      </c>
      <c r="F43" s="50">
        <f t="shared" si="28"/>
        <v>2.4972477000007669E-7</v>
      </c>
      <c r="G43" t="s">
        <v>128</v>
      </c>
      <c r="K43" s="139"/>
      <c r="S43" s="87"/>
      <c r="AB43" s="87"/>
      <c r="AC43" s="129" t="e">
        <v>#N/A</v>
      </c>
      <c r="AD43" s="130" t="e">
        <v>#N/A</v>
      </c>
      <c r="AE43" s="129" t="e">
        <v>#N/A</v>
      </c>
      <c r="AF43" s="130" t="e">
        <v>#N/A</v>
      </c>
      <c r="AG43" s="188" t="e">
        <f t="shared" si="6"/>
        <v>#N/A</v>
      </c>
      <c r="AH43" t="e">
        <f t="shared" si="29"/>
        <v>#N/A</v>
      </c>
      <c r="AI43" t="e">
        <f t="shared" si="7"/>
        <v>#N/A</v>
      </c>
      <c r="AJ43" s="131" t="e">
        <f t="shared" si="30"/>
        <v>#N/A</v>
      </c>
      <c r="AK43" s="131" t="e">
        <f t="shared" si="31"/>
        <v>#N/A</v>
      </c>
      <c r="AL43" t="e">
        <f t="shared" si="8"/>
        <v>#N/A</v>
      </c>
      <c r="AM43" s="131" t="e">
        <f t="shared" si="32"/>
        <v>#N/A</v>
      </c>
      <c r="AN43" s="131" t="e">
        <f t="shared" si="33"/>
        <v>#N/A</v>
      </c>
      <c r="AO43" t="e">
        <f t="shared" si="34"/>
        <v>#N/A</v>
      </c>
      <c r="AQ43" s="131" t="e">
        <f t="shared" si="17"/>
        <v>#N/A</v>
      </c>
      <c r="AR43" s="82" t="e">
        <f t="shared" si="18"/>
        <v>#N/A</v>
      </c>
      <c r="AS43" s="173" t="e">
        <f t="shared" si="19"/>
        <v>#N/A</v>
      </c>
      <c r="AT43" s="85" t="e">
        <f t="shared" si="20"/>
        <v>#N/A</v>
      </c>
      <c r="AU43" s="132" t="e">
        <f t="shared" si="21"/>
        <v>#N/A</v>
      </c>
      <c r="AV43" s="82" t="e">
        <f t="shared" si="22"/>
        <v>#N/A</v>
      </c>
      <c r="AW43" s="132">
        <f t="shared" si="15"/>
        <v>3.0000000000000002E-2</v>
      </c>
      <c r="AX43" s="85" t="e">
        <f t="shared" si="23"/>
        <v>#N/A</v>
      </c>
    </row>
    <row r="44" spans="1:50">
      <c r="B44" s="53">
        <v>0</v>
      </c>
      <c r="C44" s="50">
        <f t="shared" si="27"/>
        <v>0</v>
      </c>
      <c r="D44" s="51">
        <v>50</v>
      </c>
      <c r="E44" s="52">
        <f t="shared" si="35"/>
        <v>2</v>
      </c>
      <c r="F44" s="50">
        <f t="shared" si="28"/>
        <v>0</v>
      </c>
      <c r="K44" s="141" t="s">
        <v>227</v>
      </c>
      <c r="S44" s="87"/>
      <c r="AB44" s="87"/>
      <c r="AC44" s="129" t="e">
        <v>#N/A</v>
      </c>
      <c r="AD44" s="130" t="e">
        <v>#N/A</v>
      </c>
      <c r="AE44" s="129" t="e">
        <v>#N/A</v>
      </c>
      <c r="AF44" s="130" t="e">
        <v>#N/A</v>
      </c>
      <c r="AG44" s="188" t="e">
        <f t="shared" si="6"/>
        <v>#N/A</v>
      </c>
      <c r="AH44" t="e">
        <f t="shared" si="29"/>
        <v>#N/A</v>
      </c>
      <c r="AI44" t="e">
        <f t="shared" si="7"/>
        <v>#N/A</v>
      </c>
      <c r="AJ44" s="131" t="e">
        <f t="shared" si="30"/>
        <v>#N/A</v>
      </c>
      <c r="AK44" s="131" t="e">
        <f t="shared" si="31"/>
        <v>#N/A</v>
      </c>
      <c r="AL44" t="e">
        <f t="shared" si="8"/>
        <v>#N/A</v>
      </c>
      <c r="AM44" s="131" t="e">
        <f t="shared" si="32"/>
        <v>#N/A</v>
      </c>
      <c r="AN44" s="131" t="e">
        <f t="shared" si="33"/>
        <v>#N/A</v>
      </c>
      <c r="AO44" t="e">
        <f t="shared" si="34"/>
        <v>#N/A</v>
      </c>
      <c r="AQ44" s="131" t="e">
        <f t="shared" si="17"/>
        <v>#N/A</v>
      </c>
      <c r="AR44" s="82" t="e">
        <f t="shared" si="18"/>
        <v>#N/A</v>
      </c>
      <c r="AS44" s="173" t="e">
        <f t="shared" si="19"/>
        <v>#N/A</v>
      </c>
      <c r="AT44" s="85" t="e">
        <f t="shared" si="20"/>
        <v>#N/A</v>
      </c>
      <c r="AU44" s="132" t="e">
        <f t="shared" si="21"/>
        <v>#N/A</v>
      </c>
      <c r="AV44" s="82" t="e">
        <f t="shared" si="22"/>
        <v>#N/A</v>
      </c>
      <c r="AW44" s="132">
        <f t="shared" si="15"/>
        <v>3.0000000000000002E-2</v>
      </c>
      <c r="AX44" s="85" t="e">
        <f t="shared" si="23"/>
        <v>#N/A</v>
      </c>
    </row>
    <row r="45" spans="1:50">
      <c r="A45" s="54"/>
      <c r="B45" s="53">
        <v>0</v>
      </c>
      <c r="C45" s="50">
        <f t="shared" si="27"/>
        <v>0</v>
      </c>
      <c r="D45" s="51">
        <v>1</v>
      </c>
      <c r="E45" s="52">
        <f>0.5*(1/(0.01*D45)^2)</f>
        <v>5000</v>
      </c>
      <c r="F45" s="50">
        <f t="shared" si="28"/>
        <v>0</v>
      </c>
      <c r="S45" s="87"/>
      <c r="AB45" s="87"/>
      <c r="AC45" s="129" t="e">
        <v>#N/A</v>
      </c>
      <c r="AD45" s="130" t="e">
        <v>#N/A</v>
      </c>
      <c r="AE45" s="129" t="e">
        <v>#N/A</v>
      </c>
      <c r="AF45" s="130" t="e">
        <v>#N/A</v>
      </c>
      <c r="AG45" s="188" t="e">
        <f t="shared" si="6"/>
        <v>#N/A</v>
      </c>
      <c r="AH45" t="e">
        <f t="shared" si="29"/>
        <v>#N/A</v>
      </c>
      <c r="AI45" t="e">
        <f t="shared" si="7"/>
        <v>#N/A</v>
      </c>
      <c r="AJ45" s="131" t="e">
        <f t="shared" si="30"/>
        <v>#N/A</v>
      </c>
      <c r="AK45" s="131" t="e">
        <f t="shared" si="31"/>
        <v>#N/A</v>
      </c>
      <c r="AL45" t="e">
        <f t="shared" si="8"/>
        <v>#N/A</v>
      </c>
      <c r="AM45" s="131" t="e">
        <f t="shared" si="32"/>
        <v>#N/A</v>
      </c>
      <c r="AN45" s="131" t="e">
        <f t="shared" si="33"/>
        <v>#N/A</v>
      </c>
      <c r="AO45" t="e">
        <f t="shared" si="34"/>
        <v>#N/A</v>
      </c>
      <c r="AQ45" s="131" t="e">
        <f t="shared" si="17"/>
        <v>#N/A</v>
      </c>
      <c r="AR45" s="82" t="e">
        <f t="shared" si="18"/>
        <v>#N/A</v>
      </c>
      <c r="AS45" s="173" t="e">
        <f t="shared" si="19"/>
        <v>#N/A</v>
      </c>
      <c r="AT45" s="85" t="e">
        <f t="shared" si="20"/>
        <v>#N/A</v>
      </c>
      <c r="AU45" s="132" t="e">
        <f t="shared" si="21"/>
        <v>#N/A</v>
      </c>
      <c r="AV45" s="82" t="e">
        <f t="shared" si="22"/>
        <v>#N/A</v>
      </c>
      <c r="AW45" s="132">
        <f t="shared" si="15"/>
        <v>3.0000000000000002E-2</v>
      </c>
      <c r="AX45" s="85" t="e">
        <f t="shared" si="23"/>
        <v>#N/A</v>
      </c>
    </row>
    <row r="46" spans="1:50" ht="13.5" thickBot="1">
      <c r="B46" s="56" t="s">
        <v>29</v>
      </c>
      <c r="C46" s="153">
        <f>SUM(C37:C45)</f>
        <v>25792.120854269982</v>
      </c>
      <c r="E46" s="26" t="s">
        <v>30</v>
      </c>
      <c r="F46" s="138">
        <f>SUM(F37:F45)</f>
        <v>50384860.883504197</v>
      </c>
      <c r="S46" s="87"/>
      <c r="AB46" s="87"/>
      <c r="AC46" s="129" t="e">
        <v>#N/A</v>
      </c>
      <c r="AD46" s="130" t="e">
        <v>#N/A</v>
      </c>
      <c r="AE46" s="129" t="e">
        <v>#N/A</v>
      </c>
      <c r="AF46" s="130" t="e">
        <v>#N/A</v>
      </c>
      <c r="AG46" s="188" t="e">
        <f t="shared" si="6"/>
        <v>#N/A</v>
      </c>
      <c r="AH46" t="e">
        <f t="shared" si="29"/>
        <v>#N/A</v>
      </c>
      <c r="AI46" t="e">
        <f t="shared" si="7"/>
        <v>#N/A</v>
      </c>
      <c r="AJ46" s="131" t="e">
        <f t="shared" si="30"/>
        <v>#N/A</v>
      </c>
      <c r="AK46" s="131" t="e">
        <f t="shared" si="31"/>
        <v>#N/A</v>
      </c>
      <c r="AL46" t="e">
        <f t="shared" si="8"/>
        <v>#N/A</v>
      </c>
      <c r="AM46" s="131" t="e">
        <f t="shared" si="32"/>
        <v>#N/A</v>
      </c>
      <c r="AN46" s="131" t="e">
        <f t="shared" si="33"/>
        <v>#N/A</v>
      </c>
      <c r="AO46" t="e">
        <f t="shared" si="34"/>
        <v>#N/A</v>
      </c>
      <c r="AQ46" s="131" t="e">
        <f t="shared" si="17"/>
        <v>#N/A</v>
      </c>
      <c r="AR46" s="82" t="e">
        <f t="shared" si="18"/>
        <v>#N/A</v>
      </c>
      <c r="AS46" s="173" t="e">
        <f t="shared" si="19"/>
        <v>#N/A</v>
      </c>
      <c r="AT46" s="85" t="e">
        <f t="shared" si="20"/>
        <v>#N/A</v>
      </c>
      <c r="AU46" s="132" t="e">
        <f t="shared" si="21"/>
        <v>#N/A</v>
      </c>
      <c r="AV46" s="82" t="e">
        <f t="shared" si="22"/>
        <v>#N/A</v>
      </c>
      <c r="AW46" s="132">
        <f t="shared" si="15"/>
        <v>3.0000000000000002E-2</v>
      </c>
      <c r="AX46" s="85" t="e">
        <f t="shared" si="23"/>
        <v>#N/A</v>
      </c>
    </row>
    <row r="47" spans="1:50">
      <c r="B47" s="56" t="s">
        <v>217</v>
      </c>
      <c r="C47" s="154">
        <f>SQRT(C46)</f>
        <v>160.59925545988682</v>
      </c>
      <c r="E47" s="57" t="s">
        <v>31</v>
      </c>
      <c r="F47" s="146">
        <f>R_standard_uncertainty^4/F46</f>
        <v>13.203043265304787</v>
      </c>
      <c r="S47" s="87"/>
      <c r="AB47" s="87"/>
      <c r="AC47" s="129" t="e">
        <v>#N/A</v>
      </c>
      <c r="AD47" s="130" t="e">
        <v>#N/A</v>
      </c>
      <c r="AE47" s="129" t="e">
        <v>#N/A</v>
      </c>
      <c r="AF47" s="130" t="e">
        <v>#N/A</v>
      </c>
      <c r="AG47" s="188" t="e">
        <f t="shared" si="6"/>
        <v>#N/A</v>
      </c>
      <c r="AH47" t="e">
        <f t="shared" si="29"/>
        <v>#N/A</v>
      </c>
      <c r="AI47" t="e">
        <f t="shared" si="7"/>
        <v>#N/A</v>
      </c>
      <c r="AJ47" s="131" t="e">
        <f t="shared" si="30"/>
        <v>#N/A</v>
      </c>
      <c r="AK47" s="131" t="e">
        <f t="shared" si="31"/>
        <v>#N/A</v>
      </c>
      <c r="AL47" t="e">
        <f t="shared" si="8"/>
        <v>#N/A</v>
      </c>
      <c r="AM47" s="131" t="e">
        <f t="shared" si="32"/>
        <v>#N/A</v>
      </c>
      <c r="AN47" s="131" t="e">
        <f t="shared" si="33"/>
        <v>#N/A</v>
      </c>
      <c r="AO47" t="e">
        <f t="shared" si="34"/>
        <v>#N/A</v>
      </c>
      <c r="AQ47" s="131" t="e">
        <f t="shared" si="17"/>
        <v>#N/A</v>
      </c>
      <c r="AR47" s="82" t="e">
        <f t="shared" si="18"/>
        <v>#N/A</v>
      </c>
      <c r="AS47" s="173" t="e">
        <f t="shared" si="19"/>
        <v>#N/A</v>
      </c>
      <c r="AT47" s="85" t="e">
        <f t="shared" si="20"/>
        <v>#N/A</v>
      </c>
      <c r="AU47" s="132" t="e">
        <f t="shared" si="21"/>
        <v>#N/A</v>
      </c>
      <c r="AV47" s="82" t="e">
        <f t="shared" si="22"/>
        <v>#N/A</v>
      </c>
      <c r="AW47" s="132">
        <f t="shared" si="15"/>
        <v>3.0000000000000002E-2</v>
      </c>
      <c r="AX47" s="85" t="e">
        <f t="shared" si="23"/>
        <v>#N/A</v>
      </c>
    </row>
    <row r="48" spans="1:50">
      <c r="B48" s="33"/>
      <c r="E48" s="58" t="s">
        <v>17</v>
      </c>
      <c r="F48" s="147">
        <f>$G$3+$G$4/F47+$G$5/F47^2+$G$6/F47^3</f>
        <v>2.1500454269547329</v>
      </c>
      <c r="S48" s="87"/>
      <c r="AB48" s="87"/>
      <c r="AC48" s="129" t="e">
        <v>#N/A</v>
      </c>
      <c r="AD48" s="130" t="e">
        <v>#N/A</v>
      </c>
      <c r="AE48" s="129" t="e">
        <v>#N/A</v>
      </c>
      <c r="AF48" s="130" t="e">
        <v>#N/A</v>
      </c>
      <c r="AG48" s="188" t="e">
        <f t="shared" si="6"/>
        <v>#N/A</v>
      </c>
      <c r="AH48" t="e">
        <f t="shared" si="29"/>
        <v>#N/A</v>
      </c>
      <c r="AI48" t="e">
        <f t="shared" si="7"/>
        <v>#N/A</v>
      </c>
      <c r="AJ48" s="131" t="e">
        <f t="shared" si="30"/>
        <v>#N/A</v>
      </c>
      <c r="AK48" s="131" t="e">
        <f t="shared" si="31"/>
        <v>#N/A</v>
      </c>
      <c r="AL48" t="e">
        <f t="shared" si="8"/>
        <v>#N/A</v>
      </c>
      <c r="AM48" s="131" t="e">
        <f t="shared" si="32"/>
        <v>#N/A</v>
      </c>
      <c r="AN48" s="131" t="e">
        <f t="shared" si="33"/>
        <v>#N/A</v>
      </c>
      <c r="AO48" t="e">
        <f t="shared" si="34"/>
        <v>#N/A</v>
      </c>
      <c r="AQ48" s="131" t="e">
        <f t="shared" si="17"/>
        <v>#N/A</v>
      </c>
      <c r="AR48" s="82" t="e">
        <f t="shared" si="18"/>
        <v>#N/A</v>
      </c>
      <c r="AS48" s="173" t="e">
        <f t="shared" si="19"/>
        <v>#N/A</v>
      </c>
      <c r="AT48" s="85" t="e">
        <f t="shared" si="20"/>
        <v>#N/A</v>
      </c>
      <c r="AU48" s="132" t="e">
        <f t="shared" si="21"/>
        <v>#N/A</v>
      </c>
      <c r="AV48" s="82" t="e">
        <f t="shared" si="22"/>
        <v>#N/A</v>
      </c>
      <c r="AW48" s="132">
        <f t="shared" si="15"/>
        <v>3.0000000000000002E-2</v>
      </c>
      <c r="AX48" s="85" t="e">
        <f t="shared" si="23"/>
        <v>#N/A</v>
      </c>
    </row>
    <row r="49" spans="1:50" ht="13.5" thickBot="1">
      <c r="A49" s="26" t="s">
        <v>32</v>
      </c>
      <c r="B49" s="33"/>
      <c r="E49" s="59" t="s">
        <v>123</v>
      </c>
      <c r="F49" s="148">
        <f>F48*R_standard_uncertainty</f>
        <v>345.29569477386457</v>
      </c>
      <c r="S49" s="87"/>
      <c r="AB49" s="87"/>
      <c r="AC49" s="129" t="e">
        <v>#N/A</v>
      </c>
      <c r="AD49" s="130" t="e">
        <v>#N/A</v>
      </c>
      <c r="AE49" s="129" t="e">
        <v>#N/A</v>
      </c>
      <c r="AF49" s="130" t="e">
        <v>#N/A</v>
      </c>
      <c r="AG49" s="188" t="e">
        <f t="shared" si="6"/>
        <v>#N/A</v>
      </c>
      <c r="AH49" t="e">
        <f t="shared" si="29"/>
        <v>#N/A</v>
      </c>
      <c r="AI49" t="e">
        <f t="shared" si="7"/>
        <v>#N/A</v>
      </c>
      <c r="AJ49" s="131" t="e">
        <f t="shared" si="30"/>
        <v>#N/A</v>
      </c>
      <c r="AK49" s="131" t="e">
        <f t="shared" si="31"/>
        <v>#N/A</v>
      </c>
      <c r="AL49" t="e">
        <f t="shared" si="8"/>
        <v>#N/A</v>
      </c>
      <c r="AM49" s="131" t="e">
        <f t="shared" si="32"/>
        <v>#N/A</v>
      </c>
      <c r="AN49" s="131" t="e">
        <f t="shared" si="33"/>
        <v>#N/A</v>
      </c>
      <c r="AO49" t="e">
        <f t="shared" si="34"/>
        <v>#N/A</v>
      </c>
      <c r="AQ49" s="131" t="e">
        <f t="shared" si="17"/>
        <v>#N/A</v>
      </c>
      <c r="AR49" s="82" t="e">
        <f t="shared" si="18"/>
        <v>#N/A</v>
      </c>
      <c r="AS49" s="173" t="e">
        <f t="shared" si="19"/>
        <v>#N/A</v>
      </c>
      <c r="AT49" s="85" t="e">
        <f t="shared" si="20"/>
        <v>#N/A</v>
      </c>
      <c r="AU49" s="132" t="e">
        <f t="shared" si="21"/>
        <v>#N/A</v>
      </c>
      <c r="AV49" s="82" t="e">
        <f t="shared" si="22"/>
        <v>#N/A</v>
      </c>
      <c r="AW49" s="132">
        <f t="shared" si="15"/>
        <v>3.0000000000000002E-2</v>
      </c>
      <c r="AX49" s="85" t="e">
        <f t="shared" si="23"/>
        <v>#N/A</v>
      </c>
    </row>
    <row r="50" spans="1:50">
      <c r="A50" s="28" t="s">
        <v>228</v>
      </c>
      <c r="B50" s="33"/>
      <c r="S50" s="87"/>
      <c r="AB50" s="87"/>
      <c r="AC50" s="129" t="e">
        <v>#N/A</v>
      </c>
      <c r="AD50" s="130" t="e">
        <v>#N/A</v>
      </c>
      <c r="AE50" s="129" t="e">
        <v>#N/A</v>
      </c>
      <c r="AF50" s="130" t="e">
        <v>#N/A</v>
      </c>
      <c r="AG50" s="188" t="e">
        <f t="shared" si="6"/>
        <v>#N/A</v>
      </c>
      <c r="AH50" t="e">
        <f t="shared" si="29"/>
        <v>#N/A</v>
      </c>
      <c r="AI50" t="e">
        <f t="shared" si="7"/>
        <v>#N/A</v>
      </c>
      <c r="AJ50" s="131" t="e">
        <f t="shared" si="30"/>
        <v>#N/A</v>
      </c>
      <c r="AK50" s="131" t="e">
        <f t="shared" si="31"/>
        <v>#N/A</v>
      </c>
      <c r="AL50" t="e">
        <f t="shared" si="8"/>
        <v>#N/A</v>
      </c>
      <c r="AM50" s="131" t="e">
        <f t="shared" si="32"/>
        <v>#N/A</v>
      </c>
      <c r="AN50" s="131" t="e">
        <f t="shared" si="33"/>
        <v>#N/A</v>
      </c>
      <c r="AO50" t="e">
        <f t="shared" si="34"/>
        <v>#N/A</v>
      </c>
      <c r="AQ50" s="131" t="e">
        <f t="shared" si="17"/>
        <v>#N/A</v>
      </c>
      <c r="AR50" s="82" t="e">
        <f t="shared" si="18"/>
        <v>#N/A</v>
      </c>
      <c r="AS50" s="173" t="e">
        <f t="shared" si="19"/>
        <v>#N/A</v>
      </c>
      <c r="AT50" s="85" t="e">
        <f t="shared" si="20"/>
        <v>#N/A</v>
      </c>
      <c r="AU50" s="132" t="e">
        <f t="shared" si="21"/>
        <v>#N/A</v>
      </c>
      <c r="AV50" s="82" t="e">
        <f t="shared" si="22"/>
        <v>#N/A</v>
      </c>
      <c r="AW50" s="132">
        <f t="shared" si="15"/>
        <v>3.0000000000000002E-2</v>
      </c>
      <c r="AX50" s="85" t="e">
        <f t="shared" si="23"/>
        <v>#N/A</v>
      </c>
    </row>
    <row r="51" spans="1:50">
      <c r="A51" t="s">
        <v>229</v>
      </c>
      <c r="B51" s="33"/>
      <c r="E51" s="28"/>
      <c r="F51" s="60"/>
      <c r="S51" s="87"/>
      <c r="AB51" s="87"/>
      <c r="AC51" s="129" t="e">
        <v>#N/A</v>
      </c>
      <c r="AD51" s="130" t="e">
        <v>#N/A</v>
      </c>
      <c r="AE51" s="129" t="e">
        <v>#N/A</v>
      </c>
      <c r="AF51" s="130" t="e">
        <v>#N/A</v>
      </c>
      <c r="AG51" s="188" t="e">
        <f t="shared" si="6"/>
        <v>#N/A</v>
      </c>
      <c r="AH51" t="e">
        <f t="shared" si="29"/>
        <v>#N/A</v>
      </c>
      <c r="AI51" t="e">
        <f t="shared" si="7"/>
        <v>#N/A</v>
      </c>
      <c r="AJ51" s="131" t="e">
        <f t="shared" si="30"/>
        <v>#N/A</v>
      </c>
      <c r="AK51" s="131" t="e">
        <f t="shared" si="31"/>
        <v>#N/A</v>
      </c>
      <c r="AL51" t="e">
        <f t="shared" si="8"/>
        <v>#N/A</v>
      </c>
      <c r="AM51" s="131" t="e">
        <f t="shared" si="32"/>
        <v>#N/A</v>
      </c>
      <c r="AN51" s="131" t="e">
        <f t="shared" si="33"/>
        <v>#N/A</v>
      </c>
      <c r="AO51" t="e">
        <f t="shared" si="34"/>
        <v>#N/A</v>
      </c>
      <c r="AQ51" s="131" t="e">
        <f t="shared" si="17"/>
        <v>#N/A</v>
      </c>
      <c r="AR51" s="82" t="e">
        <f t="shared" si="18"/>
        <v>#N/A</v>
      </c>
      <c r="AS51" s="173" t="e">
        <f t="shared" si="19"/>
        <v>#N/A</v>
      </c>
      <c r="AT51" s="85" t="e">
        <f t="shared" si="20"/>
        <v>#N/A</v>
      </c>
      <c r="AU51" s="132" t="e">
        <f t="shared" si="21"/>
        <v>#N/A</v>
      </c>
      <c r="AV51" s="82" t="e">
        <f t="shared" si="22"/>
        <v>#N/A</v>
      </c>
      <c r="AW51" s="132">
        <f t="shared" si="15"/>
        <v>3.0000000000000002E-2</v>
      </c>
      <c r="AX51" s="85" t="e">
        <f t="shared" si="23"/>
        <v>#N/A</v>
      </c>
    </row>
    <row r="52" spans="1:50">
      <c r="B52" s="33"/>
      <c r="S52" s="87"/>
      <c r="AB52" s="87"/>
      <c r="AC52" s="129" t="e">
        <v>#N/A</v>
      </c>
      <c r="AD52" s="130" t="e">
        <v>#N/A</v>
      </c>
      <c r="AE52" s="129" t="e">
        <v>#N/A</v>
      </c>
      <c r="AF52" s="130" t="e">
        <v>#N/A</v>
      </c>
      <c r="AG52" s="188" t="e">
        <f t="shared" si="6"/>
        <v>#N/A</v>
      </c>
      <c r="AH52" t="e">
        <f t="shared" si="29"/>
        <v>#N/A</v>
      </c>
      <c r="AI52" t="e">
        <f t="shared" si="7"/>
        <v>#N/A</v>
      </c>
      <c r="AJ52" s="131" t="e">
        <f t="shared" si="30"/>
        <v>#N/A</v>
      </c>
      <c r="AK52" s="131" t="e">
        <f t="shared" si="31"/>
        <v>#N/A</v>
      </c>
      <c r="AL52" t="e">
        <f t="shared" si="8"/>
        <v>#N/A</v>
      </c>
      <c r="AM52" s="131" t="e">
        <f t="shared" si="32"/>
        <v>#N/A</v>
      </c>
      <c r="AN52" s="131" t="e">
        <f t="shared" si="33"/>
        <v>#N/A</v>
      </c>
      <c r="AO52" t="e">
        <f t="shared" si="34"/>
        <v>#N/A</v>
      </c>
      <c r="AQ52" s="131" t="e">
        <f t="shared" si="17"/>
        <v>#N/A</v>
      </c>
      <c r="AR52" s="82" t="e">
        <f t="shared" si="18"/>
        <v>#N/A</v>
      </c>
      <c r="AS52" s="173" t="e">
        <f t="shared" si="19"/>
        <v>#N/A</v>
      </c>
      <c r="AT52" s="85" t="e">
        <f t="shared" si="20"/>
        <v>#N/A</v>
      </c>
      <c r="AU52" s="132" t="e">
        <f t="shared" si="21"/>
        <v>#N/A</v>
      </c>
      <c r="AV52" s="82" t="e">
        <f t="shared" si="22"/>
        <v>#N/A</v>
      </c>
      <c r="AW52" s="132">
        <f t="shared" si="15"/>
        <v>3.0000000000000002E-2</v>
      </c>
      <c r="AX52" s="85" t="e">
        <f t="shared" si="23"/>
        <v>#N/A</v>
      </c>
    </row>
    <row r="53" spans="1:50">
      <c r="S53" s="87"/>
      <c r="AB53" s="87"/>
      <c r="AC53" s="129" t="e">
        <v>#N/A</v>
      </c>
      <c r="AD53" s="130" t="e">
        <v>#N/A</v>
      </c>
      <c r="AE53" s="129" t="e">
        <v>#N/A</v>
      </c>
      <c r="AF53" s="130" t="e">
        <v>#N/A</v>
      </c>
      <c r="AG53" s="188" t="e">
        <f t="shared" si="6"/>
        <v>#N/A</v>
      </c>
      <c r="AH53" t="e">
        <f t="shared" si="29"/>
        <v>#N/A</v>
      </c>
      <c r="AI53" t="e">
        <f t="shared" si="7"/>
        <v>#N/A</v>
      </c>
      <c r="AJ53" s="131" t="e">
        <f t="shared" si="30"/>
        <v>#N/A</v>
      </c>
      <c r="AK53" s="131" t="e">
        <f t="shared" si="31"/>
        <v>#N/A</v>
      </c>
      <c r="AL53" t="e">
        <f t="shared" si="8"/>
        <v>#N/A</v>
      </c>
      <c r="AM53" s="131" t="e">
        <f t="shared" si="32"/>
        <v>#N/A</v>
      </c>
      <c r="AN53" s="131" t="e">
        <f t="shared" si="33"/>
        <v>#N/A</v>
      </c>
      <c r="AO53" t="e">
        <f t="shared" si="34"/>
        <v>#N/A</v>
      </c>
      <c r="AQ53" s="131" t="e">
        <f t="shared" si="17"/>
        <v>#N/A</v>
      </c>
      <c r="AR53" s="82" t="e">
        <f t="shared" si="18"/>
        <v>#N/A</v>
      </c>
      <c r="AS53" s="173" t="e">
        <f t="shared" si="19"/>
        <v>#N/A</v>
      </c>
      <c r="AT53" s="85" t="e">
        <f t="shared" si="20"/>
        <v>#N/A</v>
      </c>
      <c r="AU53" s="132" t="e">
        <f t="shared" si="21"/>
        <v>#N/A</v>
      </c>
      <c r="AV53" s="82" t="e">
        <f t="shared" si="22"/>
        <v>#N/A</v>
      </c>
      <c r="AW53" s="132">
        <f t="shared" si="15"/>
        <v>3.0000000000000002E-2</v>
      </c>
      <c r="AX53" s="85" t="e">
        <f t="shared" si="23"/>
        <v>#N/A</v>
      </c>
    </row>
    <row r="54" spans="1:50" ht="15.75">
      <c r="A54" s="39" t="s">
        <v>475</v>
      </c>
      <c r="B54" s="40"/>
      <c r="C54" s="41"/>
      <c r="D54" s="42"/>
      <c r="F54" s="28" t="s">
        <v>20</v>
      </c>
      <c r="I54" s="155"/>
      <c r="S54" s="87"/>
      <c r="AB54" s="87"/>
      <c r="AC54" s="129" t="e">
        <v>#N/A</v>
      </c>
      <c r="AD54" s="130" t="e">
        <v>#N/A</v>
      </c>
      <c r="AE54" s="129" t="e">
        <v>#N/A</v>
      </c>
      <c r="AF54" s="130" t="e">
        <v>#N/A</v>
      </c>
      <c r="AG54" s="188" t="e">
        <f t="shared" si="6"/>
        <v>#N/A</v>
      </c>
      <c r="AH54" t="e">
        <f t="shared" si="29"/>
        <v>#N/A</v>
      </c>
      <c r="AI54" t="e">
        <f t="shared" si="7"/>
        <v>#N/A</v>
      </c>
      <c r="AJ54" s="131" t="e">
        <f t="shared" si="30"/>
        <v>#N/A</v>
      </c>
      <c r="AK54" s="131" t="e">
        <f t="shared" si="31"/>
        <v>#N/A</v>
      </c>
      <c r="AL54" t="e">
        <f t="shared" si="8"/>
        <v>#N/A</v>
      </c>
      <c r="AM54" s="131" t="e">
        <f t="shared" si="32"/>
        <v>#N/A</v>
      </c>
      <c r="AN54" s="131" t="e">
        <f t="shared" si="33"/>
        <v>#N/A</v>
      </c>
      <c r="AO54" t="e">
        <f t="shared" si="34"/>
        <v>#N/A</v>
      </c>
      <c r="AQ54" s="131" t="e">
        <f t="shared" si="17"/>
        <v>#N/A</v>
      </c>
      <c r="AR54" s="82" t="e">
        <f t="shared" si="18"/>
        <v>#N/A</v>
      </c>
      <c r="AS54" s="173" t="e">
        <f t="shared" si="19"/>
        <v>#N/A</v>
      </c>
      <c r="AT54" s="85" t="e">
        <f t="shared" si="20"/>
        <v>#N/A</v>
      </c>
      <c r="AU54" s="132" t="e">
        <f t="shared" si="21"/>
        <v>#N/A</v>
      </c>
      <c r="AV54" s="82" t="e">
        <f t="shared" si="22"/>
        <v>#N/A</v>
      </c>
      <c r="AW54" s="132">
        <f t="shared" si="15"/>
        <v>3.0000000000000002E-2</v>
      </c>
      <c r="AX54" s="85" t="e">
        <f t="shared" si="23"/>
        <v>#N/A</v>
      </c>
    </row>
    <row r="55" spans="1:50">
      <c r="A55" s="43"/>
      <c r="B55" s="44" t="s">
        <v>21</v>
      </c>
      <c r="C55" s="62"/>
      <c r="D55" s="63"/>
      <c r="E55" s="43"/>
      <c r="F55" s="43"/>
      <c r="S55" s="87"/>
      <c r="AB55" s="87"/>
      <c r="AC55" s="129" t="e">
        <v>#N/A</v>
      </c>
      <c r="AD55" s="130" t="e">
        <v>#N/A</v>
      </c>
      <c r="AE55" s="129" t="e">
        <v>#N/A</v>
      </c>
      <c r="AF55" s="130" t="e">
        <v>#N/A</v>
      </c>
      <c r="AG55" s="188" t="e">
        <f t="shared" si="6"/>
        <v>#N/A</v>
      </c>
      <c r="AH55" t="e">
        <f t="shared" si="29"/>
        <v>#N/A</v>
      </c>
      <c r="AI55" t="e">
        <f t="shared" si="7"/>
        <v>#N/A</v>
      </c>
      <c r="AJ55" s="131" t="e">
        <f t="shared" si="30"/>
        <v>#N/A</v>
      </c>
      <c r="AK55" s="131" t="e">
        <f t="shared" si="31"/>
        <v>#N/A</v>
      </c>
      <c r="AL55" t="e">
        <f t="shared" si="8"/>
        <v>#N/A</v>
      </c>
      <c r="AM55" s="131" t="e">
        <f t="shared" si="32"/>
        <v>#N/A</v>
      </c>
      <c r="AN55" s="131" t="e">
        <f t="shared" si="33"/>
        <v>#N/A</v>
      </c>
      <c r="AO55" t="e">
        <f t="shared" si="34"/>
        <v>#N/A</v>
      </c>
      <c r="AQ55" s="131" t="e">
        <f t="shared" si="17"/>
        <v>#N/A</v>
      </c>
      <c r="AR55" s="82" t="e">
        <f t="shared" si="18"/>
        <v>#N/A</v>
      </c>
      <c r="AS55" s="173" t="e">
        <f t="shared" si="19"/>
        <v>#N/A</v>
      </c>
      <c r="AT55" s="85" t="e">
        <f t="shared" si="20"/>
        <v>#N/A</v>
      </c>
      <c r="AU55" s="132" t="e">
        <f t="shared" si="21"/>
        <v>#N/A</v>
      </c>
      <c r="AV55" s="82" t="e">
        <f t="shared" si="22"/>
        <v>#N/A</v>
      </c>
      <c r="AW55" s="132">
        <f t="shared" si="15"/>
        <v>3.0000000000000002E-2</v>
      </c>
      <c r="AX55" s="85" t="e">
        <f t="shared" si="23"/>
        <v>#N/A</v>
      </c>
    </row>
    <row r="56" spans="1:50">
      <c r="A56" s="45" t="s">
        <v>22</v>
      </c>
      <c r="B56" s="44" t="s">
        <v>23</v>
      </c>
      <c r="E56" s="45" t="s">
        <v>24</v>
      </c>
      <c r="AB56" s="87"/>
      <c r="AC56" s="129"/>
      <c r="AD56" s="130"/>
      <c r="AE56" s="129"/>
      <c r="AF56" s="130"/>
      <c r="AG56" s="187"/>
      <c r="AH56" t="e">
        <f t="shared" si="29"/>
        <v>#N/A</v>
      </c>
      <c r="AI56" t="e">
        <f t="shared" si="7"/>
        <v>#N/A</v>
      </c>
      <c r="AJ56" s="131" t="e">
        <f t="shared" si="30"/>
        <v>#N/A</v>
      </c>
      <c r="AK56" s="131" t="e">
        <f t="shared" si="31"/>
        <v>#N/A</v>
      </c>
      <c r="AL56" t="e">
        <f t="shared" si="8"/>
        <v>#N/A</v>
      </c>
      <c r="AM56" s="131" t="e">
        <f t="shared" si="32"/>
        <v>#N/A</v>
      </c>
      <c r="AN56" s="131" t="e">
        <f t="shared" si="33"/>
        <v>#N/A</v>
      </c>
      <c r="AO56" t="e">
        <f t="shared" si="34"/>
        <v>#N/A</v>
      </c>
      <c r="AQ56" s="156"/>
      <c r="AR56" s="157"/>
      <c r="AT56" s="85"/>
    </row>
    <row r="57" spans="1:50" ht="15.75">
      <c r="A57" s="47"/>
      <c r="B57" s="44" t="s">
        <v>210</v>
      </c>
      <c r="C57" s="45" t="s">
        <v>25</v>
      </c>
      <c r="D57" s="45" t="s">
        <v>26</v>
      </c>
      <c r="E57" s="45" t="s">
        <v>27</v>
      </c>
      <c r="F57" s="45" t="s">
        <v>28</v>
      </c>
      <c r="AB57" s="87"/>
      <c r="AC57" s="129"/>
      <c r="AD57" s="130"/>
      <c r="AE57" s="129"/>
      <c r="AF57" s="130"/>
      <c r="AG57" s="187"/>
      <c r="AH57" t="e">
        <f t="shared" si="29"/>
        <v>#N/A</v>
      </c>
      <c r="AI57" t="e">
        <f t="shared" si="7"/>
        <v>#N/A</v>
      </c>
      <c r="AJ57" s="131" t="e">
        <f t="shared" si="30"/>
        <v>#N/A</v>
      </c>
      <c r="AK57" s="131" t="e">
        <f t="shared" si="31"/>
        <v>#N/A</v>
      </c>
      <c r="AL57" t="e">
        <f t="shared" si="8"/>
        <v>#N/A</v>
      </c>
      <c r="AM57" s="131" t="e">
        <f t="shared" si="32"/>
        <v>#N/A</v>
      </c>
      <c r="AN57" s="131" t="e">
        <f t="shared" si="33"/>
        <v>#N/A</v>
      </c>
      <c r="AO57" t="e">
        <f t="shared" si="34"/>
        <v>#N/A</v>
      </c>
      <c r="AQ57" s="156"/>
      <c r="AR57" s="157"/>
      <c r="AT57" s="85"/>
    </row>
    <row r="58" spans="1:50">
      <c r="A58" s="48" t="s">
        <v>129</v>
      </c>
      <c r="B58" s="143">
        <f>R_standard_uncertainty</f>
        <v>160.59925545988682</v>
      </c>
      <c r="C58" s="50">
        <f>B58^2</f>
        <v>25792.120854269986</v>
      </c>
      <c r="D58" s="61" t="s">
        <v>126</v>
      </c>
      <c r="E58" s="158">
        <f>R_v</f>
        <v>13.203043265304787</v>
      </c>
      <c r="F58" s="50">
        <f>B58^4/E58</f>
        <v>50384860.883504197</v>
      </c>
      <c r="G58" t="s">
        <v>230</v>
      </c>
      <c r="AB58" s="87"/>
      <c r="AC58" s="129"/>
      <c r="AD58" s="130"/>
      <c r="AE58" s="129"/>
      <c r="AF58" s="130"/>
      <c r="AG58" s="187"/>
      <c r="AH58" t="e">
        <f t="shared" si="29"/>
        <v>#N/A</v>
      </c>
      <c r="AI58" t="e">
        <f t="shared" si="7"/>
        <v>#N/A</v>
      </c>
      <c r="AJ58" s="131" t="e">
        <f t="shared" si="30"/>
        <v>#N/A</v>
      </c>
      <c r="AK58" s="131" t="e">
        <f t="shared" si="31"/>
        <v>#N/A</v>
      </c>
      <c r="AL58" t="e">
        <f t="shared" si="8"/>
        <v>#N/A</v>
      </c>
      <c r="AM58" s="131" t="e">
        <f t="shared" si="32"/>
        <v>#N/A</v>
      </c>
      <c r="AN58" s="131" t="e">
        <f t="shared" si="33"/>
        <v>#N/A</v>
      </c>
      <c r="AO58" t="e">
        <f t="shared" si="34"/>
        <v>#N/A</v>
      </c>
      <c r="AQ58" s="156"/>
      <c r="AR58" s="157"/>
      <c r="AT58" s="85"/>
    </row>
    <row r="59" spans="1:50">
      <c r="A59" s="48" t="s">
        <v>231</v>
      </c>
      <c r="B59" s="159">
        <v>0</v>
      </c>
      <c r="C59" s="50">
        <f>B59^2</f>
        <v>0</v>
      </c>
      <c r="D59" s="51">
        <v>30</v>
      </c>
      <c r="E59" s="52">
        <f>0.5*(1/(0.01*D59)^2)</f>
        <v>5.5555555555555554</v>
      </c>
      <c r="F59" s="50">
        <f>B59^4/E59</f>
        <v>0</v>
      </c>
      <c r="AB59" s="87"/>
      <c r="AC59" s="129"/>
      <c r="AD59" s="130"/>
      <c r="AE59" s="129"/>
      <c r="AF59" s="130"/>
      <c r="AG59" s="187"/>
      <c r="AH59" t="e">
        <f t="shared" si="29"/>
        <v>#N/A</v>
      </c>
      <c r="AI59" t="e">
        <f t="shared" si="7"/>
        <v>#N/A</v>
      </c>
      <c r="AJ59" s="131" t="e">
        <f t="shared" si="30"/>
        <v>#N/A</v>
      </c>
      <c r="AK59" s="131" t="e">
        <f t="shared" si="31"/>
        <v>#N/A</v>
      </c>
      <c r="AL59" t="e">
        <f t="shared" si="8"/>
        <v>#N/A</v>
      </c>
      <c r="AM59" s="131" t="e">
        <f t="shared" si="32"/>
        <v>#N/A</v>
      </c>
      <c r="AN59" s="131" t="e">
        <f t="shared" si="33"/>
        <v>#N/A</v>
      </c>
      <c r="AO59" t="e">
        <f t="shared" si="34"/>
        <v>#N/A</v>
      </c>
      <c r="AQ59" s="156"/>
      <c r="AR59" s="157"/>
      <c r="AT59" s="85"/>
    </row>
    <row r="60" spans="1:50">
      <c r="A60" s="48" t="s">
        <v>130</v>
      </c>
      <c r="B60" s="250">
        <f>SQRT((VLOOKUP(label, Params,2,FALSE)*0.5)^2+(0.5*0.2*VLOOKUP(label, Params,3,FALSE))^2)*0.000001*D34</f>
        <v>0</v>
      </c>
      <c r="C60" s="50">
        <f>B60^2</f>
        <v>0</v>
      </c>
      <c r="D60" s="51">
        <v>20</v>
      </c>
      <c r="E60" s="52">
        <f>0.5*(1/(0.01*D60)^2)</f>
        <v>12.499999999999998</v>
      </c>
      <c r="F60" s="50">
        <f>B60^4/E60</f>
        <v>0</v>
      </c>
      <c r="G60" t="s">
        <v>232</v>
      </c>
    </row>
    <row r="61" spans="1:50">
      <c r="A61" s="48" t="s">
        <v>385</v>
      </c>
      <c r="B61" s="250">
        <f>0.005*(10000*VLOOKUP(label,Results,5,FALSE)*VLOOKUP(VLOOKUP(label,Results,2,FALSE),multiplier,4,FALSE))^2/(L65*M65)*0</f>
        <v>0</v>
      </c>
      <c r="C61" s="138">
        <f>B61^2</f>
        <v>0</v>
      </c>
      <c r="D61" s="51">
        <v>30</v>
      </c>
      <c r="E61" s="52">
        <f>0.5*(1/(0.01*D61)^2)</f>
        <v>5.5555555555555554</v>
      </c>
      <c r="F61" s="50">
        <f>B61^4/E61</f>
        <v>0</v>
      </c>
      <c r="G61" t="s">
        <v>386</v>
      </c>
      <c r="AQ61" s="28" t="s">
        <v>233</v>
      </c>
    </row>
    <row r="62" spans="1:50" ht="13.5" thickBot="1">
      <c r="B62" s="56" t="s">
        <v>29</v>
      </c>
      <c r="C62" s="153">
        <f>SUM(C58:C61)</f>
        <v>25792.120854269986</v>
      </c>
      <c r="E62" s="26" t="s">
        <v>30</v>
      </c>
      <c r="F62" s="50">
        <f>SUM(F58:F61)</f>
        <v>50384860.883504197</v>
      </c>
    </row>
    <row r="63" spans="1:50">
      <c r="B63" s="56" t="s">
        <v>217</v>
      </c>
      <c r="C63" s="140">
        <f>SQRT(C62)</f>
        <v>160.59925545988682</v>
      </c>
      <c r="E63" s="57" t="s">
        <v>31</v>
      </c>
      <c r="F63" s="146">
        <f>C63^4/F62</f>
        <v>13.203043265304787</v>
      </c>
      <c r="G63" s="155"/>
    </row>
    <row r="64" spans="1:50">
      <c r="B64" s="33"/>
      <c r="E64" s="58" t="s">
        <v>17</v>
      </c>
      <c r="F64" s="160">
        <f>$G$3+$G$4/F63+$G$5/F63^2+$G$6/F63^3</f>
        <v>2.1500454269547329</v>
      </c>
      <c r="G64" s="155"/>
      <c r="H64" s="92" t="s">
        <v>387</v>
      </c>
      <c r="I64" s="92" t="s">
        <v>388</v>
      </c>
      <c r="J64" s="92" t="s">
        <v>389</v>
      </c>
      <c r="K64" s="92" t="s">
        <v>143</v>
      </c>
      <c r="L64" s="92" t="s">
        <v>390</v>
      </c>
      <c r="M64" s="92" t="s">
        <v>391</v>
      </c>
    </row>
    <row r="65" spans="1:13" ht="13.5" thickBot="1">
      <c r="A65" s="26" t="s">
        <v>32</v>
      </c>
      <c r="B65" s="33"/>
      <c r="E65" s="59" t="s">
        <v>123</v>
      </c>
      <c r="F65" s="161">
        <f>F64*C63</f>
        <v>345.29569477386457</v>
      </c>
      <c r="G65" s="155"/>
      <c r="H65" s="92" t="str">
        <f>VLOOKUP(label,Results,2,FALSE)</f>
        <v>3Y</v>
      </c>
      <c r="I65" s="92">
        <f>VLOOKUP(label,Results,5,FALSE)</f>
        <v>0.99992124230590029</v>
      </c>
      <c r="J65" s="92">
        <f>VLOOKUP(H65,multiplier,4,FALSE)</f>
        <v>9.9999999999999995E-7</v>
      </c>
      <c r="K65" s="92">
        <f>VLOOKUP(label,Results,7,FALSE)</f>
        <v>1.7178970503127324E-3</v>
      </c>
      <c r="L65" s="92">
        <f>VLOOKUP(H65,multiplier,5,FALSE)</f>
        <v>9.9999999999999995E-7</v>
      </c>
      <c r="M65" s="92">
        <f>VLOOKUP(H65,multiplier,7,FALSE)</f>
        <v>1E-3</v>
      </c>
    </row>
    <row r="66" spans="1:13">
      <c r="A66" s="28" t="s">
        <v>234</v>
      </c>
      <c r="B66" s="33"/>
      <c r="F66" s="162">
        <f>F65*VLOOKUP(VLOOKUP(label,Results,2,FALSE),multiplier,5,FALSE)</f>
        <v>3.4529569477386455E-4</v>
      </c>
      <c r="G66" s="162" t="str">
        <f>VLOOKUP(label,Results,8,FALSE)</f>
        <v>milliS</v>
      </c>
    </row>
    <row r="67" spans="1:13">
      <c r="B67" s="33"/>
      <c r="E67" s="28"/>
      <c r="F67" s="60"/>
    </row>
    <row r="68" spans="1:13" ht="15.75">
      <c r="A68" s="39" t="s">
        <v>476</v>
      </c>
      <c r="B68" s="40"/>
      <c r="C68" s="41"/>
      <c r="D68" s="64"/>
      <c r="F68" s="28" t="s">
        <v>20</v>
      </c>
    </row>
    <row r="69" spans="1:13">
      <c r="A69" s="43"/>
      <c r="B69" s="44" t="s">
        <v>21</v>
      </c>
      <c r="C69" s="43"/>
      <c r="D69" s="43"/>
      <c r="E69" s="43"/>
      <c r="F69" s="43"/>
    </row>
    <row r="70" spans="1:13">
      <c r="A70" s="45" t="s">
        <v>22</v>
      </c>
      <c r="B70" s="44" t="s">
        <v>23</v>
      </c>
      <c r="E70" s="45" t="s">
        <v>24</v>
      </c>
    </row>
    <row r="71" spans="1:13" ht="15.75">
      <c r="A71" s="47"/>
      <c r="B71" s="44" t="s">
        <v>210</v>
      </c>
      <c r="C71" s="45" t="s">
        <v>25</v>
      </c>
      <c r="D71" s="45" t="s">
        <v>26</v>
      </c>
      <c r="E71" s="45" t="s">
        <v>27</v>
      </c>
      <c r="F71" s="45" t="s">
        <v>28</v>
      </c>
    </row>
    <row r="72" spans="1:13">
      <c r="A72" s="48" t="s">
        <v>129</v>
      </c>
      <c r="B72" s="163">
        <f>L_standard_uncertainty</f>
        <v>18.103289011985989</v>
      </c>
      <c r="C72" s="138">
        <f>B72^2</f>
        <v>327.72907305149266</v>
      </c>
      <c r="D72" s="61" t="s">
        <v>126</v>
      </c>
      <c r="E72" s="158">
        <f>L_v</f>
        <v>6.9955802193769951</v>
      </c>
      <c r="F72" s="138">
        <f>B72^4/E72</f>
        <v>15353.457748320396</v>
      </c>
      <c r="G72" s="155"/>
    </row>
    <row r="73" spans="1:13">
      <c r="A73" s="48" t="s">
        <v>130</v>
      </c>
      <c r="B73" s="137">
        <f>SQRT((VLOOKUP(label, Params,4,FALSE)*0.5)^2+(0.5*0.2*VLOOKUP(label, Params,5,FALSE))^2)*0.000001*D11</f>
        <v>4.6495526680379156</v>
      </c>
      <c r="C73" s="138">
        <f>B73^2</f>
        <v>21.6183400128585</v>
      </c>
      <c r="D73" s="51">
        <v>30</v>
      </c>
      <c r="E73" s="158">
        <v>8</v>
      </c>
      <c r="F73" s="138">
        <f>B73^4/E73</f>
        <v>58.419078113944856</v>
      </c>
      <c r="G73" s="185" t="s">
        <v>477</v>
      </c>
    </row>
    <row r="74" spans="1:13">
      <c r="A74" s="48" t="s">
        <v>235</v>
      </c>
      <c r="B74" s="137">
        <v>0</v>
      </c>
      <c r="C74" s="138">
        <f>B74^2</f>
        <v>0</v>
      </c>
      <c r="D74" s="51">
        <v>30</v>
      </c>
      <c r="E74" s="158">
        <f>0.5*(1/(0.01*D74)^2)</f>
        <v>5.5555555555555554</v>
      </c>
      <c r="F74" s="138">
        <f>B74^4/E74</f>
        <v>0</v>
      </c>
      <c r="G74" s="155"/>
    </row>
    <row r="75" spans="1:13">
      <c r="A75" s="48" t="s">
        <v>382</v>
      </c>
      <c r="B75" s="52">
        <f>(0.000000000001/VLOOKUP(VLOOKUP(label,Results,2,FALSE),multiplier,4, FALSE)*50)*0</f>
        <v>0</v>
      </c>
      <c r="C75" s="138">
        <f>B75^2</f>
        <v>0</v>
      </c>
      <c r="D75" s="51">
        <v>30</v>
      </c>
      <c r="E75" s="158">
        <f>0.5*(1/(0.01*D75)^2)</f>
        <v>5.5555555555555554</v>
      </c>
      <c r="F75" s="138">
        <f>B75^4/E75</f>
        <v>0</v>
      </c>
      <c r="G75" s="91" t="s">
        <v>478</v>
      </c>
      <c r="M75" s="181" t="s">
        <v>615</v>
      </c>
    </row>
    <row r="76" spans="1:13" ht="13.5" thickBot="1">
      <c r="B76" s="164" t="s">
        <v>29</v>
      </c>
      <c r="C76" s="153">
        <f>SUM(C72:C75)</f>
        <v>349.34741306435114</v>
      </c>
      <c r="E76" s="165" t="s">
        <v>30</v>
      </c>
      <c r="F76" s="138">
        <f>SUM(F72:F75)</f>
        <v>15411.87682643434</v>
      </c>
      <c r="G76" s="155"/>
    </row>
    <row r="77" spans="1:13">
      <c r="B77" s="164" t="s">
        <v>236</v>
      </c>
      <c r="C77" s="154">
        <f>SQRT(C76)</f>
        <v>18.690837676903385</v>
      </c>
      <c r="E77" s="166" t="s">
        <v>31</v>
      </c>
      <c r="F77" s="146">
        <f>C77^4/F76</f>
        <v>7.9188029069519974</v>
      </c>
      <c r="G77" s="155"/>
    </row>
    <row r="78" spans="1:13">
      <c r="B78" s="33"/>
      <c r="E78" s="167" t="s">
        <v>17</v>
      </c>
      <c r="F78" s="160">
        <f>$G$3+$G$4/F77+$G$5/F77^2+$G$6/F77^3</f>
        <v>2.2941425031017615</v>
      </c>
      <c r="G78" s="155"/>
    </row>
    <row r="79" spans="1:13" ht="13.5" thickBot="1">
      <c r="A79" s="26" t="s">
        <v>32</v>
      </c>
      <c r="B79" s="33"/>
      <c r="E79" s="168" t="s">
        <v>237</v>
      </c>
      <c r="F79" s="169">
        <f>F78*C77</f>
        <v>42.879445133159841</v>
      </c>
      <c r="G79" s="155"/>
    </row>
    <row r="80" spans="1:13">
      <c r="A80" s="28" t="s">
        <v>234</v>
      </c>
      <c r="B80" s="33"/>
      <c r="E80" s="155"/>
      <c r="F80" s="162">
        <f>F79*VLOOKUP(VLOOKUP(label,Results,2,FALSE),multiplier,2,FALSE)</f>
        <v>4.2879445133159838E-5</v>
      </c>
      <c r="G80" s="170" t="str">
        <f>VLOOKUP(label,Results,6,FALSE)</f>
        <v>microF</v>
      </c>
    </row>
    <row r="88" spans="2:2">
      <c r="B88">
        <f>VLOOKUP(label,Results,5,FALSE)</f>
        <v>0.99992124230590029</v>
      </c>
    </row>
  </sheetData>
  <phoneticPr fontId="0" type="noConversion"/>
  <conditionalFormatting sqref="AV5:AV55 AR5:AR59 AT5:AT59 AX5:AX55">
    <cfRule type="cellIs" dxfId="1" priority="1" stopIfTrue="1" operator="lessThan">
      <formula>1</formula>
    </cfRule>
    <cfRule type="cellIs" dxfId="0" priority="2" stopIfTrue="1" operator="greaterThanOrEqual">
      <formula>1</formula>
    </cfRule>
  </conditionalFormatting>
  <pageMargins left="0.75" right="0.75" top="1" bottom="1" header="0.5" footer="0.5"/>
  <pageSetup paperSize="9" scale="60" orientation="portrait" r:id="rId1"/>
  <headerFooter alignWithMargins="0">
    <oddHeader>&amp;A</oddHeader>
    <oddFooter>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3"/>
  <sheetViews>
    <sheetView showGridLines="0" workbookViewId="0">
      <selection activeCell="K27" sqref="K27"/>
    </sheetView>
  </sheetViews>
  <sheetFormatPr defaultRowHeight="12.75"/>
  <cols>
    <col min="1" max="1" width="10.28515625" style="351" customWidth="1"/>
    <col min="2" max="2" width="11.140625" style="351" customWidth="1"/>
    <col min="3" max="4" width="14.5703125" style="351" customWidth="1"/>
    <col min="5" max="5" width="6.5703125" style="351" customWidth="1"/>
    <col min="6" max="7" width="11" style="351" customWidth="1"/>
    <col min="8" max="8" width="6.5703125" style="351" customWidth="1"/>
    <col min="9" max="10" width="9.140625" style="351"/>
    <col min="11" max="11" width="15.28515625" style="351" customWidth="1"/>
    <col min="12" max="12" width="10.28515625" style="351" customWidth="1"/>
    <col min="13" max="13" width="11.140625" style="351" customWidth="1"/>
    <col min="14" max="14" width="14.5703125" style="351" customWidth="1"/>
    <col min="15" max="15" width="12.28515625" style="351" customWidth="1"/>
    <col min="16" max="16" width="6.5703125" style="351" customWidth="1"/>
    <col min="17" max="17" width="12.85546875" style="351" customWidth="1"/>
    <col min="18" max="18" width="12.5703125" style="351" customWidth="1"/>
    <col min="19" max="16384" width="9.140625" style="351"/>
  </cols>
  <sheetData>
    <row r="1" spans="1:30" ht="13.5" thickBot="1">
      <c r="A1" s="351" t="s">
        <v>392</v>
      </c>
      <c r="V1" s="352" t="s">
        <v>488</v>
      </c>
      <c r="X1" s="351" t="s">
        <v>489</v>
      </c>
    </row>
    <row r="2" spans="1:30" ht="15.75" thickTop="1">
      <c r="K2" s="353" t="s">
        <v>352</v>
      </c>
      <c r="L2" s="354" t="s">
        <v>465</v>
      </c>
      <c r="M2" s="355" t="s">
        <v>467</v>
      </c>
      <c r="N2" s="355" t="s">
        <v>34</v>
      </c>
      <c r="O2" s="355" t="s">
        <v>131</v>
      </c>
      <c r="P2" s="356" t="s">
        <v>17</v>
      </c>
      <c r="Q2" s="355" t="s">
        <v>109</v>
      </c>
      <c r="R2" s="355" t="s">
        <v>131</v>
      </c>
      <c r="S2" s="357" t="s">
        <v>17</v>
      </c>
      <c r="T2" s="358"/>
      <c r="U2" s="359" t="s">
        <v>381</v>
      </c>
      <c r="W2" s="360" t="s">
        <v>465</v>
      </c>
      <c r="X2" s="361" t="s">
        <v>467</v>
      </c>
      <c r="Y2" s="361" t="s">
        <v>34</v>
      </c>
      <c r="Z2" s="361" t="s">
        <v>131</v>
      </c>
      <c r="AA2" s="362" t="s">
        <v>17</v>
      </c>
      <c r="AB2" s="361" t="s">
        <v>481</v>
      </c>
      <c r="AC2" s="361" t="s">
        <v>131</v>
      </c>
      <c r="AD2" s="363" t="s">
        <v>17</v>
      </c>
    </row>
    <row r="3" spans="1:30" ht="15">
      <c r="A3" s="364"/>
      <c r="B3" s="364"/>
      <c r="C3" s="364"/>
      <c r="D3" s="364"/>
      <c r="E3" s="364"/>
      <c r="F3" s="364"/>
      <c r="G3" s="364"/>
      <c r="H3" s="364"/>
      <c r="K3" s="353"/>
      <c r="L3" s="365" t="s">
        <v>466</v>
      </c>
      <c r="M3" s="366" t="s">
        <v>53</v>
      </c>
      <c r="N3" s="366"/>
      <c r="O3" s="366" t="s">
        <v>132</v>
      </c>
      <c r="P3" s="367"/>
      <c r="Q3" s="366"/>
      <c r="R3" s="366" t="s">
        <v>132</v>
      </c>
      <c r="S3" s="368"/>
      <c r="T3" s="369"/>
      <c r="W3" s="370" t="s">
        <v>466</v>
      </c>
      <c r="X3" s="371" t="s">
        <v>53</v>
      </c>
      <c r="Y3" s="371"/>
      <c r="Z3" s="371" t="s">
        <v>482</v>
      </c>
      <c r="AA3" s="372"/>
      <c r="AB3" s="371"/>
      <c r="AC3" s="371" t="s">
        <v>482</v>
      </c>
      <c r="AD3" s="373"/>
    </row>
    <row r="4" spans="1:30" ht="42" customHeight="1">
      <c r="A4" s="374" t="s">
        <v>468</v>
      </c>
      <c r="B4" s="375" t="s">
        <v>505</v>
      </c>
      <c r="C4" s="375" t="s">
        <v>470</v>
      </c>
      <c r="D4" s="375" t="s">
        <v>471</v>
      </c>
      <c r="E4" s="376" t="s">
        <v>17</v>
      </c>
      <c r="F4" s="375" t="s">
        <v>469</v>
      </c>
      <c r="G4" s="375" t="s">
        <v>472</v>
      </c>
      <c r="H4" s="376" t="s">
        <v>17</v>
      </c>
      <c r="K4" s="353"/>
      <c r="L4" s="377"/>
      <c r="M4" s="378"/>
      <c r="N4" s="378"/>
      <c r="O4" s="378"/>
      <c r="P4" s="379"/>
      <c r="Q4" s="378" t="s">
        <v>135</v>
      </c>
      <c r="R4" s="378" t="s">
        <v>135</v>
      </c>
      <c r="S4" s="380"/>
      <c r="T4" s="369"/>
      <c r="W4" s="381"/>
      <c r="X4" s="382"/>
      <c r="Y4" s="382"/>
      <c r="Z4" s="382"/>
      <c r="AA4" s="383"/>
      <c r="AB4" s="382" t="s">
        <v>135</v>
      </c>
      <c r="AC4" s="382" t="s">
        <v>135</v>
      </c>
      <c r="AD4" s="384"/>
    </row>
    <row r="5" spans="1:30" ht="15">
      <c r="A5" s="385">
        <f t="shared" ref="A5:A9" si="0">L5</f>
        <v>0</v>
      </c>
      <c r="B5" s="386">
        <v>1</v>
      </c>
      <c r="C5" s="387">
        <f>N5*1000</f>
        <v>999868.82918397337</v>
      </c>
      <c r="D5" s="387">
        <f>O5*1000</f>
        <v>50.272601580259568</v>
      </c>
      <c r="E5" s="388">
        <f t="shared" ref="E5:E9" si="1">P5</f>
        <v>2.1371461707448796</v>
      </c>
      <c r="F5" s="389">
        <f t="shared" ref="F5:F9" si="2">Q5</f>
        <v>-2.0103315295774495E-2</v>
      </c>
      <c r="G5" s="389">
        <f t="shared" ref="G5:G9" si="3">R5</f>
        <v>3.4531216965908079E-2</v>
      </c>
      <c r="H5" s="388">
        <f t="shared" ref="H5:H9" si="4">S5</f>
        <v>2.15004478616975</v>
      </c>
      <c r="K5" s="351" t="s">
        <v>607</v>
      </c>
      <c r="L5" s="365"/>
      <c r="M5" s="366">
        <v>1000</v>
      </c>
      <c r="N5" s="397">
        <f t="shared" ref="N5:N9" si="5">VLOOKUP(K5,Rangex,5,FALSE)</f>
        <v>999.86882918397339</v>
      </c>
      <c r="O5" s="397">
        <f t="shared" ref="O5:O13" si="6">VLOOKUP($K5,ub_uncertainty,2,FALSE)</f>
        <v>5.027260158025957E-2</v>
      </c>
      <c r="P5" s="367">
        <f t="shared" ref="P5:P13" si="7">VLOOKUP($K5,ub_uncertainty,3,FALSE)</f>
        <v>2.1371461707448796</v>
      </c>
      <c r="Q5" s="397">
        <f t="shared" ref="Q5:Q9" si="8">VLOOKUP(K5,Rangex,10,FALSE)</f>
        <v>-2.0103315295774495E-2</v>
      </c>
      <c r="R5" s="397">
        <f t="shared" ref="R5:R9" si="9">VLOOKUP(K5,ub_uncertainty,6,FALSE)</f>
        <v>3.4531216965908079E-2</v>
      </c>
      <c r="S5" s="368">
        <f t="shared" ref="S5:S9" si="10">VLOOKUP(K5,ub_uncertainty,5,FALSE)</f>
        <v>2.15004478616975</v>
      </c>
      <c r="T5" s="369"/>
      <c r="U5" s="392">
        <f>(N5-Y5)/O5</f>
        <v>19869.053078331181</v>
      </c>
      <c r="V5" s="392">
        <f>(Q5-AB5)/R5</f>
        <v>-2.4531515285903103</v>
      </c>
      <c r="W5" s="370">
        <v>365442</v>
      </c>
      <c r="X5" s="371" t="s">
        <v>483</v>
      </c>
      <c r="Y5" s="393">
        <v>0.99983999999999995</v>
      </c>
      <c r="Z5" s="393">
        <v>6.0000000000000002E-5</v>
      </c>
      <c r="AA5" s="372">
        <v>2.0825201888922225</v>
      </c>
      <c r="AB5" s="394">
        <v>6.4606992388226564E-2</v>
      </c>
      <c r="AC5" s="394">
        <v>0.12412226972157998</v>
      </c>
      <c r="AD5" s="373">
        <v>2.3634040235570666</v>
      </c>
    </row>
    <row r="6" spans="1:30" ht="15">
      <c r="A6" s="385">
        <f t="shared" si="0"/>
        <v>0</v>
      </c>
      <c r="B6" s="386">
        <v>0.1</v>
      </c>
      <c r="C6" s="395">
        <f>N6</f>
        <v>100.00028522236404</v>
      </c>
      <c r="D6" s="395">
        <f>O6</f>
        <v>5.0283380543389624E-3</v>
      </c>
      <c r="E6" s="388">
        <f t="shared" si="1"/>
        <v>2.1371469092382602</v>
      </c>
      <c r="F6" s="396">
        <f t="shared" si="2"/>
        <v>0.19769127805612174</v>
      </c>
      <c r="G6" s="396">
        <f t="shared" si="3"/>
        <v>3.4533981047499884E-2</v>
      </c>
      <c r="H6" s="388">
        <f t="shared" si="4"/>
        <v>2.150046024308164</v>
      </c>
      <c r="K6" s="351" t="s">
        <v>608</v>
      </c>
      <c r="L6" s="365"/>
      <c r="M6" s="366">
        <v>100</v>
      </c>
      <c r="N6" s="400">
        <f t="shared" si="5"/>
        <v>100.00028522236404</v>
      </c>
      <c r="O6" s="400">
        <f t="shared" si="6"/>
        <v>5.0283380543389624E-3</v>
      </c>
      <c r="P6" s="367">
        <f t="shared" si="7"/>
        <v>2.1371469092382602</v>
      </c>
      <c r="Q6" s="397">
        <f t="shared" si="8"/>
        <v>0.19769127805612174</v>
      </c>
      <c r="R6" s="397">
        <f t="shared" si="9"/>
        <v>3.4533981047499884E-2</v>
      </c>
      <c r="S6" s="368">
        <f t="shared" si="10"/>
        <v>2.150046024308164</v>
      </c>
      <c r="T6" s="369"/>
      <c r="U6" s="392">
        <f t="shared" ref="U6:U9" si="11">(N6-Y6)/O6</f>
        <v>-19.23394501141329</v>
      </c>
      <c r="V6" s="392">
        <f t="shared" ref="V6:V9" si="12">(Q6-AB6)/R6</f>
        <v>4.0409606868223298</v>
      </c>
      <c r="W6" s="370">
        <v>365383</v>
      </c>
      <c r="X6" s="371" t="s">
        <v>484</v>
      </c>
      <c r="Y6" s="398">
        <v>100.09699999999999</v>
      </c>
      <c r="Z6" s="398">
        <v>6.0000000000000001E-3</v>
      </c>
      <c r="AA6" s="372">
        <v>2.082461317921311</v>
      </c>
      <c r="AB6" s="394">
        <v>5.8140818283707291E-2</v>
      </c>
      <c r="AC6" s="394">
        <v>3.570410423980569E-2</v>
      </c>
      <c r="AD6" s="373">
        <v>2.1186053796516062</v>
      </c>
    </row>
    <row r="7" spans="1:30" ht="15">
      <c r="A7" s="385">
        <f t="shared" si="0"/>
        <v>0</v>
      </c>
      <c r="B7" s="389">
        <v>0.01</v>
      </c>
      <c r="C7" s="399">
        <f>N7</f>
        <v>9.9987284405236085</v>
      </c>
      <c r="D7" s="399">
        <f>O7</f>
        <v>5.9597384516450714E-4</v>
      </c>
      <c r="E7" s="388">
        <f t="shared" si="1"/>
        <v>2.0955393967720135</v>
      </c>
      <c r="F7" s="396">
        <f t="shared" si="2"/>
        <v>0.19101640726342323</v>
      </c>
      <c r="G7" s="396">
        <f t="shared" si="3"/>
        <v>4.4020680014484073E-2</v>
      </c>
      <c r="H7" s="388">
        <f t="shared" si="4"/>
        <v>2.0612813342294927</v>
      </c>
      <c r="K7" s="351" t="s">
        <v>609</v>
      </c>
      <c r="L7" s="365"/>
      <c r="M7" s="366">
        <v>10</v>
      </c>
      <c r="N7" s="400">
        <f t="shared" si="5"/>
        <v>9.9987284405236085</v>
      </c>
      <c r="O7" s="400">
        <f t="shared" si="6"/>
        <v>5.9597384516450714E-4</v>
      </c>
      <c r="P7" s="367">
        <f t="shared" si="7"/>
        <v>2.0955393967720135</v>
      </c>
      <c r="Q7" s="391">
        <f t="shared" si="8"/>
        <v>0.19101640726342323</v>
      </c>
      <c r="R7" s="391">
        <f t="shared" si="9"/>
        <v>4.4020680014484073E-2</v>
      </c>
      <c r="S7" s="368">
        <f t="shared" si="10"/>
        <v>2.0612813342294927</v>
      </c>
      <c r="T7" s="369"/>
      <c r="U7" s="392">
        <f t="shared" si="11"/>
        <v>11.122032581443635</v>
      </c>
      <c r="V7" s="392">
        <f t="shared" si="12"/>
        <v>2.4364548179285892</v>
      </c>
      <c r="W7" s="370">
        <v>365381</v>
      </c>
      <c r="X7" s="371" t="s">
        <v>485</v>
      </c>
      <c r="Y7" s="401">
        <v>9.9921000000000006</v>
      </c>
      <c r="Z7" s="401">
        <v>6.9999999999999999E-4</v>
      </c>
      <c r="AA7" s="372">
        <v>2.0762919337470618</v>
      </c>
      <c r="AB7" s="394">
        <v>8.376200935364074E-2</v>
      </c>
      <c r="AC7" s="394">
        <v>3.4588099245906001E-2</v>
      </c>
      <c r="AD7" s="373">
        <v>2.1481036727293428</v>
      </c>
    </row>
    <row r="8" spans="1:30" ht="15">
      <c r="A8" s="385">
        <f t="shared" si="0"/>
        <v>0</v>
      </c>
      <c r="B8" s="396">
        <v>1E-3</v>
      </c>
      <c r="C8" s="399">
        <f>N8/1000</f>
        <v>9.9986284342380109E-4</v>
      </c>
      <c r="D8" s="399">
        <f>O8/1000</f>
        <v>4.1578284159589627E-7</v>
      </c>
      <c r="E8" s="388">
        <f t="shared" si="1"/>
        <v>2.5531887290894928</v>
      </c>
      <c r="F8" s="396">
        <f t="shared" si="2"/>
        <v>0.27002589428582913</v>
      </c>
      <c r="G8" s="396">
        <f t="shared" si="3"/>
        <v>0.31070996609245055</v>
      </c>
      <c r="H8" s="388">
        <f t="shared" si="4"/>
        <v>2.1827453941864152</v>
      </c>
      <c r="K8" s="351" t="s">
        <v>610</v>
      </c>
      <c r="L8" s="365"/>
      <c r="M8" s="366">
        <v>1</v>
      </c>
      <c r="N8" s="390">
        <f t="shared" si="5"/>
        <v>0.99986284342380105</v>
      </c>
      <c r="O8" s="390">
        <f t="shared" si="6"/>
        <v>4.1578284159589628E-4</v>
      </c>
      <c r="P8" s="367">
        <f t="shared" si="7"/>
        <v>2.5531887290894928</v>
      </c>
      <c r="Q8" s="391">
        <f t="shared" si="8"/>
        <v>0.27002589428582913</v>
      </c>
      <c r="R8" s="391">
        <f t="shared" si="9"/>
        <v>0.31070996609245055</v>
      </c>
      <c r="S8" s="368">
        <f t="shared" si="10"/>
        <v>2.1827453941864152</v>
      </c>
      <c r="T8" s="369"/>
      <c r="U8" s="392">
        <f t="shared" si="11"/>
        <v>-2374100.2234910862</v>
      </c>
      <c r="V8" s="392">
        <f t="shared" si="12"/>
        <v>0.79056194286893644</v>
      </c>
      <c r="W8" s="370">
        <v>365391</v>
      </c>
      <c r="X8" s="371" t="s">
        <v>486</v>
      </c>
      <c r="Y8" s="394">
        <v>988.11</v>
      </c>
      <c r="Z8" s="394">
        <v>0.12</v>
      </c>
      <c r="AA8" s="372">
        <v>2.0723657352496154</v>
      </c>
      <c r="AB8" s="394">
        <v>2.4390419823040053E-2</v>
      </c>
      <c r="AC8" s="394">
        <v>3.460651917938936E-2</v>
      </c>
      <c r="AD8" s="373">
        <v>2.148390948055618</v>
      </c>
    </row>
    <row r="9" spans="1:30" ht="15">
      <c r="A9" s="385">
        <f t="shared" si="0"/>
        <v>0</v>
      </c>
      <c r="B9" s="402">
        <v>5.0000000000000001E-4</v>
      </c>
      <c r="C9" s="399">
        <f>N9/1000</f>
        <v>9.9992124230590036E-4</v>
      </c>
      <c r="D9" s="399">
        <f>O9/1000</f>
        <v>4.2879445133159835E-8</v>
      </c>
      <c r="E9" s="388">
        <f t="shared" si="1"/>
        <v>2.2941425031017615</v>
      </c>
      <c r="F9" s="396">
        <f t="shared" si="2"/>
        <v>0.17180857195085403</v>
      </c>
      <c r="G9" s="396">
        <f t="shared" si="3"/>
        <v>3.4533361710514569E-2</v>
      </c>
      <c r="H9" s="388">
        <f t="shared" si="4"/>
        <v>2.1500454269547329</v>
      </c>
      <c r="K9" s="351" t="s">
        <v>611</v>
      </c>
      <c r="L9" s="365"/>
      <c r="M9" s="366">
        <v>1</v>
      </c>
      <c r="N9" s="462">
        <f t="shared" si="5"/>
        <v>0.99992124230590029</v>
      </c>
      <c r="O9" s="462">
        <f t="shared" si="6"/>
        <v>4.2879445133159838E-5</v>
      </c>
      <c r="P9" s="367">
        <f t="shared" si="7"/>
        <v>2.2941425031017615</v>
      </c>
      <c r="Q9" s="391">
        <f t="shared" si="8"/>
        <v>0.17180857195085403</v>
      </c>
      <c r="R9" s="391">
        <f t="shared" si="9"/>
        <v>3.4533361710514569E-2</v>
      </c>
      <c r="S9" s="368">
        <f t="shared" si="10"/>
        <v>2.1500454269547329</v>
      </c>
      <c r="T9" s="369"/>
      <c r="U9" s="392">
        <f t="shared" si="11"/>
        <v>-11416893.974197248</v>
      </c>
      <c r="V9" s="392">
        <f t="shared" si="12"/>
        <v>3.0211969995818677</v>
      </c>
      <c r="W9" s="370">
        <v>365396</v>
      </c>
      <c r="X9" s="371" t="s">
        <v>487</v>
      </c>
      <c r="Y9" s="394">
        <v>490.55</v>
      </c>
      <c r="Z9" s="394">
        <v>0.11</v>
      </c>
      <c r="AA9" s="372">
        <v>2.1266230089679583</v>
      </c>
      <c r="AB9" s="394">
        <v>6.747648316557206E-2</v>
      </c>
      <c r="AC9" s="394">
        <v>3.5041245658197266E-2</v>
      </c>
      <c r="AD9" s="373">
        <v>2.1351693442525739</v>
      </c>
    </row>
    <row r="10" spans="1:30" ht="15">
      <c r="K10" s="351" t="s">
        <v>612</v>
      </c>
      <c r="L10" s="365"/>
      <c r="M10" s="366">
        <v>0.1</v>
      </c>
      <c r="N10" s="463">
        <f>VLOOKUP(K10,Rangex,5,FALSE)/1000</f>
        <v>0.10000392511858601</v>
      </c>
      <c r="O10" s="463">
        <f>VLOOKUP($K10,ub_uncertainty,2,FALSE)/1000</f>
        <v>4.2884492820231318E-6</v>
      </c>
      <c r="P10" s="367">
        <f t="shared" si="7"/>
        <v>2.2941438367094689</v>
      </c>
      <c r="Q10" s="397">
        <f t="shared" ref="Q10:Q11" si="13">VLOOKUP(K10,Rangex,10,FALSE)</f>
        <v>4.1297186842445453E-2</v>
      </c>
      <c r="R10" s="397">
        <f t="shared" ref="R10:R11" si="14">VLOOKUP(K10,ub_uncertainty,6,FALSE)</f>
        <v>3.4533339988042581E-2</v>
      </c>
      <c r="S10" s="368">
        <f t="shared" ref="S10:S11" si="15">VLOOKUP(K10,ub_uncertainty,5,FALSE)</f>
        <v>2.1500462400229141</v>
      </c>
    </row>
    <row r="11" spans="1:30" ht="15">
      <c r="K11" s="351" t="s">
        <v>613</v>
      </c>
      <c r="L11" s="365"/>
      <c r="M11" s="366">
        <v>0.01</v>
      </c>
      <c r="N11" s="464">
        <f>VLOOKUP(K11,Rangex,5,FALSE)/1000</f>
        <v>1.0001002557763476E-2</v>
      </c>
      <c r="O11" s="464">
        <f>VLOOKUP($K11,ub_uncertainty,2,FALSE)/1000</f>
        <v>4.2887059519124335E-7</v>
      </c>
      <c r="P11" s="367">
        <f t="shared" si="7"/>
        <v>2.2941445062808827</v>
      </c>
      <c r="Q11" s="397">
        <f t="shared" si="13"/>
        <v>4.9593596168049051E-2</v>
      </c>
      <c r="R11" s="397">
        <f t="shared" si="14"/>
        <v>3.4533295474734139E-2</v>
      </c>
      <c r="S11" s="368">
        <f t="shared" si="15"/>
        <v>2.1500466130674445</v>
      </c>
    </row>
    <row r="12" spans="1:30" ht="15">
      <c r="L12" s="365"/>
      <c r="M12" s="366"/>
      <c r="N12" s="391"/>
      <c r="O12" s="391"/>
      <c r="P12" s="367"/>
      <c r="Q12" s="391"/>
      <c r="R12" s="397"/>
      <c r="S12" s="368"/>
    </row>
    <row r="13" spans="1:30" ht="15">
      <c r="K13" s="461" t="s">
        <v>614</v>
      </c>
      <c r="L13" s="365"/>
      <c r="M13" s="366">
        <v>100</v>
      </c>
      <c r="N13" s="391">
        <f t="shared" ref="N13" si="16">VLOOKUP(K13,Rangex,5,FALSE)</f>
        <v>100.00378524833729</v>
      </c>
      <c r="O13" s="391">
        <f t="shared" si="6"/>
        <v>5.323320969033059E-3</v>
      </c>
      <c r="P13" s="367">
        <f t="shared" si="7"/>
        <v>2.1647224233221305</v>
      </c>
      <c r="Q13" s="397">
        <f t="shared" ref="Q13" si="17">VLOOKUP(K13,Rangex,10,FALSE)</f>
        <v>-2.8999880963958991E-2</v>
      </c>
      <c r="R13" s="397">
        <f t="shared" ref="R13" si="18">VLOOKUP(K13,ub_uncertainty,6,FALSE)</f>
        <v>4.4014160781413181E-2</v>
      </c>
      <c r="S13" s="368">
        <f t="shared" ref="S13" si="19">VLOOKUP(K13,ub_uncertainty,5,FALSE)</f>
        <v>2.0612816437849393</v>
      </c>
    </row>
  </sheetData>
  <pageMargins left="0.7" right="0.7" top="0.75" bottom="0.75" header="0.3" footer="0.3"/>
  <pageSetup paperSize="9" scale="7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7" sqref="C7"/>
    </sheetView>
  </sheetViews>
  <sheetFormatPr defaultRowHeight="12.75"/>
  <sheetData>
    <row r="1" spans="1:8">
      <c r="C1" t="s">
        <v>504</v>
      </c>
      <c r="F1" t="s">
        <v>451</v>
      </c>
    </row>
    <row r="2" spans="1:8">
      <c r="A2" s="189" t="s">
        <v>502</v>
      </c>
      <c r="B2" s="189"/>
      <c r="C2" s="290">
        <f>AVERAGE(Results!N12:N20)</f>
        <v>20.77</v>
      </c>
      <c r="D2" s="290">
        <f>STDEV(Results!N12:N20)</f>
        <v>9.1378334412485426E-2</v>
      </c>
      <c r="F2" s="181"/>
      <c r="G2" s="82"/>
      <c r="H2" s="82"/>
    </row>
    <row r="4" spans="1:8">
      <c r="A4" s="189" t="s">
        <v>503</v>
      </c>
      <c r="B4" s="189"/>
      <c r="C4" s="290">
        <f>RoomLogger!B62</f>
        <v>21.4</v>
      </c>
      <c r="D4" s="290">
        <f>RoomLogger!B63</f>
        <v>21.3</v>
      </c>
      <c r="E4" s="189"/>
      <c r="F4" s="290">
        <f>RoomLogger!C62</f>
        <v>50</v>
      </c>
      <c r="G4" s="290">
        <f>RoomLogger!C63</f>
        <v>50.1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6"/>
  <sheetViews>
    <sheetView topLeftCell="A13" workbookViewId="0">
      <selection activeCell="G16" sqref="G16"/>
    </sheetView>
  </sheetViews>
  <sheetFormatPr defaultRowHeight="12.75"/>
  <cols>
    <col min="1" max="1" width="21.140625" customWidth="1"/>
  </cols>
  <sheetData>
    <row r="1" spans="1:3">
      <c r="A1" s="190">
        <v>43034.364583333336</v>
      </c>
      <c r="B1">
        <v>21.4</v>
      </c>
      <c r="C1">
        <v>49.4</v>
      </c>
    </row>
    <row r="2" spans="1:3">
      <c r="A2" s="190">
        <v>43034.368055555555</v>
      </c>
      <c r="B2">
        <v>21.4</v>
      </c>
      <c r="C2">
        <v>49.3</v>
      </c>
    </row>
    <row r="3" spans="1:3">
      <c r="A3" s="190">
        <v>43034.371527777781</v>
      </c>
      <c r="B3">
        <v>21.4</v>
      </c>
      <c r="C3">
        <v>49.3</v>
      </c>
    </row>
    <row r="4" spans="1:3">
      <c r="A4" s="190">
        <v>43034.375</v>
      </c>
      <c r="B4">
        <v>21.4</v>
      </c>
      <c r="C4">
        <v>49.4</v>
      </c>
    </row>
    <row r="5" spans="1:3">
      <c r="A5" s="190">
        <v>43034.378472222219</v>
      </c>
      <c r="B5">
        <v>21.4</v>
      </c>
      <c r="C5">
        <v>49.5</v>
      </c>
    </row>
    <row r="6" spans="1:3">
      <c r="A6" s="190">
        <v>43034.381944444445</v>
      </c>
      <c r="B6">
        <v>21.4</v>
      </c>
      <c r="C6">
        <v>49.7</v>
      </c>
    </row>
    <row r="7" spans="1:3">
      <c r="A7" s="190">
        <v>43034.385416666664</v>
      </c>
      <c r="B7">
        <v>21.3</v>
      </c>
      <c r="C7">
        <v>49.9</v>
      </c>
    </row>
    <row r="8" spans="1:3">
      <c r="A8" s="190">
        <v>43034.388888888891</v>
      </c>
      <c r="B8">
        <v>21.4</v>
      </c>
      <c r="C8">
        <v>49.7</v>
      </c>
    </row>
    <row r="9" spans="1:3">
      <c r="A9" s="190">
        <v>43034.392361111109</v>
      </c>
      <c r="B9">
        <v>21.4</v>
      </c>
      <c r="C9">
        <v>49.6</v>
      </c>
    </row>
    <row r="10" spans="1:3">
      <c r="A10" s="190">
        <v>43034.395833333336</v>
      </c>
      <c r="B10">
        <v>21.4</v>
      </c>
      <c r="C10">
        <v>49.5</v>
      </c>
    </row>
    <row r="11" spans="1:3">
      <c r="A11" s="190">
        <v>43034.399305555555</v>
      </c>
      <c r="B11">
        <v>21.4</v>
      </c>
      <c r="C11">
        <v>49.8</v>
      </c>
    </row>
    <row r="12" spans="1:3">
      <c r="A12" s="190">
        <v>43034.402777777781</v>
      </c>
      <c r="B12">
        <v>21.4</v>
      </c>
      <c r="C12">
        <v>49.9</v>
      </c>
    </row>
    <row r="13" spans="1:3">
      <c r="A13" s="190">
        <v>43034.40625</v>
      </c>
      <c r="B13">
        <v>21.3</v>
      </c>
      <c r="C13">
        <v>50.1</v>
      </c>
    </row>
    <row r="14" spans="1:3">
      <c r="A14" s="190">
        <v>43034.409722222219</v>
      </c>
      <c r="B14">
        <v>21.3</v>
      </c>
      <c r="C14">
        <v>50</v>
      </c>
    </row>
    <row r="15" spans="1:3">
      <c r="A15" s="190">
        <v>43034.413194444445</v>
      </c>
      <c r="B15">
        <v>21.4</v>
      </c>
      <c r="C15">
        <v>49.8</v>
      </c>
    </row>
    <row r="16" spans="1:3">
      <c r="A16" s="190">
        <v>43034.416666666664</v>
      </c>
      <c r="B16">
        <v>21.4</v>
      </c>
      <c r="C16">
        <v>49.8</v>
      </c>
    </row>
    <row r="17" spans="1:6">
      <c r="A17" s="190">
        <v>43034.420138888891</v>
      </c>
      <c r="B17">
        <v>21.4</v>
      </c>
      <c r="C17">
        <v>49.8</v>
      </c>
    </row>
    <row r="18" spans="1:6">
      <c r="A18" s="190">
        <v>43034.423611111109</v>
      </c>
      <c r="B18">
        <v>21.4</v>
      </c>
      <c r="C18">
        <v>49.7</v>
      </c>
    </row>
    <row r="19" spans="1:6">
      <c r="A19" s="190">
        <v>43034.427083333336</v>
      </c>
      <c r="B19">
        <v>21.4</v>
      </c>
      <c r="C19">
        <v>49.7</v>
      </c>
    </row>
    <row r="20" spans="1:6">
      <c r="A20" s="190">
        <v>43034.430555555555</v>
      </c>
      <c r="B20">
        <v>21.4</v>
      </c>
      <c r="C20">
        <v>49.7</v>
      </c>
    </row>
    <row r="21" spans="1:6">
      <c r="A21" s="190">
        <v>43034.434027777781</v>
      </c>
      <c r="B21">
        <v>21.4</v>
      </c>
      <c r="C21">
        <v>49.8</v>
      </c>
    </row>
    <row r="22" spans="1:6">
      <c r="A22" s="190">
        <v>43034.4375</v>
      </c>
      <c r="B22">
        <v>21.4</v>
      </c>
      <c r="C22">
        <v>49.6</v>
      </c>
    </row>
    <row r="23" spans="1:6">
      <c r="A23" s="190">
        <v>43034.440972222219</v>
      </c>
      <c r="B23">
        <v>21.4</v>
      </c>
      <c r="C23">
        <v>49.6</v>
      </c>
    </row>
    <row r="24" spans="1:6">
      <c r="A24" s="422">
        <v>43034.444444444445</v>
      </c>
      <c r="B24" s="289">
        <v>21.3</v>
      </c>
      <c r="C24" s="289">
        <v>49.8</v>
      </c>
      <c r="D24" s="289"/>
      <c r="E24" s="289">
        <f>AVERAGE(B24:B39)</f>
        <v>21.312500000000004</v>
      </c>
      <c r="F24" s="289">
        <f>AVERAGE(C24:C39)</f>
        <v>50.106249999999996</v>
      </c>
    </row>
    <row r="25" spans="1:6">
      <c r="A25" s="422">
        <v>43034.447916666664</v>
      </c>
      <c r="B25" s="289">
        <v>21.4</v>
      </c>
      <c r="C25" s="289">
        <v>49.8</v>
      </c>
      <c r="D25" s="289"/>
      <c r="E25" s="289">
        <f>STDEV(B24:B39)</f>
        <v>3.4156502553197923E-2</v>
      </c>
      <c r="F25" s="289">
        <f>STDEV(C24:C39)</f>
        <v>0.16520189667999216</v>
      </c>
    </row>
    <row r="26" spans="1:6">
      <c r="A26" s="422">
        <v>43034.451388888891</v>
      </c>
      <c r="B26" s="289">
        <v>21.3</v>
      </c>
      <c r="C26" s="289">
        <v>50.1</v>
      </c>
      <c r="D26" s="289"/>
      <c r="E26" s="289"/>
      <c r="F26" s="289"/>
    </row>
    <row r="27" spans="1:6">
      <c r="A27" s="422">
        <v>43034.454861111109</v>
      </c>
      <c r="B27" s="289">
        <v>21.3</v>
      </c>
      <c r="C27" s="289">
        <v>50.1</v>
      </c>
      <c r="D27" s="289"/>
      <c r="E27" s="289"/>
      <c r="F27" s="289"/>
    </row>
    <row r="28" spans="1:6">
      <c r="A28" s="422">
        <v>43034.458333333336</v>
      </c>
      <c r="B28" s="289">
        <v>21.3</v>
      </c>
      <c r="C28" s="289">
        <v>50.1</v>
      </c>
      <c r="D28" s="289"/>
      <c r="E28" s="289"/>
      <c r="F28" s="289"/>
    </row>
    <row r="29" spans="1:6">
      <c r="A29" s="422">
        <v>43034.461805555555</v>
      </c>
      <c r="B29" s="289">
        <v>21.3</v>
      </c>
      <c r="C29" s="289">
        <v>50</v>
      </c>
      <c r="D29" s="289"/>
      <c r="E29" s="289"/>
      <c r="F29" s="289"/>
    </row>
    <row r="30" spans="1:6">
      <c r="A30" s="422">
        <v>43034.465277777781</v>
      </c>
      <c r="B30" s="289">
        <v>21.4</v>
      </c>
      <c r="C30" s="289">
        <v>50</v>
      </c>
      <c r="D30" s="289"/>
      <c r="E30" s="289"/>
      <c r="F30" s="289"/>
    </row>
    <row r="31" spans="1:6">
      <c r="A31" s="422">
        <v>43034.46875</v>
      </c>
      <c r="B31" s="289">
        <v>21.3</v>
      </c>
      <c r="C31" s="289">
        <v>50.1</v>
      </c>
      <c r="D31" s="289"/>
      <c r="E31" s="289"/>
      <c r="F31" s="289"/>
    </row>
    <row r="32" spans="1:6">
      <c r="A32" s="422">
        <v>43034.472222222219</v>
      </c>
      <c r="B32" s="289">
        <v>21.3</v>
      </c>
      <c r="C32" s="289">
        <v>50</v>
      </c>
      <c r="D32" s="289"/>
      <c r="E32" s="289"/>
      <c r="F32" s="289"/>
    </row>
    <row r="33" spans="1:6">
      <c r="A33" s="422">
        <v>43034.475694444445</v>
      </c>
      <c r="B33" s="289">
        <v>21.3</v>
      </c>
      <c r="C33" s="289">
        <v>50.2</v>
      </c>
      <c r="D33" s="289"/>
      <c r="E33" s="289"/>
      <c r="F33" s="289"/>
    </row>
    <row r="34" spans="1:6">
      <c r="A34" s="422">
        <v>43034.479166666664</v>
      </c>
      <c r="B34" s="289">
        <v>21.3</v>
      </c>
      <c r="C34" s="289">
        <v>50.2</v>
      </c>
      <c r="D34" s="289"/>
      <c r="E34" s="289"/>
      <c r="F34" s="289"/>
    </row>
    <row r="35" spans="1:6">
      <c r="A35" s="422">
        <v>43034.482638888891</v>
      </c>
      <c r="B35" s="289">
        <v>21.3</v>
      </c>
      <c r="C35" s="289">
        <v>50.1</v>
      </c>
      <c r="D35" s="289"/>
      <c r="E35" s="289"/>
      <c r="F35" s="289"/>
    </row>
    <row r="36" spans="1:6">
      <c r="A36" s="422">
        <v>43034.486111111109</v>
      </c>
      <c r="B36" s="289">
        <v>21.3</v>
      </c>
      <c r="C36" s="289">
        <v>50.3</v>
      </c>
      <c r="D36" s="289"/>
      <c r="E36" s="289"/>
      <c r="F36" s="289"/>
    </row>
    <row r="37" spans="1:6">
      <c r="A37" s="422">
        <v>43034.489583333336</v>
      </c>
      <c r="B37" s="289">
        <v>21.3</v>
      </c>
      <c r="C37" s="289">
        <v>50.3</v>
      </c>
      <c r="D37" s="289"/>
      <c r="E37" s="289"/>
      <c r="F37" s="289"/>
    </row>
    <row r="38" spans="1:6">
      <c r="A38" s="422">
        <v>43034.493055555555</v>
      </c>
      <c r="B38" s="289">
        <v>21.3</v>
      </c>
      <c r="C38" s="289">
        <v>50.2</v>
      </c>
      <c r="D38" s="289"/>
      <c r="E38" s="289"/>
      <c r="F38" s="289"/>
    </row>
    <row r="39" spans="1:6">
      <c r="A39" s="422">
        <v>43034.496527777781</v>
      </c>
      <c r="B39" s="289">
        <v>21.3</v>
      </c>
      <c r="C39" s="289">
        <v>50.4</v>
      </c>
      <c r="D39" s="289"/>
      <c r="E39" s="289"/>
      <c r="F39" s="289"/>
    </row>
    <row r="40" spans="1:6">
      <c r="A40" s="190">
        <v>43034.5</v>
      </c>
      <c r="B40">
        <v>21.3</v>
      </c>
      <c r="C40">
        <v>50.3</v>
      </c>
    </row>
    <row r="41" spans="1:6">
      <c r="A41" s="190">
        <v>43034.503472222219</v>
      </c>
      <c r="B41">
        <v>21.3</v>
      </c>
      <c r="C41">
        <v>50.1</v>
      </c>
    </row>
    <row r="42" spans="1:6">
      <c r="A42" s="190">
        <v>43034.506944444445</v>
      </c>
      <c r="B42">
        <v>21.3</v>
      </c>
      <c r="C42">
        <v>49.9</v>
      </c>
    </row>
    <row r="43" spans="1:6">
      <c r="A43" s="190">
        <v>43034.510416666664</v>
      </c>
      <c r="B43">
        <v>21.3</v>
      </c>
      <c r="C43">
        <v>49.9</v>
      </c>
    </row>
    <row r="44" spans="1:6">
      <c r="A44" s="190">
        <v>43034.513888888891</v>
      </c>
      <c r="B44">
        <v>21.3</v>
      </c>
      <c r="C44">
        <v>49.8</v>
      </c>
    </row>
    <row r="45" spans="1:6">
      <c r="A45" s="190">
        <v>43034.517361111109</v>
      </c>
      <c r="B45">
        <v>21.4</v>
      </c>
      <c r="C45">
        <v>49.8</v>
      </c>
    </row>
    <row r="46" spans="1:6">
      <c r="A46" s="190">
        <v>43034.520833333336</v>
      </c>
      <c r="B46">
        <v>21.3</v>
      </c>
      <c r="C46">
        <v>49.8</v>
      </c>
    </row>
    <row r="47" spans="1:6">
      <c r="A47" s="190">
        <v>43034.524305555555</v>
      </c>
      <c r="B47">
        <v>21.3</v>
      </c>
      <c r="C47">
        <v>49.8</v>
      </c>
    </row>
    <row r="48" spans="1:6">
      <c r="A48" s="190">
        <v>43034.527777777781</v>
      </c>
      <c r="B48">
        <v>21.3</v>
      </c>
      <c r="C48">
        <v>49.8</v>
      </c>
    </row>
    <row r="49" spans="1:3">
      <c r="A49" s="190">
        <v>43034.53125</v>
      </c>
      <c r="B49">
        <v>21.4</v>
      </c>
      <c r="C49">
        <v>49.7</v>
      </c>
    </row>
    <row r="50" spans="1:3">
      <c r="A50" s="190">
        <v>43034.534722222219</v>
      </c>
      <c r="B50">
        <v>21.4</v>
      </c>
      <c r="C50">
        <v>49.7</v>
      </c>
    </row>
    <row r="51" spans="1:3">
      <c r="A51" s="190">
        <v>43034.538194444445</v>
      </c>
      <c r="B51">
        <v>21.3</v>
      </c>
      <c r="C51">
        <v>49.8</v>
      </c>
    </row>
    <row r="52" spans="1:3">
      <c r="A52" s="190">
        <v>43034.541666666664</v>
      </c>
      <c r="B52">
        <v>21.3</v>
      </c>
      <c r="C52">
        <v>49.7</v>
      </c>
    </row>
    <row r="53" spans="1:3">
      <c r="A53" s="190">
        <v>43034.545138888891</v>
      </c>
      <c r="B53">
        <v>21.3</v>
      </c>
      <c r="C53">
        <v>49.7</v>
      </c>
    </row>
    <row r="54" spans="1:3">
      <c r="A54" s="190">
        <v>43034.548611111109</v>
      </c>
      <c r="B54">
        <v>21.3</v>
      </c>
      <c r="C54">
        <v>49.9</v>
      </c>
    </row>
    <row r="55" spans="1:3">
      <c r="A55" s="190">
        <v>43034.552083333336</v>
      </c>
      <c r="B55">
        <v>21.3</v>
      </c>
      <c r="C55">
        <v>49.8</v>
      </c>
    </row>
    <row r="56" spans="1:3">
      <c r="A56" s="190">
        <v>43034.555555555555</v>
      </c>
      <c r="B56">
        <v>21.3</v>
      </c>
      <c r="C56">
        <v>49.9</v>
      </c>
    </row>
    <row r="57" spans="1:3">
      <c r="A57" s="190">
        <v>43034.559027777781</v>
      </c>
      <c r="B57">
        <v>21.3</v>
      </c>
      <c r="C57">
        <v>50.1</v>
      </c>
    </row>
    <row r="58" spans="1:3">
      <c r="A58" s="190">
        <v>43034.5625</v>
      </c>
      <c r="B58">
        <v>21.3</v>
      </c>
      <c r="C58">
        <v>50.1</v>
      </c>
    </row>
    <row r="59" spans="1:3">
      <c r="A59" s="190">
        <v>43034.565972222219</v>
      </c>
      <c r="B59">
        <v>21.3</v>
      </c>
      <c r="C59">
        <v>50.2</v>
      </c>
    </row>
    <row r="60" spans="1:3">
      <c r="A60" s="190">
        <v>43034.569444444445</v>
      </c>
      <c r="B60">
        <v>21.4</v>
      </c>
      <c r="C60">
        <v>50</v>
      </c>
    </row>
    <row r="61" spans="1:3">
      <c r="A61" s="190">
        <v>43034.572916666664</v>
      </c>
      <c r="B61">
        <v>21.4</v>
      </c>
      <c r="C61">
        <v>49.9</v>
      </c>
    </row>
    <row r="62" spans="1:3">
      <c r="A62" s="190">
        <v>43034.576388888891</v>
      </c>
      <c r="B62">
        <v>21.4</v>
      </c>
      <c r="C62">
        <v>50</v>
      </c>
    </row>
    <row r="63" spans="1:3">
      <c r="A63" s="190">
        <v>43034.579861111109</v>
      </c>
      <c r="B63">
        <v>21.3</v>
      </c>
      <c r="C63">
        <v>50.1</v>
      </c>
    </row>
    <row r="64" spans="1:3">
      <c r="A64" s="190">
        <v>43034.583333333336</v>
      </c>
      <c r="B64">
        <v>21.4</v>
      </c>
      <c r="C64">
        <v>50.2</v>
      </c>
    </row>
    <row r="65" spans="1:3">
      <c r="A65" s="190">
        <v>43034.586805555555</v>
      </c>
      <c r="B65">
        <v>21.4</v>
      </c>
      <c r="C65">
        <v>50</v>
      </c>
    </row>
    <row r="66" spans="1:3">
      <c r="A66" s="190">
        <v>43034.590277777781</v>
      </c>
      <c r="B66">
        <v>21.4</v>
      </c>
      <c r="C66">
        <v>49.8</v>
      </c>
    </row>
    <row r="67" spans="1:3">
      <c r="A67" s="190">
        <v>43034.59375</v>
      </c>
      <c r="B67">
        <v>21.4</v>
      </c>
      <c r="C67">
        <v>49.7</v>
      </c>
    </row>
    <row r="68" spans="1:3">
      <c r="A68" s="190">
        <v>43034.597222222219</v>
      </c>
      <c r="B68">
        <v>21.4</v>
      </c>
      <c r="C68">
        <v>49.6</v>
      </c>
    </row>
    <row r="69" spans="1:3">
      <c r="A69" s="190">
        <v>43034.600694444445</v>
      </c>
      <c r="B69">
        <v>21.3</v>
      </c>
      <c r="C69">
        <v>49.6</v>
      </c>
    </row>
    <row r="70" spans="1:3">
      <c r="A70" s="190">
        <v>43034.604166666664</v>
      </c>
      <c r="B70">
        <v>21.4</v>
      </c>
      <c r="C70">
        <v>49.5</v>
      </c>
    </row>
    <row r="71" spans="1:3">
      <c r="A71" s="190">
        <v>43034.607638888891</v>
      </c>
      <c r="B71">
        <v>21.3</v>
      </c>
      <c r="C71">
        <v>49.5</v>
      </c>
    </row>
    <row r="72" spans="1:3">
      <c r="A72" s="190">
        <v>43034.611111111109</v>
      </c>
      <c r="B72">
        <v>21.3</v>
      </c>
      <c r="C72">
        <v>49.6</v>
      </c>
    </row>
    <row r="73" spans="1:3">
      <c r="A73" s="190">
        <v>43034.614583333336</v>
      </c>
      <c r="B73">
        <v>21.3</v>
      </c>
      <c r="C73">
        <v>49.7</v>
      </c>
    </row>
    <row r="74" spans="1:3">
      <c r="A74" s="190">
        <v>43034.618055555555</v>
      </c>
      <c r="B74">
        <v>21.4</v>
      </c>
      <c r="C74">
        <v>49.7</v>
      </c>
    </row>
    <row r="75" spans="1:3">
      <c r="A75" s="190">
        <v>43034.621527777781</v>
      </c>
      <c r="B75">
        <v>21.4</v>
      </c>
      <c r="C75">
        <v>49.7</v>
      </c>
    </row>
    <row r="76" spans="1:3">
      <c r="A76" s="190">
        <v>43034.625</v>
      </c>
      <c r="B76">
        <v>21.3</v>
      </c>
      <c r="C76">
        <v>49.7</v>
      </c>
    </row>
    <row r="77" spans="1:3">
      <c r="A77" s="190">
        <v>43034.628472222219</v>
      </c>
      <c r="B77">
        <v>21.3</v>
      </c>
      <c r="C77">
        <v>49.7</v>
      </c>
    </row>
    <row r="78" spans="1:3">
      <c r="A78" s="190">
        <v>43034.631944444445</v>
      </c>
      <c r="B78">
        <v>21.3</v>
      </c>
      <c r="C78">
        <v>49.6</v>
      </c>
    </row>
    <row r="79" spans="1:3">
      <c r="A79" s="190">
        <v>43034.635416666664</v>
      </c>
      <c r="B79">
        <v>21.3</v>
      </c>
      <c r="C79">
        <v>49.6</v>
      </c>
    </row>
    <row r="80" spans="1:3">
      <c r="A80" s="190">
        <v>43034.638888888891</v>
      </c>
      <c r="B80">
        <v>21.3</v>
      </c>
      <c r="C80">
        <v>49.7</v>
      </c>
    </row>
    <row r="81" spans="1:3">
      <c r="A81" s="190">
        <v>43034.642361111109</v>
      </c>
      <c r="B81">
        <v>21.3</v>
      </c>
      <c r="C81">
        <v>49.6</v>
      </c>
    </row>
    <row r="82" spans="1:3">
      <c r="A82" s="190">
        <v>43034.645833333336</v>
      </c>
      <c r="B82">
        <v>21.3</v>
      </c>
      <c r="C82">
        <v>49.6</v>
      </c>
    </row>
    <row r="83" spans="1:3">
      <c r="A83" s="190">
        <v>43034.649305555555</v>
      </c>
      <c r="B83">
        <v>21.2</v>
      </c>
      <c r="C83">
        <v>49.8</v>
      </c>
    </row>
    <row r="84" spans="1:3">
      <c r="A84" s="190">
        <v>43034.652777777781</v>
      </c>
      <c r="B84">
        <v>21.2</v>
      </c>
      <c r="C84">
        <v>49.8</v>
      </c>
    </row>
    <row r="85" spans="1:3">
      <c r="A85" s="190">
        <v>43034.65625</v>
      </c>
      <c r="B85">
        <v>21.3</v>
      </c>
      <c r="C85">
        <v>49.7</v>
      </c>
    </row>
    <row r="86" spans="1:3">
      <c r="A86" s="190">
        <v>43034.659722222219</v>
      </c>
      <c r="B86">
        <v>21.3</v>
      </c>
      <c r="C86">
        <v>49.6</v>
      </c>
    </row>
    <row r="87" spans="1:3">
      <c r="A87" s="190">
        <v>43034.663194444445</v>
      </c>
      <c r="B87">
        <v>21.3</v>
      </c>
      <c r="C87">
        <v>49.6</v>
      </c>
    </row>
    <row r="88" spans="1:3">
      <c r="A88" s="190">
        <v>43034.666666666664</v>
      </c>
      <c r="B88">
        <v>21.3</v>
      </c>
      <c r="C88">
        <v>49.8</v>
      </c>
    </row>
    <row r="89" spans="1:3">
      <c r="A89" s="190">
        <v>43034.670138888891</v>
      </c>
      <c r="B89">
        <v>21.3</v>
      </c>
      <c r="C89">
        <v>49.8</v>
      </c>
    </row>
    <row r="90" spans="1:3">
      <c r="A90" s="190">
        <v>43034.673611111109</v>
      </c>
      <c r="B90">
        <v>21.3</v>
      </c>
      <c r="C90">
        <v>49.6</v>
      </c>
    </row>
    <row r="91" spans="1:3">
      <c r="A91" s="190">
        <v>43034.677083333336</v>
      </c>
      <c r="B91">
        <v>21.3</v>
      </c>
      <c r="C91">
        <v>49.6</v>
      </c>
    </row>
    <row r="92" spans="1:3">
      <c r="A92" s="190">
        <v>43034.680555555555</v>
      </c>
      <c r="B92">
        <v>21.3</v>
      </c>
      <c r="C92">
        <v>49.7</v>
      </c>
    </row>
    <row r="93" spans="1:3">
      <c r="A93" s="190">
        <v>43034.684027777781</v>
      </c>
      <c r="B93">
        <v>21.3</v>
      </c>
      <c r="C93">
        <v>49.6</v>
      </c>
    </row>
    <row r="94" spans="1:3">
      <c r="A94" s="190">
        <v>43034.6875</v>
      </c>
      <c r="B94">
        <v>21.3</v>
      </c>
      <c r="C94">
        <v>49.6</v>
      </c>
    </row>
    <row r="95" spans="1:3">
      <c r="A95" s="190">
        <v>43034.690972222219</v>
      </c>
      <c r="B95">
        <v>21.3</v>
      </c>
      <c r="C95">
        <v>49.4</v>
      </c>
    </row>
    <row r="96" spans="1:3">
      <c r="A96" s="190">
        <v>43034.694444444445</v>
      </c>
      <c r="B96">
        <v>21.3</v>
      </c>
      <c r="C96">
        <v>49.5</v>
      </c>
    </row>
    <row r="97" spans="1:3">
      <c r="A97" s="190">
        <v>43034.697916666664</v>
      </c>
      <c r="B97">
        <v>21.3</v>
      </c>
      <c r="C97">
        <v>49.4</v>
      </c>
    </row>
    <row r="98" spans="1:3">
      <c r="A98" s="190">
        <v>43034.701388888891</v>
      </c>
      <c r="B98">
        <v>21.3</v>
      </c>
      <c r="C98">
        <v>49.5</v>
      </c>
    </row>
    <row r="99" spans="1:3">
      <c r="A99" s="190">
        <v>43034.704861111109</v>
      </c>
      <c r="B99">
        <v>21.3</v>
      </c>
      <c r="C99">
        <v>49.4</v>
      </c>
    </row>
    <row r="100" spans="1:3">
      <c r="A100" s="190">
        <v>43034.708333333336</v>
      </c>
      <c r="B100">
        <v>21.3</v>
      </c>
      <c r="C100">
        <v>49.4</v>
      </c>
    </row>
    <row r="101" spans="1:3">
      <c r="A101" s="190">
        <v>43034.711805555555</v>
      </c>
      <c r="B101">
        <v>21.3</v>
      </c>
      <c r="C101">
        <v>49.5</v>
      </c>
    </row>
    <row r="102" spans="1:3">
      <c r="A102" s="190">
        <v>43034.715277777781</v>
      </c>
      <c r="B102">
        <v>21.3</v>
      </c>
      <c r="C102">
        <v>49.5</v>
      </c>
    </row>
    <row r="103" spans="1:3">
      <c r="A103" s="190">
        <v>43034.71875</v>
      </c>
      <c r="B103">
        <v>21.3</v>
      </c>
      <c r="C103">
        <v>49.5</v>
      </c>
    </row>
    <row r="104" spans="1:3">
      <c r="A104" s="190">
        <v>43034.722222222219</v>
      </c>
      <c r="B104">
        <v>21.3</v>
      </c>
      <c r="C104">
        <v>49.3</v>
      </c>
    </row>
    <row r="105" spans="1:3">
      <c r="A105" s="190">
        <v>43034.725694444445</v>
      </c>
      <c r="B105">
        <v>21.3</v>
      </c>
      <c r="C105">
        <v>49.3</v>
      </c>
    </row>
    <row r="106" spans="1:3">
      <c r="A106" s="190">
        <v>43034.729166666664</v>
      </c>
      <c r="B106">
        <v>21.2</v>
      </c>
      <c r="C106">
        <v>49.4</v>
      </c>
    </row>
    <row r="107" spans="1:3">
      <c r="A107" s="190">
        <v>43034.732638888891</v>
      </c>
      <c r="B107">
        <v>21.3</v>
      </c>
      <c r="C107">
        <v>49.4</v>
      </c>
    </row>
    <row r="108" spans="1:3">
      <c r="A108" s="190">
        <v>43034.736111111109</v>
      </c>
      <c r="B108">
        <v>21.3</v>
      </c>
      <c r="C108">
        <v>49.4</v>
      </c>
    </row>
    <row r="109" spans="1:3">
      <c r="A109" s="190">
        <v>43034.739583333336</v>
      </c>
      <c r="B109">
        <v>21.3</v>
      </c>
      <c r="C109">
        <v>49.3</v>
      </c>
    </row>
    <row r="110" spans="1:3">
      <c r="A110" s="190">
        <v>43034.743055555555</v>
      </c>
      <c r="B110">
        <v>21.3</v>
      </c>
      <c r="C110">
        <v>49.3</v>
      </c>
    </row>
    <row r="111" spans="1:3">
      <c r="A111" s="190">
        <v>43034.746527777781</v>
      </c>
      <c r="B111">
        <v>21.3</v>
      </c>
      <c r="C111">
        <v>49.2</v>
      </c>
    </row>
    <row r="112" spans="1:3">
      <c r="A112" s="190">
        <v>43034.75</v>
      </c>
      <c r="B112">
        <v>21.3</v>
      </c>
      <c r="C112">
        <v>49.2</v>
      </c>
    </row>
    <row r="113" spans="1:3">
      <c r="A113" s="190">
        <v>43034.753472222219</v>
      </c>
      <c r="B113">
        <v>21.3</v>
      </c>
      <c r="C113">
        <v>49.2</v>
      </c>
    </row>
    <row r="114" spans="1:3">
      <c r="A114" s="190">
        <v>43034.756944444445</v>
      </c>
      <c r="B114">
        <v>21.3</v>
      </c>
      <c r="C114">
        <v>49.3</v>
      </c>
    </row>
    <row r="115" spans="1:3">
      <c r="A115" s="190">
        <v>43034.760416666664</v>
      </c>
      <c r="B115">
        <v>21.3</v>
      </c>
      <c r="C115">
        <v>49.2</v>
      </c>
    </row>
    <row r="116" spans="1:3">
      <c r="A116" s="190">
        <v>43034.763888888891</v>
      </c>
      <c r="B116">
        <v>21.3</v>
      </c>
      <c r="C116">
        <v>49.2</v>
      </c>
    </row>
    <row r="117" spans="1:3">
      <c r="A117" s="190">
        <v>43034.767361111109</v>
      </c>
      <c r="B117">
        <v>21.3</v>
      </c>
      <c r="C117">
        <v>49.3</v>
      </c>
    </row>
    <row r="118" spans="1:3">
      <c r="A118" s="190">
        <v>43034.770833333336</v>
      </c>
      <c r="B118">
        <v>21.3</v>
      </c>
      <c r="C118">
        <v>49.4</v>
      </c>
    </row>
    <row r="119" spans="1:3">
      <c r="A119" s="190">
        <v>43034.774305555555</v>
      </c>
      <c r="B119">
        <v>21.3</v>
      </c>
      <c r="C119">
        <v>49.4</v>
      </c>
    </row>
    <row r="120" spans="1:3">
      <c r="A120" s="190">
        <v>43034.777777777781</v>
      </c>
      <c r="B120">
        <v>21.3</v>
      </c>
      <c r="C120">
        <v>49.5</v>
      </c>
    </row>
    <row r="121" spans="1:3">
      <c r="A121" s="190">
        <v>43034.78125</v>
      </c>
      <c r="B121">
        <v>21.2</v>
      </c>
      <c r="C121">
        <v>49.5</v>
      </c>
    </row>
    <row r="122" spans="1:3">
      <c r="A122" s="190">
        <v>43034.784722222219</v>
      </c>
      <c r="B122">
        <v>21.3</v>
      </c>
      <c r="C122">
        <v>49.5</v>
      </c>
    </row>
    <row r="123" spans="1:3">
      <c r="A123" s="190">
        <v>43034.788194444445</v>
      </c>
      <c r="B123">
        <v>21.3</v>
      </c>
      <c r="C123">
        <v>49.5</v>
      </c>
    </row>
    <row r="124" spans="1:3">
      <c r="A124" s="190">
        <v>43034.791666666664</v>
      </c>
      <c r="B124">
        <v>21.3</v>
      </c>
      <c r="C124">
        <v>49.6</v>
      </c>
    </row>
    <row r="125" spans="1:3">
      <c r="A125" s="190">
        <v>43034.795138888891</v>
      </c>
      <c r="B125">
        <v>21.3</v>
      </c>
      <c r="C125">
        <v>49.6</v>
      </c>
    </row>
    <row r="126" spans="1:3">
      <c r="A126" s="190">
        <v>43034.798611111109</v>
      </c>
      <c r="B126">
        <v>21.3</v>
      </c>
      <c r="C126">
        <v>49.6</v>
      </c>
    </row>
    <row r="127" spans="1:3">
      <c r="A127" s="190">
        <v>43034.802083333336</v>
      </c>
      <c r="B127">
        <v>21.3</v>
      </c>
      <c r="C127">
        <v>49.7</v>
      </c>
    </row>
    <row r="128" spans="1:3">
      <c r="A128" s="190">
        <v>43034.805555555555</v>
      </c>
      <c r="B128">
        <v>21.3</v>
      </c>
      <c r="C128">
        <v>49.8</v>
      </c>
    </row>
    <row r="129" spans="1:3">
      <c r="A129" s="190">
        <v>43034.809027777781</v>
      </c>
      <c r="B129">
        <v>21.3</v>
      </c>
      <c r="C129">
        <v>49.8</v>
      </c>
    </row>
    <row r="130" spans="1:3">
      <c r="A130" s="190">
        <v>43034.8125</v>
      </c>
      <c r="B130">
        <v>21.3</v>
      </c>
      <c r="C130">
        <v>49.8</v>
      </c>
    </row>
    <row r="131" spans="1:3">
      <c r="A131" s="190">
        <v>43034.815972222219</v>
      </c>
      <c r="B131">
        <v>21.3</v>
      </c>
      <c r="C131">
        <v>49.7</v>
      </c>
    </row>
    <row r="132" spans="1:3">
      <c r="A132" s="190">
        <v>43034.819444444445</v>
      </c>
      <c r="B132">
        <v>21.3</v>
      </c>
      <c r="C132">
        <v>49.7</v>
      </c>
    </row>
    <row r="133" spans="1:3">
      <c r="A133" s="190">
        <v>43034.822916666664</v>
      </c>
      <c r="B133">
        <v>21.3</v>
      </c>
      <c r="C133">
        <v>49.6</v>
      </c>
    </row>
    <row r="134" spans="1:3">
      <c r="A134" s="190">
        <v>43034.826388888891</v>
      </c>
      <c r="B134">
        <v>21.3</v>
      </c>
      <c r="C134">
        <v>49.8</v>
      </c>
    </row>
    <row r="135" spans="1:3">
      <c r="A135" s="190">
        <v>43034.829861111109</v>
      </c>
      <c r="B135">
        <v>21.3</v>
      </c>
      <c r="C135">
        <v>49.7</v>
      </c>
    </row>
    <row r="136" spans="1:3">
      <c r="A136" s="190">
        <v>43034.833333333336</v>
      </c>
      <c r="B136">
        <v>21.4</v>
      </c>
      <c r="C136">
        <v>49.6</v>
      </c>
    </row>
    <row r="137" spans="1:3">
      <c r="A137" s="190">
        <v>43034.836805555555</v>
      </c>
      <c r="B137">
        <v>21.4</v>
      </c>
      <c r="C137">
        <v>49.7</v>
      </c>
    </row>
    <row r="138" spans="1:3">
      <c r="A138" s="190">
        <v>43034.840277777781</v>
      </c>
      <c r="B138">
        <v>21.3</v>
      </c>
      <c r="C138">
        <v>49.8</v>
      </c>
    </row>
    <row r="139" spans="1:3">
      <c r="A139" s="190">
        <v>43034.84375</v>
      </c>
      <c r="B139">
        <v>21.4</v>
      </c>
      <c r="C139">
        <v>49.8</v>
      </c>
    </row>
    <row r="140" spans="1:3">
      <c r="A140" s="190">
        <v>43034.847222222219</v>
      </c>
      <c r="B140">
        <v>21.3</v>
      </c>
      <c r="C140">
        <v>49.9</v>
      </c>
    </row>
    <row r="141" spans="1:3">
      <c r="A141" s="190">
        <v>43034.850694444445</v>
      </c>
      <c r="B141">
        <v>21.4</v>
      </c>
      <c r="C141">
        <v>49.7</v>
      </c>
    </row>
    <row r="142" spans="1:3">
      <c r="A142" s="190">
        <v>43034.854166666664</v>
      </c>
      <c r="B142">
        <v>21.3</v>
      </c>
      <c r="C142">
        <v>49.9</v>
      </c>
    </row>
    <row r="143" spans="1:3">
      <c r="A143" s="190">
        <v>43034.857638888891</v>
      </c>
      <c r="B143">
        <v>21.4</v>
      </c>
      <c r="C143">
        <v>49.8</v>
      </c>
    </row>
    <row r="144" spans="1:3">
      <c r="A144" s="190">
        <v>43034.861111111109</v>
      </c>
      <c r="B144">
        <v>21.4</v>
      </c>
      <c r="C144">
        <v>49.8</v>
      </c>
    </row>
    <row r="145" spans="1:3">
      <c r="A145" s="190">
        <v>43034.864583333336</v>
      </c>
      <c r="B145">
        <v>21.3</v>
      </c>
      <c r="C145">
        <v>50</v>
      </c>
    </row>
    <row r="146" spans="1:3">
      <c r="A146" s="190">
        <v>43034.868055555555</v>
      </c>
      <c r="B146">
        <v>21.4</v>
      </c>
      <c r="C146">
        <v>49.7</v>
      </c>
    </row>
    <row r="147" spans="1:3">
      <c r="A147" s="190">
        <v>43034.871527777781</v>
      </c>
      <c r="B147">
        <v>21.3</v>
      </c>
      <c r="C147">
        <v>49.8</v>
      </c>
    </row>
    <row r="148" spans="1:3">
      <c r="A148" s="190">
        <v>43034.875</v>
      </c>
      <c r="B148">
        <v>21.3</v>
      </c>
      <c r="C148">
        <v>49.8</v>
      </c>
    </row>
    <row r="149" spans="1:3">
      <c r="A149" s="190">
        <v>43034.878472222219</v>
      </c>
      <c r="B149">
        <v>21.3</v>
      </c>
      <c r="C149">
        <v>49.8</v>
      </c>
    </row>
    <row r="150" spans="1:3">
      <c r="A150" s="190">
        <v>43034.881944444445</v>
      </c>
      <c r="B150">
        <v>21.3</v>
      </c>
      <c r="C150">
        <v>49.9</v>
      </c>
    </row>
    <row r="151" spans="1:3">
      <c r="A151" s="190">
        <v>43034.885416666664</v>
      </c>
      <c r="B151">
        <v>21.4</v>
      </c>
      <c r="C151">
        <v>49.7</v>
      </c>
    </row>
    <row r="152" spans="1:3">
      <c r="A152" s="190">
        <v>43034.888888888891</v>
      </c>
      <c r="B152">
        <v>21.3</v>
      </c>
      <c r="C152">
        <v>49.7</v>
      </c>
    </row>
    <row r="153" spans="1:3">
      <c r="A153" s="190">
        <v>43034.892361111109</v>
      </c>
      <c r="B153">
        <v>21.3</v>
      </c>
      <c r="C153">
        <v>49.7</v>
      </c>
    </row>
    <row r="154" spans="1:3">
      <c r="A154" s="190">
        <v>43034.895833333336</v>
      </c>
      <c r="B154">
        <v>21.3</v>
      </c>
      <c r="C154">
        <v>49.7</v>
      </c>
    </row>
    <row r="155" spans="1:3">
      <c r="A155" s="190">
        <v>43034.899305555555</v>
      </c>
      <c r="B155">
        <v>21.3</v>
      </c>
      <c r="C155">
        <v>49.7</v>
      </c>
    </row>
    <row r="156" spans="1:3">
      <c r="A156" s="190">
        <v>43034.902777777781</v>
      </c>
      <c r="B156">
        <v>21.4</v>
      </c>
      <c r="C156">
        <v>49.7</v>
      </c>
    </row>
    <row r="157" spans="1:3">
      <c r="A157" s="190">
        <v>43034.90625</v>
      </c>
      <c r="B157">
        <v>21.3</v>
      </c>
      <c r="C157">
        <v>49.7</v>
      </c>
    </row>
    <row r="158" spans="1:3">
      <c r="A158" s="190">
        <v>43034.909722222219</v>
      </c>
      <c r="B158">
        <v>21.4</v>
      </c>
      <c r="C158">
        <v>49.7</v>
      </c>
    </row>
    <row r="159" spans="1:3">
      <c r="A159" s="190">
        <v>43034.913194444445</v>
      </c>
      <c r="B159">
        <v>21.4</v>
      </c>
      <c r="C159">
        <v>49.6</v>
      </c>
    </row>
    <row r="160" spans="1:3">
      <c r="A160" s="190">
        <v>43034.916666666664</v>
      </c>
      <c r="B160">
        <v>21.4</v>
      </c>
      <c r="C160">
        <v>49.7</v>
      </c>
    </row>
    <row r="161" spans="1:3">
      <c r="A161" s="190">
        <v>43034.920138888891</v>
      </c>
      <c r="B161">
        <v>21.4</v>
      </c>
      <c r="C161">
        <v>49.7</v>
      </c>
    </row>
    <row r="162" spans="1:3">
      <c r="A162" s="190">
        <v>43034.923611111109</v>
      </c>
      <c r="B162">
        <v>21.4</v>
      </c>
      <c r="C162">
        <v>49.7</v>
      </c>
    </row>
    <row r="163" spans="1:3">
      <c r="A163" s="190">
        <v>43034.927083333336</v>
      </c>
      <c r="B163">
        <v>21.3</v>
      </c>
      <c r="C163">
        <v>49.7</v>
      </c>
    </row>
    <row r="164" spans="1:3">
      <c r="A164" s="190">
        <v>43034.930555555555</v>
      </c>
      <c r="B164">
        <v>21.3</v>
      </c>
      <c r="C164">
        <v>49.7</v>
      </c>
    </row>
    <row r="165" spans="1:3">
      <c r="A165" s="190">
        <v>43034.934027777781</v>
      </c>
      <c r="B165">
        <v>21.4</v>
      </c>
      <c r="C165">
        <v>49.6</v>
      </c>
    </row>
    <row r="166" spans="1:3">
      <c r="A166" s="190">
        <v>43034.9375</v>
      </c>
      <c r="B166">
        <v>21.3</v>
      </c>
      <c r="C166">
        <v>49.7</v>
      </c>
    </row>
    <row r="167" spans="1:3">
      <c r="A167" s="190">
        <v>43034.940972222219</v>
      </c>
      <c r="B167">
        <v>21.4</v>
      </c>
      <c r="C167">
        <v>49.5</v>
      </c>
    </row>
    <row r="168" spans="1:3">
      <c r="A168" s="190">
        <v>43034.944444444445</v>
      </c>
      <c r="B168">
        <v>21.4</v>
      </c>
      <c r="C168">
        <v>49.5</v>
      </c>
    </row>
    <row r="169" spans="1:3">
      <c r="A169" s="190">
        <v>43034.947916666664</v>
      </c>
      <c r="B169">
        <v>21.4</v>
      </c>
      <c r="C169">
        <v>49.4</v>
      </c>
    </row>
    <row r="170" spans="1:3">
      <c r="A170" s="190">
        <v>43034.951388888891</v>
      </c>
      <c r="B170">
        <v>21.4</v>
      </c>
      <c r="C170">
        <v>49.4</v>
      </c>
    </row>
    <row r="171" spans="1:3">
      <c r="A171" s="190">
        <v>43034.954861111109</v>
      </c>
      <c r="B171">
        <v>21.3</v>
      </c>
      <c r="C171">
        <v>49.4</v>
      </c>
    </row>
    <row r="172" spans="1:3">
      <c r="A172" s="190">
        <v>43034.958333333336</v>
      </c>
      <c r="B172">
        <v>21.3</v>
      </c>
      <c r="C172">
        <v>49.4</v>
      </c>
    </row>
    <row r="173" spans="1:3">
      <c r="A173" s="190">
        <v>43034.961805555555</v>
      </c>
      <c r="B173">
        <v>21.3</v>
      </c>
      <c r="C173">
        <v>49.4</v>
      </c>
    </row>
    <row r="174" spans="1:3">
      <c r="A174" s="190">
        <v>43034.965277777781</v>
      </c>
      <c r="B174">
        <v>21.4</v>
      </c>
      <c r="C174">
        <v>49.3</v>
      </c>
    </row>
    <row r="175" spans="1:3">
      <c r="A175" s="190">
        <v>43034.96875</v>
      </c>
      <c r="B175">
        <v>21.4</v>
      </c>
      <c r="C175">
        <v>49.4</v>
      </c>
    </row>
    <row r="176" spans="1:3">
      <c r="A176" s="190">
        <v>43034.972222222219</v>
      </c>
      <c r="B176">
        <v>21.3</v>
      </c>
      <c r="C176">
        <v>49.5</v>
      </c>
    </row>
    <row r="177" spans="1:3">
      <c r="A177" s="190">
        <v>43034.975694444445</v>
      </c>
      <c r="B177">
        <v>21.3</v>
      </c>
      <c r="C177">
        <v>49.5</v>
      </c>
    </row>
    <row r="178" spans="1:3">
      <c r="A178" s="190">
        <v>43034.979166666664</v>
      </c>
      <c r="B178">
        <v>21.4</v>
      </c>
      <c r="C178">
        <v>49.3</v>
      </c>
    </row>
    <row r="179" spans="1:3">
      <c r="A179" s="190">
        <v>43034.982638888891</v>
      </c>
      <c r="B179">
        <v>21.3</v>
      </c>
      <c r="C179">
        <v>49.5</v>
      </c>
    </row>
    <row r="180" spans="1:3">
      <c r="A180" s="190">
        <v>43034.986111111109</v>
      </c>
      <c r="B180">
        <v>21.4</v>
      </c>
      <c r="C180">
        <v>49.4</v>
      </c>
    </row>
    <row r="181" spans="1:3">
      <c r="A181" s="190">
        <v>43034.989583333336</v>
      </c>
      <c r="B181">
        <v>21.3</v>
      </c>
      <c r="C181">
        <v>49.5</v>
      </c>
    </row>
    <row r="182" spans="1:3">
      <c r="A182" s="190">
        <v>43034.993055555555</v>
      </c>
      <c r="B182">
        <v>21.4</v>
      </c>
      <c r="C182">
        <v>49.3</v>
      </c>
    </row>
    <row r="183" spans="1:3">
      <c r="A183" s="190">
        <v>43034.996527777781</v>
      </c>
      <c r="B183">
        <v>21.3</v>
      </c>
      <c r="C183">
        <v>49.4</v>
      </c>
    </row>
    <row r="184" spans="1:3">
      <c r="A184" s="190">
        <v>43035</v>
      </c>
      <c r="B184">
        <v>21.4</v>
      </c>
      <c r="C184">
        <v>49.3</v>
      </c>
    </row>
    <row r="185" spans="1:3">
      <c r="A185" s="190">
        <v>43035.003472222219</v>
      </c>
      <c r="B185">
        <v>21.4</v>
      </c>
      <c r="C185">
        <v>49.3</v>
      </c>
    </row>
    <row r="186" spans="1:3">
      <c r="A186" s="190">
        <v>43035.006944444445</v>
      </c>
      <c r="B186">
        <v>21.4</v>
      </c>
      <c r="C186">
        <v>49.2</v>
      </c>
    </row>
    <row r="187" spans="1:3">
      <c r="A187" s="190">
        <v>43035.010416666664</v>
      </c>
      <c r="B187">
        <v>21.4</v>
      </c>
      <c r="C187">
        <v>49.2</v>
      </c>
    </row>
    <row r="188" spans="1:3">
      <c r="A188" s="190">
        <v>43035.013888888891</v>
      </c>
      <c r="B188">
        <v>21.4</v>
      </c>
      <c r="C188">
        <v>49.2</v>
      </c>
    </row>
    <row r="189" spans="1:3">
      <c r="A189" s="190">
        <v>43035.017361111109</v>
      </c>
      <c r="B189">
        <v>21.4</v>
      </c>
      <c r="C189">
        <v>49.2</v>
      </c>
    </row>
    <row r="190" spans="1:3">
      <c r="A190" s="190">
        <v>43035.020833333336</v>
      </c>
      <c r="B190">
        <v>21.4</v>
      </c>
      <c r="C190">
        <v>49.3</v>
      </c>
    </row>
    <row r="191" spans="1:3">
      <c r="A191" s="190">
        <v>43035.024305555555</v>
      </c>
      <c r="B191">
        <v>21.4</v>
      </c>
      <c r="C191">
        <v>49.3</v>
      </c>
    </row>
    <row r="192" spans="1:3">
      <c r="A192" s="190">
        <v>43035.027777777781</v>
      </c>
      <c r="B192">
        <v>21.4</v>
      </c>
      <c r="C192">
        <v>49.2</v>
      </c>
    </row>
    <row r="193" spans="1:3">
      <c r="A193" s="190">
        <v>43035.03125</v>
      </c>
      <c r="B193">
        <v>21.3</v>
      </c>
      <c r="C193">
        <v>49.4</v>
      </c>
    </row>
    <row r="194" spans="1:3">
      <c r="A194" s="190">
        <v>43035.034722222219</v>
      </c>
      <c r="B194">
        <v>21.4</v>
      </c>
      <c r="C194">
        <v>49.4</v>
      </c>
    </row>
    <row r="195" spans="1:3">
      <c r="A195" s="190">
        <v>43035.038194444445</v>
      </c>
      <c r="B195">
        <v>21.4</v>
      </c>
      <c r="C195">
        <v>49.4</v>
      </c>
    </row>
    <row r="196" spans="1:3">
      <c r="A196" s="190">
        <v>43035.041666666664</v>
      </c>
      <c r="B196">
        <v>21.4</v>
      </c>
      <c r="C196">
        <v>49.2</v>
      </c>
    </row>
    <row r="197" spans="1:3">
      <c r="A197" s="190">
        <v>43035.045138888891</v>
      </c>
      <c r="B197">
        <v>21.4</v>
      </c>
      <c r="C197">
        <v>49.2</v>
      </c>
    </row>
    <row r="198" spans="1:3">
      <c r="A198" s="190">
        <v>43035.048611111109</v>
      </c>
      <c r="B198">
        <v>21.4</v>
      </c>
      <c r="C198">
        <v>49.2</v>
      </c>
    </row>
    <row r="199" spans="1:3">
      <c r="A199" s="190">
        <v>43035.052083333336</v>
      </c>
      <c r="B199">
        <v>21.4</v>
      </c>
      <c r="C199">
        <v>49.2</v>
      </c>
    </row>
    <row r="200" spans="1:3">
      <c r="A200" s="190">
        <v>43035.055555555555</v>
      </c>
      <c r="B200">
        <v>21.4</v>
      </c>
      <c r="C200">
        <v>49.2</v>
      </c>
    </row>
    <row r="201" spans="1:3">
      <c r="A201" s="190">
        <v>43035.059027777781</v>
      </c>
      <c r="B201">
        <v>21.4</v>
      </c>
      <c r="C201">
        <v>49.2</v>
      </c>
    </row>
    <row r="202" spans="1:3">
      <c r="A202" s="190">
        <v>43035.0625</v>
      </c>
      <c r="B202">
        <v>21.4</v>
      </c>
      <c r="C202">
        <v>49.2</v>
      </c>
    </row>
    <row r="203" spans="1:3">
      <c r="A203" s="190">
        <v>43035.065972222219</v>
      </c>
      <c r="B203">
        <v>21.3</v>
      </c>
      <c r="C203">
        <v>49.3</v>
      </c>
    </row>
    <row r="204" spans="1:3">
      <c r="A204" s="190">
        <v>43035.069444444445</v>
      </c>
      <c r="B204">
        <v>21.3</v>
      </c>
      <c r="C204">
        <v>49.3</v>
      </c>
    </row>
    <row r="205" spans="1:3">
      <c r="A205" s="190">
        <v>43035.072916666664</v>
      </c>
      <c r="B205">
        <v>21.4</v>
      </c>
      <c r="C205">
        <v>49.1</v>
      </c>
    </row>
    <row r="206" spans="1:3">
      <c r="A206" s="190">
        <v>43035.076388888891</v>
      </c>
      <c r="B206">
        <v>21.3</v>
      </c>
      <c r="C206">
        <v>49.2</v>
      </c>
    </row>
    <row r="207" spans="1:3">
      <c r="A207" s="190">
        <v>43035.079861111109</v>
      </c>
      <c r="B207">
        <v>21.4</v>
      </c>
      <c r="C207">
        <v>49.1</v>
      </c>
    </row>
    <row r="208" spans="1:3">
      <c r="A208" s="190">
        <v>43035.083333333336</v>
      </c>
      <c r="B208">
        <v>21.4</v>
      </c>
      <c r="C208">
        <v>49.2</v>
      </c>
    </row>
    <row r="209" spans="1:3">
      <c r="A209" s="190">
        <v>43035.086805555555</v>
      </c>
      <c r="B209">
        <v>21.4</v>
      </c>
      <c r="C209">
        <v>49.1</v>
      </c>
    </row>
    <row r="210" spans="1:3">
      <c r="A210" s="190">
        <v>43035.090277777781</v>
      </c>
      <c r="B210">
        <v>21.4</v>
      </c>
      <c r="C210">
        <v>49.1</v>
      </c>
    </row>
    <row r="211" spans="1:3">
      <c r="A211" s="190">
        <v>43035.09375</v>
      </c>
      <c r="B211">
        <v>21.4</v>
      </c>
      <c r="C211">
        <v>49.2</v>
      </c>
    </row>
    <row r="212" spans="1:3">
      <c r="A212" s="190">
        <v>43035.097222222219</v>
      </c>
      <c r="B212">
        <v>21.4</v>
      </c>
      <c r="C212">
        <v>49</v>
      </c>
    </row>
    <row r="213" spans="1:3">
      <c r="A213" s="190">
        <v>43035.100694444445</v>
      </c>
      <c r="B213">
        <v>21.4</v>
      </c>
      <c r="C213">
        <v>49.1</v>
      </c>
    </row>
    <row r="214" spans="1:3">
      <c r="A214" s="190">
        <v>43035.104166666664</v>
      </c>
      <c r="B214">
        <v>21.4</v>
      </c>
      <c r="C214">
        <v>49.1</v>
      </c>
    </row>
    <row r="215" spans="1:3">
      <c r="A215" s="190">
        <v>43035.107638888891</v>
      </c>
      <c r="B215">
        <v>21.3</v>
      </c>
      <c r="C215">
        <v>49.1</v>
      </c>
    </row>
    <row r="216" spans="1:3">
      <c r="A216" s="190">
        <v>43035.111111111109</v>
      </c>
      <c r="B216">
        <v>21.4</v>
      </c>
      <c r="C216">
        <v>49.1</v>
      </c>
    </row>
    <row r="217" spans="1:3">
      <c r="A217" s="190">
        <v>43035.114583333336</v>
      </c>
      <c r="B217">
        <v>21.4</v>
      </c>
      <c r="C217">
        <v>49</v>
      </c>
    </row>
    <row r="218" spans="1:3">
      <c r="A218" s="190">
        <v>43035.118055555555</v>
      </c>
      <c r="B218">
        <v>21.4</v>
      </c>
      <c r="C218">
        <v>49</v>
      </c>
    </row>
    <row r="219" spans="1:3">
      <c r="A219" s="190">
        <v>43035.121527777781</v>
      </c>
      <c r="B219">
        <v>21.4</v>
      </c>
      <c r="C219">
        <v>49</v>
      </c>
    </row>
    <row r="220" spans="1:3">
      <c r="A220" s="190">
        <v>43035.125</v>
      </c>
      <c r="B220">
        <v>21.4</v>
      </c>
      <c r="C220">
        <v>49</v>
      </c>
    </row>
    <row r="221" spans="1:3">
      <c r="A221" s="190">
        <v>43035.128472222219</v>
      </c>
      <c r="B221">
        <v>21.4</v>
      </c>
      <c r="C221">
        <v>49.1</v>
      </c>
    </row>
    <row r="222" spans="1:3">
      <c r="A222" s="190">
        <v>43035.131944444445</v>
      </c>
      <c r="B222">
        <v>21.4</v>
      </c>
      <c r="C222">
        <v>48.9</v>
      </c>
    </row>
    <row r="223" spans="1:3">
      <c r="A223" s="190">
        <v>43035.135416666664</v>
      </c>
      <c r="B223">
        <v>21.4</v>
      </c>
      <c r="C223">
        <v>48.8</v>
      </c>
    </row>
    <row r="224" spans="1:3">
      <c r="A224" s="190">
        <v>43035.138888888891</v>
      </c>
      <c r="B224">
        <v>21.4</v>
      </c>
      <c r="C224">
        <v>49</v>
      </c>
    </row>
    <row r="225" spans="1:3">
      <c r="A225" s="190">
        <v>43035.142361111109</v>
      </c>
      <c r="B225">
        <v>21.4</v>
      </c>
      <c r="C225">
        <v>48.9</v>
      </c>
    </row>
    <row r="226" spans="1:3">
      <c r="A226" s="190">
        <v>43035.145833333336</v>
      </c>
      <c r="B226">
        <v>21.4</v>
      </c>
      <c r="C226">
        <v>49</v>
      </c>
    </row>
    <row r="227" spans="1:3">
      <c r="A227" s="190">
        <v>43035.149305555555</v>
      </c>
      <c r="B227">
        <v>21.4</v>
      </c>
      <c r="C227">
        <v>48.9</v>
      </c>
    </row>
    <row r="228" spans="1:3">
      <c r="A228" s="190">
        <v>43035.152777777781</v>
      </c>
      <c r="B228">
        <v>21.4</v>
      </c>
      <c r="C228">
        <v>48.9</v>
      </c>
    </row>
    <row r="229" spans="1:3">
      <c r="A229" s="190">
        <v>43035.15625</v>
      </c>
      <c r="B229">
        <v>21.3</v>
      </c>
      <c r="C229">
        <v>49</v>
      </c>
    </row>
    <row r="230" spans="1:3">
      <c r="A230" s="190">
        <v>43035.159722222219</v>
      </c>
      <c r="B230">
        <v>21.4</v>
      </c>
      <c r="C230">
        <v>48.8</v>
      </c>
    </row>
    <row r="231" spans="1:3">
      <c r="A231" s="190">
        <v>43035.163194444445</v>
      </c>
      <c r="B231">
        <v>21.4</v>
      </c>
      <c r="C231">
        <v>48.8</v>
      </c>
    </row>
    <row r="232" spans="1:3">
      <c r="A232" s="190">
        <v>43035.166666666664</v>
      </c>
      <c r="B232">
        <v>21.4</v>
      </c>
      <c r="C232">
        <v>48.7</v>
      </c>
    </row>
    <row r="233" spans="1:3">
      <c r="A233" s="190">
        <v>43035.170138888891</v>
      </c>
      <c r="B233">
        <v>21.4</v>
      </c>
      <c r="C233">
        <v>48.7</v>
      </c>
    </row>
    <row r="234" spans="1:3">
      <c r="A234" s="190">
        <v>43035.173611111109</v>
      </c>
      <c r="B234">
        <v>21.4</v>
      </c>
      <c r="C234">
        <v>48.7</v>
      </c>
    </row>
    <row r="235" spans="1:3">
      <c r="A235" s="190">
        <v>43035.177083333336</v>
      </c>
      <c r="B235">
        <v>21.4</v>
      </c>
      <c r="C235">
        <v>48.6</v>
      </c>
    </row>
    <row r="236" spans="1:3">
      <c r="A236" s="190">
        <v>43035.180555555555</v>
      </c>
      <c r="B236">
        <v>21.4</v>
      </c>
      <c r="C236">
        <v>48.6</v>
      </c>
    </row>
    <row r="237" spans="1:3">
      <c r="A237" s="190">
        <v>43035.184027777781</v>
      </c>
      <c r="B237">
        <v>21.4</v>
      </c>
      <c r="C237">
        <v>48.6</v>
      </c>
    </row>
    <row r="238" spans="1:3">
      <c r="A238" s="190">
        <v>43035.1875</v>
      </c>
      <c r="B238">
        <v>21.4</v>
      </c>
      <c r="C238">
        <v>48.5</v>
      </c>
    </row>
    <row r="239" spans="1:3">
      <c r="A239" s="190">
        <v>43035.190972222219</v>
      </c>
      <c r="B239">
        <v>21.4</v>
      </c>
      <c r="C239">
        <v>48.5</v>
      </c>
    </row>
    <row r="240" spans="1:3">
      <c r="A240" s="190">
        <v>43035.194444444445</v>
      </c>
      <c r="B240">
        <v>21.4</v>
      </c>
      <c r="C240">
        <v>48.5</v>
      </c>
    </row>
    <row r="241" spans="1:3">
      <c r="A241" s="190">
        <v>43035.197916666664</v>
      </c>
      <c r="B241">
        <v>21.4</v>
      </c>
      <c r="C241">
        <v>48.5</v>
      </c>
    </row>
    <row r="242" spans="1:3">
      <c r="A242" s="190">
        <v>43035.201388888891</v>
      </c>
      <c r="B242">
        <v>21.4</v>
      </c>
      <c r="C242">
        <v>48.4</v>
      </c>
    </row>
    <row r="243" spans="1:3">
      <c r="A243" s="190">
        <v>43035.204861111109</v>
      </c>
      <c r="B243">
        <v>21.4</v>
      </c>
      <c r="C243">
        <v>48.4</v>
      </c>
    </row>
    <row r="244" spans="1:3">
      <c r="A244" s="190">
        <v>43035.208333333336</v>
      </c>
      <c r="B244">
        <v>21.4</v>
      </c>
      <c r="C244">
        <v>48.3</v>
      </c>
    </row>
    <row r="245" spans="1:3">
      <c r="A245" s="190">
        <v>43035.211805555555</v>
      </c>
      <c r="B245">
        <v>21.4</v>
      </c>
      <c r="C245">
        <v>48.3</v>
      </c>
    </row>
    <row r="246" spans="1:3">
      <c r="A246" s="190">
        <v>43035.215277777781</v>
      </c>
      <c r="B246">
        <v>21.5</v>
      </c>
      <c r="C246">
        <v>48.2</v>
      </c>
    </row>
    <row r="247" spans="1:3">
      <c r="A247" s="190">
        <v>43035.21875</v>
      </c>
      <c r="B247">
        <v>21.4</v>
      </c>
      <c r="C247">
        <v>48.3</v>
      </c>
    </row>
    <row r="248" spans="1:3">
      <c r="A248" s="190">
        <v>43035.222222222219</v>
      </c>
      <c r="B248">
        <v>21.4</v>
      </c>
      <c r="C248">
        <v>48.2</v>
      </c>
    </row>
    <row r="249" spans="1:3">
      <c r="A249" s="190">
        <v>43035.225694444445</v>
      </c>
      <c r="B249">
        <v>21.4</v>
      </c>
      <c r="C249">
        <v>48.1</v>
      </c>
    </row>
    <row r="250" spans="1:3">
      <c r="A250" s="190">
        <v>43035.229166666664</v>
      </c>
      <c r="B250">
        <v>21.4</v>
      </c>
      <c r="C250">
        <v>48.1</v>
      </c>
    </row>
    <row r="251" spans="1:3">
      <c r="A251" s="190">
        <v>43035.232638888891</v>
      </c>
      <c r="B251">
        <v>21.4</v>
      </c>
      <c r="C251">
        <v>48</v>
      </c>
    </row>
    <row r="252" spans="1:3">
      <c r="A252" s="190">
        <v>43035.236111111109</v>
      </c>
      <c r="B252">
        <v>21.4</v>
      </c>
      <c r="C252">
        <v>48.2</v>
      </c>
    </row>
    <row r="253" spans="1:3">
      <c r="A253" s="190">
        <v>43035.239583333336</v>
      </c>
      <c r="B253">
        <v>21.4</v>
      </c>
      <c r="C253">
        <v>48</v>
      </c>
    </row>
    <row r="254" spans="1:3">
      <c r="A254" s="190">
        <v>43035.243055555555</v>
      </c>
      <c r="B254">
        <v>21.4</v>
      </c>
      <c r="C254">
        <v>48</v>
      </c>
    </row>
    <row r="255" spans="1:3">
      <c r="A255" s="190">
        <v>43035.246527777781</v>
      </c>
      <c r="B255">
        <v>21.4</v>
      </c>
      <c r="C255">
        <v>48</v>
      </c>
    </row>
    <row r="256" spans="1:3">
      <c r="A256" s="190">
        <v>43035.25</v>
      </c>
      <c r="B256">
        <v>21.4</v>
      </c>
      <c r="C256">
        <v>48</v>
      </c>
    </row>
    <row r="257" spans="1:3">
      <c r="A257" s="190">
        <v>43035.253472222219</v>
      </c>
      <c r="B257">
        <v>21.4</v>
      </c>
      <c r="C257">
        <v>48</v>
      </c>
    </row>
    <row r="258" spans="1:3">
      <c r="A258" s="190">
        <v>43035.256944444445</v>
      </c>
      <c r="B258">
        <v>21.4</v>
      </c>
      <c r="C258">
        <v>47.9</v>
      </c>
    </row>
    <row r="259" spans="1:3">
      <c r="A259" s="190">
        <v>43035.260416666664</v>
      </c>
      <c r="B259">
        <v>21.4</v>
      </c>
      <c r="C259">
        <v>48</v>
      </c>
    </row>
    <row r="260" spans="1:3">
      <c r="A260" s="190">
        <v>43035.263888888891</v>
      </c>
      <c r="B260">
        <v>21.4</v>
      </c>
      <c r="C260">
        <v>47.8</v>
      </c>
    </row>
    <row r="261" spans="1:3">
      <c r="A261" s="190">
        <v>43035.267361111109</v>
      </c>
      <c r="B261">
        <v>21.4</v>
      </c>
      <c r="C261">
        <v>47.8</v>
      </c>
    </row>
    <row r="262" spans="1:3">
      <c r="A262" s="190">
        <v>43035.270833333336</v>
      </c>
      <c r="B262">
        <v>21.4</v>
      </c>
      <c r="C262">
        <v>47.8</v>
      </c>
    </row>
    <row r="263" spans="1:3">
      <c r="A263" s="190">
        <v>43035.274305555555</v>
      </c>
      <c r="B263">
        <v>21.4</v>
      </c>
      <c r="C263">
        <v>47.8</v>
      </c>
    </row>
    <row r="264" spans="1:3">
      <c r="A264" s="190">
        <v>43035.277777777781</v>
      </c>
      <c r="B264">
        <v>21.4</v>
      </c>
      <c r="C264">
        <v>47.8</v>
      </c>
    </row>
    <row r="265" spans="1:3">
      <c r="A265" s="190">
        <v>43035.28125</v>
      </c>
      <c r="B265">
        <v>21.3</v>
      </c>
      <c r="C265">
        <v>47.9</v>
      </c>
    </row>
    <row r="266" spans="1:3">
      <c r="A266" s="190">
        <v>43035.284722222219</v>
      </c>
      <c r="B266">
        <v>21.4</v>
      </c>
      <c r="C266">
        <v>47.7</v>
      </c>
    </row>
    <row r="267" spans="1:3">
      <c r="A267" s="190">
        <v>43035.288194444445</v>
      </c>
      <c r="B267">
        <v>21.4</v>
      </c>
      <c r="C267">
        <v>47.6</v>
      </c>
    </row>
    <row r="268" spans="1:3">
      <c r="A268" s="190">
        <v>43035.291666666664</v>
      </c>
      <c r="B268">
        <v>21.4</v>
      </c>
      <c r="C268">
        <v>47.6</v>
      </c>
    </row>
    <row r="269" spans="1:3">
      <c r="A269" s="190">
        <v>43035.295138888891</v>
      </c>
      <c r="B269">
        <v>21.4</v>
      </c>
      <c r="C269">
        <v>47.6</v>
      </c>
    </row>
    <row r="270" spans="1:3">
      <c r="A270" s="190">
        <v>43035.298611111109</v>
      </c>
      <c r="B270">
        <v>21.4</v>
      </c>
      <c r="C270">
        <v>47.6</v>
      </c>
    </row>
    <row r="271" spans="1:3">
      <c r="A271" s="190">
        <v>43035.302083333336</v>
      </c>
      <c r="B271">
        <v>21.4</v>
      </c>
      <c r="C271">
        <v>47.5</v>
      </c>
    </row>
    <row r="272" spans="1:3">
      <c r="A272" s="190">
        <v>43035.305555555555</v>
      </c>
      <c r="B272">
        <v>21.5</v>
      </c>
      <c r="C272">
        <v>47.4</v>
      </c>
    </row>
    <row r="273" spans="1:3">
      <c r="A273" s="190">
        <v>43035.309027777781</v>
      </c>
      <c r="B273">
        <v>21.4</v>
      </c>
      <c r="C273">
        <v>47.5</v>
      </c>
    </row>
    <row r="274" spans="1:3">
      <c r="A274" s="190">
        <v>43035.3125</v>
      </c>
      <c r="B274">
        <v>21.4</v>
      </c>
      <c r="C274">
        <v>47.5</v>
      </c>
    </row>
    <row r="275" spans="1:3">
      <c r="A275" s="190">
        <v>43035.315972222219</v>
      </c>
      <c r="B275">
        <v>21.4</v>
      </c>
      <c r="C275">
        <v>47.4</v>
      </c>
    </row>
    <row r="276" spans="1:3">
      <c r="A276" s="190">
        <v>43035.319444444445</v>
      </c>
      <c r="B276">
        <v>21.4</v>
      </c>
      <c r="C276">
        <v>47.5</v>
      </c>
    </row>
    <row r="277" spans="1:3">
      <c r="A277" s="190">
        <v>43035.322916666664</v>
      </c>
      <c r="B277">
        <v>21.4</v>
      </c>
      <c r="C277">
        <v>47.4</v>
      </c>
    </row>
    <row r="278" spans="1:3">
      <c r="A278" s="190">
        <v>43035.326388888891</v>
      </c>
      <c r="B278">
        <v>21.4</v>
      </c>
      <c r="C278">
        <v>47.4</v>
      </c>
    </row>
    <row r="279" spans="1:3">
      <c r="A279" s="190">
        <v>43035.329861111109</v>
      </c>
      <c r="B279">
        <v>21.4</v>
      </c>
      <c r="C279">
        <v>47.4</v>
      </c>
    </row>
    <row r="280" spans="1:3">
      <c r="A280" s="190">
        <v>43035.333333333336</v>
      </c>
      <c r="B280">
        <v>21.4</v>
      </c>
      <c r="C280">
        <v>47.4</v>
      </c>
    </row>
    <row r="281" spans="1:3">
      <c r="A281" s="190">
        <v>43035.336805555555</v>
      </c>
      <c r="B281">
        <v>21.4</v>
      </c>
      <c r="C281">
        <v>47.4</v>
      </c>
    </row>
    <row r="282" spans="1:3">
      <c r="A282" s="190">
        <v>43035.340277777781</v>
      </c>
      <c r="B282">
        <v>21.5</v>
      </c>
      <c r="C282">
        <v>47.2</v>
      </c>
    </row>
    <row r="283" spans="1:3">
      <c r="A283" s="190">
        <v>43035.34375</v>
      </c>
      <c r="B283">
        <v>21.4</v>
      </c>
      <c r="C283">
        <v>47.3</v>
      </c>
    </row>
    <row r="284" spans="1:3">
      <c r="A284" s="190">
        <v>43035.347222222219</v>
      </c>
      <c r="B284">
        <v>21.4</v>
      </c>
      <c r="C284">
        <v>47.3</v>
      </c>
    </row>
    <row r="285" spans="1:3">
      <c r="A285" s="190">
        <v>43035.350694444445</v>
      </c>
      <c r="B285">
        <v>21.5</v>
      </c>
      <c r="C285">
        <v>47.2</v>
      </c>
    </row>
    <row r="286" spans="1:3">
      <c r="A286" s="190">
        <v>43035.354166666664</v>
      </c>
      <c r="B286">
        <v>21.5</v>
      </c>
      <c r="C286">
        <v>47.1</v>
      </c>
    </row>
    <row r="287" spans="1:3">
      <c r="A287" s="190">
        <v>43035.357638888891</v>
      </c>
      <c r="B287">
        <v>21.4</v>
      </c>
      <c r="C287">
        <v>47.2</v>
      </c>
    </row>
    <row r="288" spans="1:3">
      <c r="A288" s="190">
        <v>43035.361111111109</v>
      </c>
      <c r="B288">
        <v>21.4</v>
      </c>
      <c r="C288">
        <v>47.2</v>
      </c>
    </row>
    <row r="289" spans="1:1">
      <c r="A289" s="190"/>
    </row>
    <row r="290" spans="1:1">
      <c r="A290" s="190"/>
    </row>
    <row r="291" spans="1:1">
      <c r="A291" s="190"/>
    </row>
    <row r="292" spans="1:1">
      <c r="A292" s="190"/>
    </row>
    <row r="293" spans="1:1">
      <c r="A293" s="190"/>
    </row>
    <row r="294" spans="1:1">
      <c r="A294" s="190"/>
    </row>
    <row r="295" spans="1:1">
      <c r="A295" s="190"/>
    </row>
    <row r="296" spans="1:1">
      <c r="A296" s="190"/>
    </row>
    <row r="297" spans="1:1">
      <c r="A297" s="190"/>
    </row>
    <row r="298" spans="1:1">
      <c r="A298" s="190"/>
    </row>
    <row r="299" spans="1:1">
      <c r="A299" s="190"/>
    </row>
    <row r="300" spans="1:1">
      <c r="A300" s="190"/>
    </row>
    <row r="301" spans="1:1">
      <c r="A301" s="190"/>
    </row>
    <row r="302" spans="1:1">
      <c r="A302" s="190"/>
    </row>
    <row r="303" spans="1:1">
      <c r="A303" s="190"/>
    </row>
    <row r="304" spans="1:1">
      <c r="A304" s="190"/>
    </row>
    <row r="305" spans="1:1">
      <c r="A305" s="190"/>
    </row>
    <row r="306" spans="1:1">
      <c r="A306" s="190"/>
    </row>
    <row r="307" spans="1:1">
      <c r="A307" s="190"/>
    </row>
    <row r="308" spans="1:1">
      <c r="A308" s="190"/>
    </row>
    <row r="309" spans="1:1">
      <c r="A309" s="190"/>
    </row>
    <row r="310" spans="1:1">
      <c r="A310" s="190"/>
    </row>
    <row r="311" spans="1:1">
      <c r="A311" s="190"/>
    </row>
    <row r="312" spans="1:1">
      <c r="A312" s="190"/>
    </row>
    <row r="313" spans="1:1">
      <c r="A313" s="190"/>
    </row>
    <row r="314" spans="1:1">
      <c r="A314" s="190"/>
    </row>
    <row r="315" spans="1:1">
      <c r="A315" s="190"/>
    </row>
    <row r="316" spans="1:1">
      <c r="A316" s="190"/>
    </row>
    <row r="317" spans="1:1">
      <c r="A317" s="190"/>
    </row>
    <row r="318" spans="1:1">
      <c r="A318" s="190"/>
    </row>
    <row r="319" spans="1:1">
      <c r="A319" s="190"/>
    </row>
    <row r="320" spans="1:1">
      <c r="A320" s="190"/>
    </row>
    <row r="321" spans="1:1">
      <c r="A321" s="190"/>
    </row>
    <row r="322" spans="1:1">
      <c r="A322" s="190"/>
    </row>
    <row r="323" spans="1:1">
      <c r="A323" s="190"/>
    </row>
    <row r="324" spans="1:1">
      <c r="A324" s="190"/>
    </row>
    <row r="325" spans="1:1">
      <c r="A325" s="190"/>
    </row>
    <row r="326" spans="1:1">
      <c r="A326" s="190"/>
    </row>
    <row r="327" spans="1:1">
      <c r="A327" s="190"/>
    </row>
    <row r="328" spans="1:1">
      <c r="A328" s="190"/>
    </row>
    <row r="329" spans="1:1">
      <c r="A329" s="190"/>
    </row>
    <row r="330" spans="1:1">
      <c r="A330" s="190"/>
    </row>
    <row r="331" spans="1:1">
      <c r="A331" s="190"/>
    </row>
    <row r="332" spans="1:1">
      <c r="A332" s="190"/>
    </row>
    <row r="333" spans="1:1">
      <c r="A333" s="190"/>
    </row>
    <row r="334" spans="1:1">
      <c r="A334" s="190"/>
    </row>
    <row r="335" spans="1:1">
      <c r="A335" s="190"/>
    </row>
    <row r="336" spans="1:1">
      <c r="A336" s="190"/>
    </row>
    <row r="337" spans="1:1">
      <c r="A337" s="190"/>
    </row>
    <row r="338" spans="1:1">
      <c r="A338" s="190"/>
    </row>
    <row r="339" spans="1:1">
      <c r="A339" s="190"/>
    </row>
    <row r="340" spans="1:1">
      <c r="A340" s="190"/>
    </row>
    <row r="341" spans="1:1">
      <c r="A341" s="190"/>
    </row>
    <row r="342" spans="1:1">
      <c r="A342" s="190"/>
    </row>
    <row r="343" spans="1:1">
      <c r="A343" s="190"/>
    </row>
    <row r="344" spans="1:1">
      <c r="A344" s="190"/>
    </row>
    <row r="345" spans="1:1">
      <c r="A345" s="190"/>
    </row>
    <row r="346" spans="1:1">
      <c r="A346" s="190"/>
    </row>
    <row r="347" spans="1:1">
      <c r="A347" s="190"/>
    </row>
    <row r="348" spans="1:1">
      <c r="A348" s="190"/>
    </row>
    <row r="349" spans="1:1">
      <c r="A349" s="190"/>
    </row>
    <row r="350" spans="1:1">
      <c r="A350" s="190"/>
    </row>
    <row r="351" spans="1:1">
      <c r="A351" s="190"/>
    </row>
    <row r="352" spans="1:1">
      <c r="A352" s="190"/>
    </row>
    <row r="353" spans="1:1">
      <c r="A353" s="190"/>
    </row>
    <row r="354" spans="1:1">
      <c r="A354" s="190"/>
    </row>
    <row r="355" spans="1:1">
      <c r="A355" s="190"/>
    </row>
    <row r="356" spans="1:1">
      <c r="A356" s="190"/>
    </row>
    <row r="357" spans="1:1">
      <c r="A357" s="190"/>
    </row>
    <row r="358" spans="1:1">
      <c r="A358" s="190"/>
    </row>
    <row r="359" spans="1:1">
      <c r="A359" s="190"/>
    </row>
    <row r="360" spans="1:1">
      <c r="A360" s="190"/>
    </row>
    <row r="361" spans="1:1">
      <c r="A361" s="190"/>
    </row>
    <row r="362" spans="1:1">
      <c r="A362" s="190"/>
    </row>
    <row r="363" spans="1:1">
      <c r="A363" s="190"/>
    </row>
    <row r="364" spans="1:1">
      <c r="A364" s="190"/>
    </row>
    <row r="365" spans="1:1">
      <c r="A365" s="190"/>
    </row>
    <row r="366" spans="1:1">
      <c r="A366" s="190"/>
    </row>
    <row r="367" spans="1:1">
      <c r="A367" s="190"/>
    </row>
    <row r="368" spans="1:1">
      <c r="A368" s="190"/>
    </row>
    <row r="369" spans="1:1">
      <c r="A369" s="190"/>
    </row>
    <row r="370" spans="1:1">
      <c r="A370" s="190"/>
    </row>
    <row r="371" spans="1:1">
      <c r="A371" s="190"/>
    </row>
    <row r="372" spans="1:1">
      <c r="A372" s="190"/>
    </row>
    <row r="373" spans="1:1">
      <c r="A373" s="190"/>
    </row>
    <row r="374" spans="1:1">
      <c r="A374" s="190"/>
    </row>
    <row r="375" spans="1:1">
      <c r="A375" s="190"/>
    </row>
    <row r="376" spans="1:1">
      <c r="A376" s="190"/>
    </row>
    <row r="377" spans="1:1">
      <c r="A377" s="190"/>
    </row>
    <row r="378" spans="1:1">
      <c r="A378" s="190"/>
    </row>
    <row r="379" spans="1:1">
      <c r="A379" s="190"/>
    </row>
    <row r="380" spans="1:1">
      <c r="A380" s="190"/>
    </row>
    <row r="381" spans="1:1">
      <c r="A381" s="190"/>
    </row>
    <row r="382" spans="1:1">
      <c r="A382" s="190"/>
    </row>
    <row r="383" spans="1:1">
      <c r="A383" s="190"/>
    </row>
    <row r="384" spans="1:1">
      <c r="A384" s="190"/>
    </row>
    <row r="385" spans="1:1">
      <c r="A385" s="190"/>
    </row>
    <row r="386" spans="1:1">
      <c r="A386" s="190"/>
    </row>
    <row r="387" spans="1:1">
      <c r="A387" s="190"/>
    </row>
    <row r="388" spans="1:1">
      <c r="A388" s="190"/>
    </row>
    <row r="389" spans="1:1">
      <c r="A389" s="190"/>
    </row>
    <row r="390" spans="1:1">
      <c r="A390" s="190"/>
    </row>
    <row r="391" spans="1:1">
      <c r="A391" s="190"/>
    </row>
    <row r="392" spans="1:1">
      <c r="A392" s="190"/>
    </row>
    <row r="393" spans="1:1">
      <c r="A393" s="190"/>
    </row>
    <row r="394" spans="1:1">
      <c r="A394" s="190"/>
    </row>
    <row r="395" spans="1:1">
      <c r="A395" s="190"/>
    </row>
    <row r="396" spans="1:1">
      <c r="A396" s="190"/>
    </row>
    <row r="397" spans="1:1">
      <c r="A397" s="190"/>
    </row>
    <row r="398" spans="1:1">
      <c r="A398" s="190"/>
    </row>
    <row r="399" spans="1:1">
      <c r="A399" s="190"/>
    </row>
    <row r="400" spans="1:1">
      <c r="A400" s="190"/>
    </row>
    <row r="401" spans="1:1">
      <c r="A401" s="190"/>
    </row>
    <row r="402" spans="1:1">
      <c r="A402" s="190"/>
    </row>
    <row r="403" spans="1:1">
      <c r="A403" s="190"/>
    </row>
    <row r="404" spans="1:1">
      <c r="A404" s="190"/>
    </row>
    <row r="405" spans="1:1">
      <c r="A405" s="190"/>
    </row>
    <row r="406" spans="1:1">
      <c r="A406" s="190"/>
    </row>
    <row r="407" spans="1:1">
      <c r="A407" s="190"/>
    </row>
    <row r="408" spans="1:1">
      <c r="A408" s="190"/>
    </row>
    <row r="409" spans="1:1">
      <c r="A409" s="190"/>
    </row>
    <row r="410" spans="1:1">
      <c r="A410" s="190"/>
    </row>
    <row r="411" spans="1:1">
      <c r="A411" s="190"/>
    </row>
    <row r="412" spans="1:1">
      <c r="A412" s="190"/>
    </row>
    <row r="413" spans="1:1">
      <c r="A413" s="190"/>
    </row>
    <row r="414" spans="1:1">
      <c r="A414" s="190"/>
    </row>
    <row r="415" spans="1:1">
      <c r="A415" s="190"/>
    </row>
    <row r="416" spans="1:1">
      <c r="A416" s="190"/>
    </row>
    <row r="417" spans="1:1">
      <c r="A417" s="190"/>
    </row>
    <row r="418" spans="1:1">
      <c r="A418" s="190"/>
    </row>
    <row r="419" spans="1:1">
      <c r="A419" s="190"/>
    </row>
    <row r="420" spans="1:1">
      <c r="A420" s="190"/>
    </row>
    <row r="421" spans="1:1">
      <c r="A421" s="190"/>
    </row>
    <row r="422" spans="1:1">
      <c r="A422" s="190"/>
    </row>
    <row r="423" spans="1:1">
      <c r="A423" s="190"/>
    </row>
    <row r="424" spans="1:1">
      <c r="A424" s="190"/>
    </row>
    <row r="425" spans="1:1">
      <c r="A425" s="190"/>
    </row>
    <row r="426" spans="1:1">
      <c r="A426" s="190"/>
    </row>
    <row r="427" spans="1:1">
      <c r="A427" s="190"/>
    </row>
    <row r="428" spans="1:1">
      <c r="A428" s="190"/>
    </row>
    <row r="429" spans="1:1">
      <c r="A429" s="190"/>
    </row>
    <row r="430" spans="1:1">
      <c r="A430" s="190"/>
    </row>
    <row r="431" spans="1:1">
      <c r="A431" s="190"/>
    </row>
    <row r="432" spans="1:1">
      <c r="A432" s="190"/>
    </row>
    <row r="433" spans="1:1">
      <c r="A433" s="190"/>
    </row>
    <row r="434" spans="1:1">
      <c r="A434" s="190"/>
    </row>
    <row r="435" spans="1:1">
      <c r="A435" s="190"/>
    </row>
    <row r="436" spans="1:1">
      <c r="A436" s="190"/>
    </row>
    <row r="437" spans="1:1">
      <c r="A437" s="190"/>
    </row>
    <row r="438" spans="1:1">
      <c r="A438" s="190"/>
    </row>
    <row r="439" spans="1:1">
      <c r="A439" s="190"/>
    </row>
    <row r="440" spans="1:1">
      <c r="A440" s="190"/>
    </row>
    <row r="441" spans="1:1">
      <c r="A441" s="190"/>
    </row>
    <row r="442" spans="1:1">
      <c r="A442" s="190"/>
    </row>
    <row r="443" spans="1:1">
      <c r="A443" s="190"/>
    </row>
    <row r="444" spans="1:1">
      <c r="A444" s="190"/>
    </row>
    <row r="445" spans="1:1">
      <c r="A445" s="190"/>
    </row>
    <row r="446" spans="1:1">
      <c r="A446" s="190"/>
    </row>
    <row r="447" spans="1:1">
      <c r="A447" s="190"/>
    </row>
    <row r="448" spans="1:1">
      <c r="A448" s="190"/>
    </row>
    <row r="449" spans="1:1">
      <c r="A449" s="190"/>
    </row>
    <row r="450" spans="1:1">
      <c r="A450" s="190"/>
    </row>
    <row r="451" spans="1:1">
      <c r="A451" s="190"/>
    </row>
    <row r="452" spans="1:1">
      <c r="A452" s="190"/>
    </row>
    <row r="453" spans="1:1">
      <c r="A453" s="190"/>
    </row>
    <row r="454" spans="1:1">
      <c r="A454" s="190"/>
    </row>
    <row r="455" spans="1:1">
      <c r="A455" s="190"/>
    </row>
    <row r="456" spans="1:1">
      <c r="A456" s="190"/>
    </row>
    <row r="457" spans="1:1">
      <c r="A457" s="190"/>
    </row>
    <row r="458" spans="1:1">
      <c r="A458" s="190"/>
    </row>
    <row r="459" spans="1:1">
      <c r="A459" s="190"/>
    </row>
    <row r="460" spans="1:1">
      <c r="A460" s="190"/>
    </row>
    <row r="461" spans="1:1">
      <c r="A461" s="190"/>
    </row>
    <row r="462" spans="1:1">
      <c r="A462" s="190"/>
    </row>
    <row r="463" spans="1:1">
      <c r="A463" s="190"/>
    </row>
    <row r="464" spans="1:1">
      <c r="A464" s="190"/>
    </row>
    <row r="465" spans="1:1">
      <c r="A465" s="190"/>
    </row>
    <row r="466" spans="1:1">
      <c r="A466" s="190"/>
    </row>
    <row r="467" spans="1:1">
      <c r="A467" s="190"/>
    </row>
    <row r="468" spans="1:1">
      <c r="A468" s="190"/>
    </row>
    <row r="469" spans="1:1">
      <c r="A469" s="190"/>
    </row>
    <row r="470" spans="1:1">
      <c r="A470" s="190"/>
    </row>
    <row r="471" spans="1:1">
      <c r="A471" s="190"/>
    </row>
    <row r="472" spans="1:1">
      <c r="A472" s="190"/>
    </row>
    <row r="473" spans="1:1">
      <c r="A473" s="190"/>
    </row>
    <row r="474" spans="1:1">
      <c r="A474" s="190"/>
    </row>
    <row r="475" spans="1:1">
      <c r="A475" s="190"/>
    </row>
    <row r="476" spans="1:1">
      <c r="A476" s="190"/>
    </row>
    <row r="477" spans="1:1">
      <c r="A477" s="190"/>
    </row>
    <row r="478" spans="1:1">
      <c r="A478" s="190"/>
    </row>
    <row r="479" spans="1:1">
      <c r="A479" s="190"/>
    </row>
    <row r="480" spans="1:1">
      <c r="A480" s="190"/>
    </row>
    <row r="481" spans="1:1">
      <c r="A481" s="190"/>
    </row>
    <row r="482" spans="1:1">
      <c r="A482" s="190"/>
    </row>
    <row r="483" spans="1:1">
      <c r="A483" s="190"/>
    </row>
    <row r="484" spans="1:1">
      <c r="A484" s="190"/>
    </row>
    <row r="485" spans="1:1">
      <c r="A485" s="190"/>
    </row>
    <row r="486" spans="1:1">
      <c r="A486" s="190"/>
    </row>
    <row r="487" spans="1:1">
      <c r="A487" s="190"/>
    </row>
    <row r="488" spans="1:1">
      <c r="A488" s="190"/>
    </row>
    <row r="489" spans="1:1">
      <c r="A489" s="190"/>
    </row>
    <row r="490" spans="1:1">
      <c r="A490" s="190"/>
    </row>
    <row r="491" spans="1:1">
      <c r="A491" s="190"/>
    </row>
    <row r="492" spans="1:1">
      <c r="A492" s="190"/>
    </row>
    <row r="493" spans="1:1">
      <c r="A493" s="190"/>
    </row>
    <row r="494" spans="1:1">
      <c r="A494" s="190"/>
    </row>
    <row r="495" spans="1:1">
      <c r="A495" s="190"/>
    </row>
    <row r="496" spans="1:1">
      <c r="A496" s="190"/>
    </row>
    <row r="497" spans="1:1">
      <c r="A497" s="190"/>
    </row>
    <row r="498" spans="1:1">
      <c r="A498" s="190"/>
    </row>
    <row r="499" spans="1:1">
      <c r="A499" s="190"/>
    </row>
    <row r="500" spans="1:1">
      <c r="A500" s="190"/>
    </row>
    <row r="501" spans="1:1">
      <c r="A501" s="190"/>
    </row>
    <row r="502" spans="1:1">
      <c r="A502" s="190"/>
    </row>
    <row r="503" spans="1:1">
      <c r="A503" s="190"/>
    </row>
    <row r="504" spans="1:1">
      <c r="A504" s="190"/>
    </row>
    <row r="505" spans="1:1">
      <c r="A505" s="190"/>
    </row>
    <row r="506" spans="1:1">
      <c r="A506" s="190"/>
    </row>
    <row r="507" spans="1:1">
      <c r="A507" s="190"/>
    </row>
    <row r="508" spans="1:1">
      <c r="A508" s="190"/>
    </row>
    <row r="509" spans="1:1">
      <c r="A509" s="190"/>
    </row>
    <row r="510" spans="1:1">
      <c r="A510" s="190"/>
    </row>
    <row r="511" spans="1:1">
      <c r="A511" s="190"/>
    </row>
    <row r="512" spans="1:1">
      <c r="A512" s="190"/>
    </row>
    <row r="513" spans="1:1">
      <c r="A513" s="190"/>
    </row>
    <row r="514" spans="1:1">
      <c r="A514" s="190"/>
    </row>
    <row r="515" spans="1:1">
      <c r="A515" s="190"/>
    </row>
    <row r="516" spans="1:1">
      <c r="A516" s="190"/>
    </row>
    <row r="517" spans="1:1">
      <c r="A517" s="190"/>
    </row>
    <row r="518" spans="1:1">
      <c r="A518" s="190"/>
    </row>
    <row r="519" spans="1:1">
      <c r="A519" s="190"/>
    </row>
    <row r="520" spans="1:1">
      <c r="A520" s="190"/>
    </row>
    <row r="521" spans="1:1">
      <c r="A521" s="190"/>
    </row>
    <row r="522" spans="1:1">
      <c r="A522" s="190"/>
    </row>
    <row r="523" spans="1:1">
      <c r="A523" s="190"/>
    </row>
    <row r="524" spans="1:1">
      <c r="A524" s="190"/>
    </row>
    <row r="525" spans="1:1">
      <c r="A525" s="190"/>
    </row>
    <row r="526" spans="1:1">
      <c r="A526" s="190"/>
    </row>
    <row r="527" spans="1:1">
      <c r="A527" s="190"/>
    </row>
    <row r="528" spans="1:1">
      <c r="A528" s="190"/>
    </row>
    <row r="529" spans="1:1">
      <c r="A529" s="190"/>
    </row>
    <row r="530" spans="1:1">
      <c r="A530" s="190"/>
    </row>
    <row r="531" spans="1:1">
      <c r="A531" s="190"/>
    </row>
    <row r="532" spans="1:1">
      <c r="A532" s="190"/>
    </row>
    <row r="533" spans="1:1">
      <c r="A533" s="190"/>
    </row>
    <row r="534" spans="1:1">
      <c r="A534" s="190"/>
    </row>
    <row r="535" spans="1:1">
      <c r="A535" s="190"/>
    </row>
    <row r="536" spans="1:1">
      <c r="A536" s="190"/>
    </row>
    <row r="537" spans="1:1">
      <c r="A537" s="190"/>
    </row>
    <row r="538" spans="1:1">
      <c r="A538" s="190"/>
    </row>
    <row r="539" spans="1:1">
      <c r="A539" s="190"/>
    </row>
    <row r="540" spans="1:1">
      <c r="A540" s="190"/>
    </row>
    <row r="541" spans="1:1">
      <c r="A541" s="190"/>
    </row>
    <row r="542" spans="1:1">
      <c r="A542" s="190"/>
    </row>
    <row r="543" spans="1:1">
      <c r="A543" s="190"/>
    </row>
    <row r="544" spans="1:1">
      <c r="A544" s="190"/>
    </row>
    <row r="545" spans="1:1">
      <c r="A545" s="190"/>
    </row>
    <row r="546" spans="1:1">
      <c r="A546" s="190"/>
    </row>
    <row r="547" spans="1:1">
      <c r="A547" s="190"/>
    </row>
    <row r="548" spans="1:1">
      <c r="A548" s="190"/>
    </row>
    <row r="549" spans="1:1">
      <c r="A549" s="190"/>
    </row>
    <row r="550" spans="1:1">
      <c r="A550" s="190"/>
    </row>
    <row r="551" spans="1:1">
      <c r="A551" s="190"/>
    </row>
    <row r="552" spans="1:1">
      <c r="A552" s="190"/>
    </row>
    <row r="553" spans="1:1">
      <c r="A553" s="190"/>
    </row>
    <row r="554" spans="1:1">
      <c r="A554" s="190"/>
    </row>
    <row r="555" spans="1:1">
      <c r="A555" s="190"/>
    </row>
    <row r="556" spans="1:1">
      <c r="A556" s="190"/>
    </row>
    <row r="557" spans="1:1">
      <c r="A557" s="190"/>
    </row>
    <row r="558" spans="1:1">
      <c r="A558" s="190"/>
    </row>
    <row r="559" spans="1:1">
      <c r="A559" s="190"/>
    </row>
    <row r="560" spans="1:1">
      <c r="A560" s="190"/>
    </row>
    <row r="561" spans="1:1">
      <c r="A561" s="190"/>
    </row>
    <row r="562" spans="1:1">
      <c r="A562" s="190"/>
    </row>
    <row r="563" spans="1:1">
      <c r="A563" s="190"/>
    </row>
    <row r="564" spans="1:1">
      <c r="A564" s="190"/>
    </row>
    <row r="565" spans="1:1">
      <c r="A565" s="190"/>
    </row>
    <row r="566" spans="1:1">
      <c r="A566" s="190"/>
    </row>
    <row r="567" spans="1:1">
      <c r="A567" s="190"/>
    </row>
    <row r="568" spans="1:1">
      <c r="A568" s="190"/>
    </row>
    <row r="569" spans="1:1">
      <c r="A569" s="190"/>
    </row>
    <row r="570" spans="1:1">
      <c r="A570" s="190"/>
    </row>
    <row r="571" spans="1:1">
      <c r="A571" s="190"/>
    </row>
    <row r="572" spans="1:1">
      <c r="A572" s="190"/>
    </row>
    <row r="573" spans="1:1">
      <c r="A573" s="190"/>
    </row>
    <row r="574" spans="1:1">
      <c r="A574" s="190"/>
    </row>
    <row r="575" spans="1:1">
      <c r="A575" s="190"/>
    </row>
    <row r="576" spans="1:1">
      <c r="A576" s="190"/>
    </row>
    <row r="577" spans="1:1">
      <c r="A577" s="190"/>
    </row>
    <row r="578" spans="1:1">
      <c r="A578" s="190"/>
    </row>
    <row r="579" spans="1:1">
      <c r="A579" s="190"/>
    </row>
    <row r="580" spans="1:1">
      <c r="A580" s="190"/>
    </row>
    <row r="581" spans="1:1">
      <c r="A581" s="190"/>
    </row>
    <row r="582" spans="1:1">
      <c r="A582" s="190"/>
    </row>
    <row r="583" spans="1:1">
      <c r="A583" s="190"/>
    </row>
    <row r="584" spans="1:1">
      <c r="A584" s="190"/>
    </row>
    <row r="585" spans="1:1">
      <c r="A585" s="190"/>
    </row>
    <row r="586" spans="1:1">
      <c r="A586" s="190"/>
    </row>
    <row r="587" spans="1:1">
      <c r="A587" s="190"/>
    </row>
    <row r="588" spans="1:1">
      <c r="A588" s="190"/>
    </row>
    <row r="589" spans="1:1">
      <c r="A589" s="190"/>
    </row>
    <row r="590" spans="1:1">
      <c r="A590" s="190"/>
    </row>
    <row r="591" spans="1:1">
      <c r="A591" s="190"/>
    </row>
    <row r="592" spans="1:1">
      <c r="A592" s="190"/>
    </row>
    <row r="593" spans="1:1">
      <c r="A593" s="190"/>
    </row>
    <row r="594" spans="1:1">
      <c r="A594" s="190"/>
    </row>
    <row r="595" spans="1:1">
      <c r="A595" s="190"/>
    </row>
    <row r="596" spans="1:1">
      <c r="A596" s="190"/>
    </row>
    <row r="597" spans="1:1">
      <c r="A597" s="190"/>
    </row>
    <row r="598" spans="1:1">
      <c r="A598" s="190"/>
    </row>
    <row r="599" spans="1:1">
      <c r="A599" s="190"/>
    </row>
    <row r="600" spans="1:1">
      <c r="A600" s="190"/>
    </row>
    <row r="601" spans="1:1">
      <c r="A601" s="190"/>
    </row>
    <row r="602" spans="1:1">
      <c r="A602" s="190"/>
    </row>
    <row r="603" spans="1:1">
      <c r="A603" s="190"/>
    </row>
    <row r="604" spans="1:1">
      <c r="A604" s="190"/>
    </row>
    <row r="605" spans="1:1">
      <c r="A605" s="190"/>
    </row>
    <row r="606" spans="1:1">
      <c r="A606" s="190"/>
    </row>
    <row r="607" spans="1:1">
      <c r="A607" s="190"/>
    </row>
    <row r="608" spans="1:1">
      <c r="A608" s="190"/>
    </row>
    <row r="609" spans="1:1">
      <c r="A609" s="190"/>
    </row>
    <row r="610" spans="1:1">
      <c r="A610" s="190"/>
    </row>
    <row r="611" spans="1:1">
      <c r="A611" s="190"/>
    </row>
    <row r="612" spans="1:1">
      <c r="A612" s="190"/>
    </row>
    <row r="613" spans="1:1">
      <c r="A613" s="190"/>
    </row>
    <row r="614" spans="1:1">
      <c r="A614" s="190"/>
    </row>
    <row r="615" spans="1:1">
      <c r="A615" s="190"/>
    </row>
    <row r="616" spans="1:1">
      <c r="A616" s="190"/>
    </row>
    <row r="617" spans="1:1">
      <c r="A617" s="190"/>
    </row>
    <row r="618" spans="1:1">
      <c r="A618" s="190"/>
    </row>
    <row r="619" spans="1:1">
      <c r="A619" s="190"/>
    </row>
    <row r="620" spans="1:1">
      <c r="A620" s="190"/>
    </row>
    <row r="621" spans="1:1">
      <c r="A621" s="190"/>
    </row>
    <row r="622" spans="1:1">
      <c r="A622" s="190"/>
    </row>
    <row r="623" spans="1:1">
      <c r="A623" s="190"/>
    </row>
    <row r="624" spans="1:1">
      <c r="A624" s="190"/>
    </row>
    <row r="625" spans="1:1">
      <c r="A625" s="190"/>
    </row>
    <row r="626" spans="1:1">
      <c r="A626" s="190"/>
    </row>
    <row r="627" spans="1:1">
      <c r="A627" s="190"/>
    </row>
    <row r="628" spans="1:1">
      <c r="A628" s="190"/>
    </row>
    <row r="629" spans="1:1">
      <c r="A629" s="190"/>
    </row>
    <row r="630" spans="1:1">
      <c r="A630" s="190"/>
    </row>
    <row r="631" spans="1:1">
      <c r="A631" s="190"/>
    </row>
    <row r="632" spans="1:1">
      <c r="A632" s="190"/>
    </row>
    <row r="633" spans="1:1">
      <c r="A633" s="190"/>
    </row>
    <row r="634" spans="1:1">
      <c r="A634" s="190"/>
    </row>
    <row r="635" spans="1:1">
      <c r="A635" s="190"/>
    </row>
    <row r="636" spans="1:1">
      <c r="A636" s="190"/>
    </row>
    <row r="637" spans="1:1">
      <c r="A637" s="190"/>
    </row>
    <row r="638" spans="1:1">
      <c r="A638" s="190"/>
    </row>
    <row r="639" spans="1:1">
      <c r="A639" s="190"/>
    </row>
    <row r="640" spans="1:1">
      <c r="A640" s="190"/>
    </row>
    <row r="641" spans="1:1">
      <c r="A641" s="190"/>
    </row>
    <row r="642" spans="1:1">
      <c r="A642" s="190"/>
    </row>
    <row r="643" spans="1:1">
      <c r="A643" s="190"/>
    </row>
    <row r="644" spans="1:1">
      <c r="A644" s="190"/>
    </row>
    <row r="645" spans="1:1">
      <c r="A645" s="190"/>
    </row>
    <row r="646" spans="1:1">
      <c r="A646" s="190"/>
    </row>
    <row r="647" spans="1:1">
      <c r="A647" s="190"/>
    </row>
    <row r="648" spans="1:1">
      <c r="A648" s="190"/>
    </row>
    <row r="649" spans="1:1">
      <c r="A649" s="190"/>
    </row>
    <row r="650" spans="1:1">
      <c r="A650" s="190"/>
    </row>
    <row r="651" spans="1:1">
      <c r="A651" s="190"/>
    </row>
    <row r="652" spans="1:1">
      <c r="A652" s="190"/>
    </row>
    <row r="653" spans="1:1">
      <c r="A653" s="190"/>
    </row>
    <row r="654" spans="1:1">
      <c r="A654" s="190"/>
    </row>
    <row r="655" spans="1:1">
      <c r="A655" s="190"/>
    </row>
    <row r="656" spans="1:1">
      <c r="A656" s="190"/>
    </row>
    <row r="657" spans="1:1">
      <c r="A657" s="190"/>
    </row>
    <row r="658" spans="1:1">
      <c r="A658" s="190"/>
    </row>
    <row r="659" spans="1:1">
      <c r="A659" s="190"/>
    </row>
    <row r="660" spans="1:1">
      <c r="A660" s="190"/>
    </row>
    <row r="661" spans="1:1">
      <c r="A661" s="190"/>
    </row>
    <row r="662" spans="1:1">
      <c r="A662" s="190"/>
    </row>
    <row r="663" spans="1:1">
      <c r="A663" s="190"/>
    </row>
    <row r="664" spans="1:1">
      <c r="A664" s="190"/>
    </row>
    <row r="665" spans="1:1">
      <c r="A665" s="190"/>
    </row>
    <row r="666" spans="1:1">
      <c r="A666" s="190"/>
    </row>
    <row r="667" spans="1:1">
      <c r="A667" s="190"/>
    </row>
    <row r="668" spans="1:1">
      <c r="A668" s="190"/>
    </row>
    <row r="669" spans="1:1">
      <c r="A669" s="190"/>
    </row>
    <row r="670" spans="1:1">
      <c r="A670" s="190"/>
    </row>
    <row r="671" spans="1:1">
      <c r="A671" s="190"/>
    </row>
    <row r="672" spans="1:1">
      <c r="A672" s="190"/>
    </row>
    <row r="673" spans="1:1">
      <c r="A673" s="190"/>
    </row>
    <row r="674" spans="1:1">
      <c r="A674" s="190"/>
    </row>
    <row r="675" spans="1:1">
      <c r="A675" s="190"/>
    </row>
    <row r="676" spans="1:1">
      <c r="A676" s="190"/>
    </row>
    <row r="677" spans="1:1">
      <c r="A677" s="190"/>
    </row>
    <row r="678" spans="1:1">
      <c r="A678" s="190"/>
    </row>
    <row r="679" spans="1:1">
      <c r="A679" s="190"/>
    </row>
    <row r="680" spans="1:1">
      <c r="A680" s="190"/>
    </row>
    <row r="681" spans="1:1">
      <c r="A681" s="190"/>
    </row>
    <row r="682" spans="1:1">
      <c r="A682" s="190"/>
    </row>
    <row r="683" spans="1:1">
      <c r="A683" s="190"/>
    </row>
    <row r="684" spans="1:1">
      <c r="A684" s="190"/>
    </row>
    <row r="685" spans="1:1">
      <c r="A685" s="190"/>
    </row>
    <row r="686" spans="1:1">
      <c r="A686" s="190"/>
    </row>
    <row r="687" spans="1:1">
      <c r="A687" s="190"/>
    </row>
    <row r="688" spans="1:1">
      <c r="A688" s="190"/>
    </row>
    <row r="689" spans="1:1">
      <c r="A689" s="190"/>
    </row>
    <row r="690" spans="1:1">
      <c r="A690" s="190"/>
    </row>
    <row r="691" spans="1:1">
      <c r="A691" s="190"/>
    </row>
    <row r="692" spans="1:1">
      <c r="A692" s="190"/>
    </row>
    <row r="693" spans="1:1">
      <c r="A693" s="190"/>
    </row>
    <row r="694" spans="1:1">
      <c r="A694" s="190"/>
    </row>
    <row r="695" spans="1:1">
      <c r="A695" s="190"/>
    </row>
    <row r="696" spans="1:1">
      <c r="A696" s="190"/>
    </row>
    <row r="697" spans="1:1">
      <c r="A697" s="190"/>
    </row>
    <row r="698" spans="1:1">
      <c r="A698" s="190"/>
    </row>
    <row r="699" spans="1:1">
      <c r="A699" s="190"/>
    </row>
    <row r="700" spans="1:1">
      <c r="A700" s="190"/>
    </row>
    <row r="701" spans="1:1">
      <c r="A701" s="190"/>
    </row>
    <row r="702" spans="1:1">
      <c r="A702" s="190"/>
    </row>
    <row r="703" spans="1:1">
      <c r="A703" s="190"/>
    </row>
    <row r="704" spans="1:1">
      <c r="A704" s="190"/>
    </row>
    <row r="705" spans="1:1">
      <c r="A705" s="190"/>
    </row>
    <row r="706" spans="1:1">
      <c r="A706" s="190"/>
    </row>
    <row r="707" spans="1:1">
      <c r="A707" s="190"/>
    </row>
    <row r="708" spans="1:1">
      <c r="A708" s="190"/>
    </row>
    <row r="709" spans="1:1">
      <c r="A709" s="190"/>
    </row>
    <row r="710" spans="1:1">
      <c r="A710" s="190"/>
    </row>
    <row r="711" spans="1:1">
      <c r="A711" s="190"/>
    </row>
    <row r="712" spans="1:1">
      <c r="A712" s="190"/>
    </row>
    <row r="713" spans="1:1">
      <c r="A713" s="190"/>
    </row>
    <row r="714" spans="1:1">
      <c r="A714" s="190"/>
    </row>
    <row r="715" spans="1:1">
      <c r="A715" s="190"/>
    </row>
    <row r="716" spans="1:1">
      <c r="A716" s="190"/>
    </row>
    <row r="717" spans="1:1">
      <c r="A717" s="190"/>
    </row>
    <row r="718" spans="1:1">
      <c r="A718" s="190"/>
    </row>
    <row r="719" spans="1:1">
      <c r="A719" s="190"/>
    </row>
    <row r="720" spans="1:1">
      <c r="A720" s="190"/>
    </row>
    <row r="721" spans="1:1">
      <c r="A721" s="190"/>
    </row>
    <row r="722" spans="1:1">
      <c r="A722" s="190"/>
    </row>
    <row r="723" spans="1:1">
      <c r="A723" s="190"/>
    </row>
    <row r="724" spans="1:1">
      <c r="A724" s="190"/>
    </row>
    <row r="725" spans="1:1">
      <c r="A725" s="190"/>
    </row>
    <row r="726" spans="1:1">
      <c r="A726" s="190"/>
    </row>
    <row r="727" spans="1:1">
      <c r="A727" s="190"/>
    </row>
    <row r="728" spans="1:1">
      <c r="A728" s="190"/>
    </row>
    <row r="729" spans="1:1">
      <c r="A729" s="190"/>
    </row>
    <row r="730" spans="1:1">
      <c r="A730" s="190"/>
    </row>
    <row r="731" spans="1:1">
      <c r="A731" s="190"/>
    </row>
    <row r="732" spans="1:1">
      <c r="A732" s="190"/>
    </row>
    <row r="733" spans="1:1">
      <c r="A733" s="190"/>
    </row>
    <row r="734" spans="1:1">
      <c r="A734" s="190"/>
    </row>
    <row r="735" spans="1:1">
      <c r="A735" s="190"/>
    </row>
    <row r="736" spans="1:1">
      <c r="A736" s="190"/>
    </row>
    <row r="737" spans="1:1">
      <c r="A737" s="190"/>
    </row>
    <row r="738" spans="1:1">
      <c r="A738" s="190"/>
    </row>
    <row r="739" spans="1:1">
      <c r="A739" s="190"/>
    </row>
    <row r="740" spans="1:1">
      <c r="A740" s="190"/>
    </row>
    <row r="741" spans="1:1">
      <c r="A741" s="190"/>
    </row>
    <row r="742" spans="1:1">
      <c r="A742" s="190"/>
    </row>
    <row r="743" spans="1:1">
      <c r="A743" s="190"/>
    </row>
    <row r="744" spans="1:1">
      <c r="A744" s="190"/>
    </row>
    <row r="745" spans="1:1">
      <c r="A745" s="190"/>
    </row>
    <row r="746" spans="1:1">
      <c r="A746" s="190"/>
    </row>
    <row r="747" spans="1:1">
      <c r="A747" s="190"/>
    </row>
    <row r="748" spans="1:1">
      <c r="A748" s="190"/>
    </row>
    <row r="749" spans="1:1">
      <c r="A749" s="190"/>
    </row>
    <row r="750" spans="1:1">
      <c r="A750" s="190"/>
    </row>
    <row r="751" spans="1:1">
      <c r="A751" s="190"/>
    </row>
    <row r="752" spans="1:1">
      <c r="A752" s="190"/>
    </row>
    <row r="753" spans="1:1">
      <c r="A753" s="190"/>
    </row>
    <row r="754" spans="1:1">
      <c r="A754" s="190"/>
    </row>
    <row r="755" spans="1:1">
      <c r="A755" s="190"/>
    </row>
    <row r="756" spans="1:1">
      <c r="A756" s="190"/>
    </row>
    <row r="757" spans="1:1">
      <c r="A757" s="190"/>
    </row>
    <row r="758" spans="1:1">
      <c r="A758" s="190"/>
    </row>
    <row r="759" spans="1:1">
      <c r="A759" s="190"/>
    </row>
    <row r="760" spans="1:1">
      <c r="A760" s="190"/>
    </row>
    <row r="761" spans="1:1">
      <c r="A761" s="190"/>
    </row>
    <row r="762" spans="1:1">
      <c r="A762" s="190"/>
    </row>
    <row r="763" spans="1:1">
      <c r="A763" s="190"/>
    </row>
    <row r="764" spans="1:1">
      <c r="A764" s="190"/>
    </row>
    <row r="765" spans="1:1">
      <c r="A765" s="190"/>
    </row>
    <row r="766" spans="1:1">
      <c r="A766" s="190"/>
    </row>
    <row r="767" spans="1:1">
      <c r="A767" s="190"/>
    </row>
    <row r="768" spans="1:1">
      <c r="A768" s="190"/>
    </row>
    <row r="769" spans="1:1">
      <c r="A769" s="190"/>
    </row>
    <row r="770" spans="1:1">
      <c r="A770" s="190"/>
    </row>
    <row r="771" spans="1:1">
      <c r="A771" s="190"/>
    </row>
    <row r="772" spans="1:1">
      <c r="A772" s="190"/>
    </row>
    <row r="773" spans="1:1">
      <c r="A773" s="190"/>
    </row>
    <row r="774" spans="1:1">
      <c r="A774" s="190"/>
    </row>
    <row r="775" spans="1:1">
      <c r="A775" s="190"/>
    </row>
    <row r="776" spans="1:1">
      <c r="A776" s="190"/>
    </row>
    <row r="777" spans="1:1">
      <c r="A777" s="190"/>
    </row>
    <row r="778" spans="1:1">
      <c r="A778" s="190"/>
    </row>
    <row r="779" spans="1:1">
      <c r="A779" s="190"/>
    </row>
    <row r="780" spans="1:1">
      <c r="A780" s="190"/>
    </row>
    <row r="781" spans="1:1">
      <c r="A781" s="190"/>
    </row>
    <row r="782" spans="1:1">
      <c r="A782" s="190"/>
    </row>
    <row r="783" spans="1:1">
      <c r="A783" s="190"/>
    </row>
    <row r="784" spans="1:1">
      <c r="A784" s="190"/>
    </row>
    <row r="785" spans="1:1">
      <c r="A785" s="190"/>
    </row>
    <row r="786" spans="1:1">
      <c r="A786" s="190"/>
    </row>
    <row r="787" spans="1:1">
      <c r="A787" s="190"/>
    </row>
    <row r="788" spans="1:1">
      <c r="A788" s="190"/>
    </row>
    <row r="789" spans="1:1">
      <c r="A789" s="190"/>
    </row>
    <row r="790" spans="1:1">
      <c r="A790" s="190"/>
    </row>
    <row r="791" spans="1:1">
      <c r="A791" s="190"/>
    </row>
    <row r="792" spans="1:1">
      <c r="A792" s="190"/>
    </row>
    <row r="793" spans="1:1">
      <c r="A793" s="190"/>
    </row>
    <row r="794" spans="1:1">
      <c r="A794" s="190"/>
    </row>
    <row r="795" spans="1:1">
      <c r="A795" s="190"/>
    </row>
    <row r="796" spans="1:1">
      <c r="A796" s="190"/>
    </row>
    <row r="797" spans="1:1">
      <c r="A797" s="190"/>
    </row>
    <row r="798" spans="1:1">
      <c r="A798" s="190"/>
    </row>
    <row r="799" spans="1:1">
      <c r="A799" s="190"/>
    </row>
    <row r="800" spans="1:1">
      <c r="A800" s="190"/>
    </row>
    <row r="801" spans="1:1">
      <c r="A801" s="190"/>
    </row>
    <row r="802" spans="1:1">
      <c r="A802" s="190"/>
    </row>
    <row r="803" spans="1:1">
      <c r="A803" s="190"/>
    </row>
    <row r="804" spans="1:1">
      <c r="A804" s="190"/>
    </row>
    <row r="805" spans="1:1">
      <c r="A805" s="190"/>
    </row>
    <row r="806" spans="1:1">
      <c r="A806" s="190"/>
    </row>
    <row r="807" spans="1:1">
      <c r="A807" s="190"/>
    </row>
    <row r="808" spans="1:1">
      <c r="A808" s="190"/>
    </row>
    <row r="809" spans="1:1">
      <c r="A809" s="190"/>
    </row>
    <row r="810" spans="1:1">
      <c r="A810" s="190"/>
    </row>
    <row r="811" spans="1:1">
      <c r="A811" s="190"/>
    </row>
    <row r="812" spans="1:1">
      <c r="A812" s="190"/>
    </row>
    <row r="813" spans="1:1">
      <c r="A813" s="190"/>
    </row>
    <row r="814" spans="1:1">
      <c r="A814" s="190"/>
    </row>
    <row r="815" spans="1:1">
      <c r="A815" s="190"/>
    </row>
    <row r="816" spans="1:1">
      <c r="A816" s="190"/>
    </row>
    <row r="817" spans="1:1">
      <c r="A817" s="190"/>
    </row>
    <row r="818" spans="1:1">
      <c r="A818" s="190"/>
    </row>
    <row r="819" spans="1:1">
      <c r="A819" s="190"/>
    </row>
    <row r="820" spans="1:1">
      <c r="A820" s="190"/>
    </row>
    <row r="821" spans="1:1">
      <c r="A821" s="190"/>
    </row>
    <row r="822" spans="1:1">
      <c r="A822" s="190"/>
    </row>
    <row r="823" spans="1:1">
      <c r="A823" s="190"/>
    </row>
    <row r="824" spans="1:1">
      <c r="A824" s="190"/>
    </row>
    <row r="825" spans="1:1">
      <c r="A825" s="190"/>
    </row>
    <row r="826" spans="1:1">
      <c r="A826" s="190"/>
    </row>
    <row r="827" spans="1:1">
      <c r="A827" s="190"/>
    </row>
    <row r="828" spans="1:1">
      <c r="A828" s="190"/>
    </row>
    <row r="829" spans="1:1">
      <c r="A829" s="190"/>
    </row>
    <row r="830" spans="1:1">
      <c r="A830" s="190"/>
    </row>
    <row r="831" spans="1:1">
      <c r="A831" s="190"/>
    </row>
    <row r="832" spans="1:1">
      <c r="A832" s="190"/>
    </row>
    <row r="833" spans="1:1">
      <c r="A833" s="190"/>
    </row>
    <row r="834" spans="1:1">
      <c r="A834" s="190"/>
    </row>
    <row r="835" spans="1:1">
      <c r="A835" s="190"/>
    </row>
    <row r="836" spans="1:1">
      <c r="A836" s="190"/>
    </row>
    <row r="837" spans="1:1">
      <c r="A837" s="190"/>
    </row>
    <row r="838" spans="1:1">
      <c r="A838" s="190"/>
    </row>
    <row r="839" spans="1:1">
      <c r="A839" s="190"/>
    </row>
    <row r="840" spans="1:1">
      <c r="A840" s="190"/>
    </row>
    <row r="841" spans="1:1">
      <c r="A841" s="190"/>
    </row>
    <row r="842" spans="1:1">
      <c r="A842" s="190"/>
    </row>
    <row r="843" spans="1:1">
      <c r="A843" s="190"/>
    </row>
    <row r="844" spans="1:1">
      <c r="A844" s="190"/>
    </row>
    <row r="845" spans="1:1">
      <c r="A845" s="190"/>
    </row>
    <row r="846" spans="1:1">
      <c r="A846" s="190"/>
    </row>
    <row r="847" spans="1:1">
      <c r="A847" s="190"/>
    </row>
    <row r="848" spans="1:1">
      <c r="A848" s="190"/>
    </row>
    <row r="849" spans="1:1">
      <c r="A849" s="190"/>
    </row>
    <row r="850" spans="1:1">
      <c r="A850" s="190"/>
    </row>
    <row r="851" spans="1:1">
      <c r="A851" s="190"/>
    </row>
    <row r="852" spans="1:1">
      <c r="A852" s="190"/>
    </row>
    <row r="853" spans="1:1">
      <c r="A853" s="190"/>
    </row>
    <row r="854" spans="1:1">
      <c r="A854" s="190"/>
    </row>
    <row r="855" spans="1:1">
      <c r="A855" s="190"/>
    </row>
    <row r="856" spans="1:1">
      <c r="A856" s="190"/>
    </row>
    <row r="857" spans="1:1">
      <c r="A857" s="190"/>
    </row>
    <row r="858" spans="1:1">
      <c r="A858" s="190"/>
    </row>
    <row r="859" spans="1:1">
      <c r="A859" s="190"/>
    </row>
    <row r="860" spans="1:1">
      <c r="A860" s="190"/>
    </row>
    <row r="861" spans="1:1">
      <c r="A861" s="190"/>
    </row>
    <row r="862" spans="1:1">
      <c r="A862" s="190"/>
    </row>
    <row r="863" spans="1:1">
      <c r="A863" s="190"/>
    </row>
    <row r="864" spans="1:1">
      <c r="A864" s="190"/>
    </row>
    <row r="865" spans="1:1">
      <c r="A865" s="190"/>
    </row>
    <row r="866" spans="1:1">
      <c r="A866" s="190"/>
    </row>
    <row r="867" spans="1:1">
      <c r="A867" s="190"/>
    </row>
    <row r="868" spans="1:1">
      <c r="A868" s="190"/>
    </row>
    <row r="869" spans="1:1">
      <c r="A869" s="190"/>
    </row>
    <row r="870" spans="1:1">
      <c r="A870" s="190"/>
    </row>
    <row r="871" spans="1:1">
      <c r="A871" s="190"/>
    </row>
    <row r="872" spans="1:1">
      <c r="A872" s="190"/>
    </row>
    <row r="873" spans="1:1">
      <c r="A873" s="190"/>
    </row>
    <row r="874" spans="1:1">
      <c r="A874" s="190"/>
    </row>
    <row r="875" spans="1:1">
      <c r="A875" s="190"/>
    </row>
    <row r="876" spans="1:1">
      <c r="A876" s="190"/>
    </row>
    <row r="877" spans="1:1">
      <c r="A877" s="190"/>
    </row>
    <row r="878" spans="1:1">
      <c r="A878" s="190"/>
    </row>
    <row r="879" spans="1:1">
      <c r="A879" s="190"/>
    </row>
    <row r="880" spans="1:1">
      <c r="A880" s="190"/>
    </row>
    <row r="881" spans="1:1">
      <c r="A881" s="190"/>
    </row>
    <row r="882" spans="1:1">
      <c r="A882" s="190"/>
    </row>
    <row r="883" spans="1:1">
      <c r="A883" s="190"/>
    </row>
    <row r="884" spans="1:1">
      <c r="A884" s="190"/>
    </row>
    <row r="885" spans="1:1">
      <c r="A885" s="190"/>
    </row>
    <row r="886" spans="1:1">
      <c r="A886" s="190"/>
    </row>
    <row r="887" spans="1:1">
      <c r="A887" s="190"/>
    </row>
    <row r="888" spans="1:1">
      <c r="A888" s="190"/>
    </row>
    <row r="889" spans="1:1">
      <c r="A889" s="190"/>
    </row>
    <row r="890" spans="1:1">
      <c r="A890" s="190"/>
    </row>
    <row r="891" spans="1:1">
      <c r="A891" s="190"/>
    </row>
    <row r="892" spans="1:1">
      <c r="A892" s="190"/>
    </row>
    <row r="893" spans="1:1">
      <c r="A893" s="190"/>
    </row>
    <row r="894" spans="1:1">
      <c r="A894" s="190"/>
    </row>
    <row r="895" spans="1:1">
      <c r="A895" s="190"/>
    </row>
    <row r="896" spans="1:1">
      <c r="A896" s="190"/>
    </row>
    <row r="897" spans="1:1">
      <c r="A897" s="190"/>
    </row>
    <row r="898" spans="1:1">
      <c r="A898" s="190"/>
    </row>
    <row r="899" spans="1:1">
      <c r="A899" s="190"/>
    </row>
    <row r="900" spans="1:1">
      <c r="A900" s="190"/>
    </row>
    <row r="901" spans="1:1">
      <c r="A901" s="190"/>
    </row>
    <row r="902" spans="1:1">
      <c r="A902" s="190"/>
    </row>
    <row r="903" spans="1:1">
      <c r="A903" s="190"/>
    </row>
    <row r="904" spans="1:1">
      <c r="A904" s="190"/>
    </row>
    <row r="905" spans="1:1">
      <c r="A905" s="190"/>
    </row>
    <row r="906" spans="1:1">
      <c r="A906" s="190"/>
    </row>
    <row r="907" spans="1:1">
      <c r="A907" s="190"/>
    </row>
    <row r="908" spans="1:1">
      <c r="A908" s="190"/>
    </row>
    <row r="909" spans="1:1">
      <c r="A909" s="190"/>
    </row>
    <row r="910" spans="1:1">
      <c r="A910" s="190"/>
    </row>
    <row r="911" spans="1:1">
      <c r="A911" s="190"/>
    </row>
    <row r="912" spans="1:1">
      <c r="A912" s="190"/>
    </row>
    <row r="913" spans="1:1">
      <c r="A913" s="190"/>
    </row>
    <row r="914" spans="1:1">
      <c r="A914" s="190"/>
    </row>
    <row r="915" spans="1:1">
      <c r="A915" s="190"/>
    </row>
    <row r="916" spans="1:1">
      <c r="A916" s="190"/>
    </row>
    <row r="917" spans="1:1">
      <c r="A917" s="190"/>
    </row>
    <row r="918" spans="1:1">
      <c r="A918" s="190"/>
    </row>
    <row r="919" spans="1:1">
      <c r="A919" s="190"/>
    </row>
    <row r="920" spans="1:1">
      <c r="A920" s="190"/>
    </row>
    <row r="921" spans="1:1">
      <c r="A921" s="190"/>
    </row>
    <row r="922" spans="1:1">
      <c r="A922" s="190"/>
    </row>
    <row r="923" spans="1:1">
      <c r="A923" s="190"/>
    </row>
    <row r="924" spans="1:1">
      <c r="A924" s="190"/>
    </row>
    <row r="925" spans="1:1">
      <c r="A925" s="190"/>
    </row>
    <row r="926" spans="1:1">
      <c r="A926" s="190"/>
    </row>
    <row r="927" spans="1:1">
      <c r="A927" s="190"/>
    </row>
    <row r="928" spans="1:1">
      <c r="A928" s="190"/>
    </row>
    <row r="929" spans="1:1">
      <c r="A929" s="190"/>
    </row>
    <row r="930" spans="1:1">
      <c r="A930" s="190"/>
    </row>
    <row r="931" spans="1:1">
      <c r="A931" s="190"/>
    </row>
    <row r="932" spans="1:1">
      <c r="A932" s="190"/>
    </row>
    <row r="933" spans="1:1">
      <c r="A933" s="190"/>
    </row>
    <row r="934" spans="1:1">
      <c r="A934" s="190"/>
    </row>
    <row r="935" spans="1:1">
      <c r="A935" s="190"/>
    </row>
    <row r="936" spans="1:1">
      <c r="A936" s="190"/>
    </row>
    <row r="937" spans="1:1">
      <c r="A937" s="190"/>
    </row>
    <row r="938" spans="1:1">
      <c r="A938" s="190"/>
    </row>
    <row r="939" spans="1:1">
      <c r="A939" s="190"/>
    </row>
    <row r="940" spans="1:1">
      <c r="A940" s="190"/>
    </row>
    <row r="941" spans="1:1">
      <c r="A941" s="190"/>
    </row>
    <row r="942" spans="1:1">
      <c r="A942" s="190"/>
    </row>
    <row r="943" spans="1:1">
      <c r="A943" s="190"/>
    </row>
    <row r="944" spans="1:1">
      <c r="A944" s="190"/>
    </row>
    <row r="945" spans="1:1">
      <c r="A945" s="190"/>
    </row>
    <row r="946" spans="1:1">
      <c r="A946" s="190"/>
    </row>
    <row r="947" spans="1:1">
      <c r="A947" s="190"/>
    </row>
    <row r="948" spans="1:1">
      <c r="A948" s="190"/>
    </row>
    <row r="949" spans="1:1">
      <c r="A949" s="190"/>
    </row>
    <row r="950" spans="1:1">
      <c r="A950" s="190"/>
    </row>
    <row r="951" spans="1:1">
      <c r="A951" s="190"/>
    </row>
    <row r="952" spans="1:1">
      <c r="A952" s="190"/>
    </row>
    <row r="953" spans="1:1">
      <c r="A953" s="190"/>
    </row>
    <row r="954" spans="1:1">
      <c r="A954" s="190"/>
    </row>
    <row r="955" spans="1:1">
      <c r="A955" s="190"/>
    </row>
    <row r="956" spans="1:1">
      <c r="A956" s="190"/>
    </row>
    <row r="957" spans="1:1">
      <c r="A957" s="190"/>
    </row>
    <row r="958" spans="1:1">
      <c r="A958" s="190"/>
    </row>
    <row r="959" spans="1:1">
      <c r="A959" s="190"/>
    </row>
    <row r="960" spans="1:1">
      <c r="A960" s="190"/>
    </row>
    <row r="961" spans="1:1">
      <c r="A961" s="190"/>
    </row>
    <row r="962" spans="1:1">
      <c r="A962" s="190"/>
    </row>
    <row r="963" spans="1:1">
      <c r="A963" s="190"/>
    </row>
    <row r="964" spans="1:1">
      <c r="A964" s="190"/>
    </row>
    <row r="965" spans="1:1">
      <c r="A965" s="190"/>
    </row>
    <row r="966" spans="1:1">
      <c r="A966" s="190"/>
    </row>
    <row r="967" spans="1:1">
      <c r="A967" s="190"/>
    </row>
    <row r="968" spans="1:1">
      <c r="A968" s="190"/>
    </row>
    <row r="969" spans="1:1">
      <c r="A969" s="190"/>
    </row>
    <row r="970" spans="1:1">
      <c r="A970" s="190"/>
    </row>
    <row r="971" spans="1:1">
      <c r="A971" s="190"/>
    </row>
    <row r="972" spans="1:1">
      <c r="A972" s="190"/>
    </row>
    <row r="973" spans="1:1">
      <c r="A973" s="190"/>
    </row>
    <row r="974" spans="1:1">
      <c r="A974" s="190"/>
    </row>
    <row r="975" spans="1:1">
      <c r="A975" s="190"/>
    </row>
    <row r="976" spans="1:1">
      <c r="A976" s="190"/>
    </row>
    <row r="977" spans="1:1">
      <c r="A977" s="190"/>
    </row>
    <row r="978" spans="1:1">
      <c r="A978" s="190"/>
    </row>
    <row r="979" spans="1:1">
      <c r="A979" s="190"/>
    </row>
    <row r="980" spans="1:1">
      <c r="A980" s="190"/>
    </row>
    <row r="981" spans="1:1">
      <c r="A981" s="190"/>
    </row>
    <row r="982" spans="1:1">
      <c r="A982" s="190"/>
    </row>
    <row r="983" spans="1:1">
      <c r="A983" s="190"/>
    </row>
    <row r="984" spans="1:1">
      <c r="A984" s="190"/>
    </row>
    <row r="985" spans="1:1">
      <c r="A985" s="190"/>
    </row>
    <row r="986" spans="1:1">
      <c r="A986" s="190"/>
    </row>
    <row r="987" spans="1:1">
      <c r="A987" s="190"/>
    </row>
    <row r="988" spans="1:1">
      <c r="A988" s="190"/>
    </row>
    <row r="989" spans="1:1">
      <c r="A989" s="190"/>
    </row>
    <row r="990" spans="1:1">
      <c r="A990" s="190"/>
    </row>
    <row r="991" spans="1:1">
      <c r="A991" s="190"/>
    </row>
    <row r="992" spans="1:1">
      <c r="A992" s="190"/>
    </row>
    <row r="993" spans="1:1">
      <c r="A993" s="190"/>
    </row>
    <row r="994" spans="1:1">
      <c r="A994" s="190"/>
    </row>
    <row r="995" spans="1:1">
      <c r="A995" s="190"/>
    </row>
    <row r="996" spans="1:1">
      <c r="A996" s="190"/>
    </row>
    <row r="997" spans="1:1">
      <c r="A997" s="190"/>
    </row>
    <row r="998" spans="1:1">
      <c r="A998" s="190"/>
    </row>
    <row r="999" spans="1:1">
      <c r="A999" s="190"/>
    </row>
    <row r="1000" spans="1:1">
      <c r="A1000" s="190"/>
    </row>
    <row r="1001" spans="1:1">
      <c r="A1001" s="190"/>
    </row>
    <row r="1002" spans="1:1">
      <c r="A1002" s="190"/>
    </row>
    <row r="1003" spans="1:1">
      <c r="A1003" s="190"/>
    </row>
    <row r="1004" spans="1:1">
      <c r="A1004" s="190"/>
    </row>
    <row r="1005" spans="1:1">
      <c r="A1005" s="190"/>
    </row>
    <row r="1006" spans="1:1">
      <c r="A1006" s="190"/>
    </row>
    <row r="1007" spans="1:1">
      <c r="A1007" s="190"/>
    </row>
    <row r="1008" spans="1:1">
      <c r="A1008" s="190"/>
    </row>
    <row r="1009" spans="1:1">
      <c r="A1009" s="190"/>
    </row>
    <row r="1010" spans="1:1">
      <c r="A1010" s="190"/>
    </row>
    <row r="1011" spans="1:1">
      <c r="A1011" s="190"/>
    </row>
    <row r="1012" spans="1:1">
      <c r="A1012" s="190"/>
    </row>
    <row r="1013" spans="1:1">
      <c r="A1013" s="190"/>
    </row>
    <row r="1014" spans="1:1">
      <c r="A1014" s="190"/>
    </row>
    <row r="1015" spans="1:1">
      <c r="A1015" s="190"/>
    </row>
    <row r="1016" spans="1:1">
      <c r="A1016" s="190"/>
    </row>
    <row r="1017" spans="1:1">
      <c r="A1017" s="190"/>
    </row>
    <row r="1018" spans="1:1">
      <c r="A1018" s="190"/>
    </row>
    <row r="1019" spans="1:1">
      <c r="A1019" s="190"/>
    </row>
    <row r="1020" spans="1:1">
      <c r="A1020" s="190"/>
    </row>
    <row r="1021" spans="1:1">
      <c r="A1021" s="190"/>
    </row>
    <row r="1022" spans="1:1">
      <c r="A1022" s="190"/>
    </row>
    <row r="1023" spans="1:1">
      <c r="A1023" s="190"/>
    </row>
    <row r="1024" spans="1:1">
      <c r="A1024" s="190"/>
    </row>
    <row r="1025" spans="1:1">
      <c r="A1025" s="190"/>
    </row>
    <row r="1026" spans="1:1">
      <c r="A1026" s="190"/>
    </row>
    <row r="1027" spans="1:1">
      <c r="A1027" s="190"/>
    </row>
    <row r="1028" spans="1:1">
      <c r="A1028" s="190"/>
    </row>
    <row r="1029" spans="1:1">
      <c r="A1029" s="190"/>
    </row>
    <row r="1030" spans="1:1">
      <c r="A1030" s="190"/>
    </row>
    <row r="1031" spans="1:1">
      <c r="A1031" s="190"/>
    </row>
    <row r="1032" spans="1:1">
      <c r="A1032" s="190"/>
    </row>
    <row r="1033" spans="1:1">
      <c r="A1033" s="190"/>
    </row>
    <row r="1034" spans="1:1">
      <c r="A1034" s="190"/>
    </row>
    <row r="1035" spans="1:1">
      <c r="A1035" s="190"/>
    </row>
    <row r="1036" spans="1:1">
      <c r="A1036" s="190"/>
    </row>
    <row r="1037" spans="1:1">
      <c r="A1037" s="190"/>
    </row>
    <row r="1038" spans="1:1">
      <c r="A1038" s="190"/>
    </row>
    <row r="1039" spans="1:1">
      <c r="A1039" s="190"/>
    </row>
    <row r="1040" spans="1:1">
      <c r="A1040" s="190"/>
    </row>
    <row r="1041" spans="1:1">
      <c r="A1041" s="190"/>
    </row>
    <row r="1042" spans="1:1">
      <c r="A1042" s="190"/>
    </row>
    <row r="1043" spans="1:1">
      <c r="A1043" s="190"/>
    </row>
    <row r="1044" spans="1:1">
      <c r="A1044" s="190"/>
    </row>
    <row r="1045" spans="1:1">
      <c r="A1045" s="190"/>
    </row>
    <row r="1046" spans="1:1">
      <c r="A1046" s="190"/>
    </row>
    <row r="1047" spans="1:1">
      <c r="A1047" s="190"/>
    </row>
    <row r="1048" spans="1:1">
      <c r="A1048" s="190"/>
    </row>
    <row r="1049" spans="1:1">
      <c r="A1049" s="190"/>
    </row>
    <row r="1050" spans="1:1">
      <c r="A1050" s="190"/>
    </row>
    <row r="1051" spans="1:1">
      <c r="A1051" s="190"/>
    </row>
    <row r="1052" spans="1:1">
      <c r="A1052" s="190"/>
    </row>
    <row r="1053" spans="1:1">
      <c r="A1053" s="190"/>
    </row>
    <row r="1054" spans="1:1">
      <c r="A1054" s="190"/>
    </row>
    <row r="1055" spans="1:1">
      <c r="A1055" s="190"/>
    </row>
    <row r="1056" spans="1:1">
      <c r="A1056" s="190"/>
    </row>
    <row r="1057" spans="1:1">
      <c r="A1057" s="190"/>
    </row>
    <row r="1058" spans="1:1">
      <c r="A1058" s="190"/>
    </row>
    <row r="1059" spans="1:1">
      <c r="A1059" s="190"/>
    </row>
    <row r="1060" spans="1:1">
      <c r="A1060" s="190"/>
    </row>
    <row r="1061" spans="1:1">
      <c r="A1061" s="190"/>
    </row>
    <row r="1062" spans="1:1">
      <c r="A1062" s="190"/>
    </row>
    <row r="1063" spans="1:1">
      <c r="A1063" s="190"/>
    </row>
    <row r="1064" spans="1:1">
      <c r="A1064" s="190"/>
    </row>
    <row r="1065" spans="1:1">
      <c r="A1065" s="190"/>
    </row>
    <row r="1066" spans="1:1">
      <c r="A1066" s="190"/>
    </row>
    <row r="1067" spans="1:1">
      <c r="A1067" s="190"/>
    </row>
    <row r="1068" spans="1:1">
      <c r="A1068" s="190"/>
    </row>
    <row r="1069" spans="1:1">
      <c r="A1069" s="190"/>
    </row>
    <row r="1070" spans="1:1">
      <c r="A1070" s="190"/>
    </row>
    <row r="1071" spans="1:1">
      <c r="A1071" s="190"/>
    </row>
    <row r="1072" spans="1:1">
      <c r="A1072" s="190"/>
    </row>
    <row r="1073" spans="1:1">
      <c r="A1073" s="190"/>
    </row>
    <row r="1074" spans="1:1">
      <c r="A1074" s="190"/>
    </row>
    <row r="1075" spans="1:1">
      <c r="A1075" s="190"/>
    </row>
    <row r="1076" spans="1:1">
      <c r="A1076" s="190"/>
    </row>
    <row r="1077" spans="1:1">
      <c r="A1077" s="190"/>
    </row>
    <row r="1078" spans="1:1">
      <c r="A1078" s="190"/>
    </row>
    <row r="1079" spans="1:1">
      <c r="A1079" s="190"/>
    </row>
    <row r="1080" spans="1:1">
      <c r="A1080" s="190"/>
    </row>
    <row r="1081" spans="1:1">
      <c r="A1081" s="190"/>
    </row>
    <row r="1082" spans="1:1">
      <c r="A1082" s="190"/>
    </row>
    <row r="1083" spans="1:1">
      <c r="A1083" s="190"/>
    </row>
    <row r="1084" spans="1:1">
      <c r="A1084" s="190"/>
    </row>
    <row r="1085" spans="1:1">
      <c r="A1085" s="190"/>
    </row>
    <row r="1086" spans="1:1">
      <c r="A1086" s="190"/>
    </row>
    <row r="1087" spans="1:1">
      <c r="A1087" s="190"/>
    </row>
    <row r="1088" spans="1:1">
      <c r="A1088" s="190"/>
    </row>
    <row r="1089" spans="1:1">
      <c r="A1089" s="190"/>
    </row>
    <row r="1090" spans="1:1">
      <c r="A1090" s="190"/>
    </row>
    <row r="1091" spans="1:1">
      <c r="A1091" s="190"/>
    </row>
    <row r="1092" spans="1:1">
      <c r="A1092" s="190"/>
    </row>
    <row r="1093" spans="1:1">
      <c r="A1093" s="190"/>
    </row>
    <row r="1094" spans="1:1">
      <c r="A1094" s="190"/>
    </row>
    <row r="1095" spans="1:1">
      <c r="A1095" s="190"/>
    </row>
    <row r="1096" spans="1:1">
      <c r="A1096" s="190"/>
    </row>
    <row r="1097" spans="1:1">
      <c r="A1097" s="190"/>
    </row>
    <row r="1098" spans="1:1">
      <c r="A1098" s="190"/>
    </row>
    <row r="1099" spans="1:1">
      <c r="A1099" s="190"/>
    </row>
    <row r="1100" spans="1:1">
      <c r="A1100" s="190"/>
    </row>
    <row r="1101" spans="1:1">
      <c r="A1101" s="190"/>
    </row>
    <row r="1102" spans="1:1">
      <c r="A1102" s="190"/>
    </row>
    <row r="1103" spans="1:1">
      <c r="A1103" s="190"/>
    </row>
    <row r="1104" spans="1:1">
      <c r="A1104" s="190"/>
    </row>
    <row r="1105" spans="1:1">
      <c r="A1105" s="190"/>
    </row>
    <row r="1106" spans="1:1">
      <c r="A1106" s="190"/>
    </row>
    <row r="1107" spans="1:1">
      <c r="A1107" s="190"/>
    </row>
    <row r="1108" spans="1:1">
      <c r="A1108" s="190"/>
    </row>
    <row r="1109" spans="1:1">
      <c r="A1109" s="190"/>
    </row>
    <row r="1110" spans="1:1">
      <c r="A1110" s="190"/>
    </row>
    <row r="1111" spans="1:1">
      <c r="A1111" s="190"/>
    </row>
    <row r="1112" spans="1:1">
      <c r="A1112" s="190"/>
    </row>
    <row r="1113" spans="1:1">
      <c r="A1113" s="190"/>
    </row>
    <row r="1114" spans="1:1">
      <c r="A1114" s="190"/>
    </row>
    <row r="1115" spans="1:1">
      <c r="A1115" s="190"/>
    </row>
    <row r="1116" spans="1:1">
      <c r="A1116" s="190"/>
    </row>
    <row r="1117" spans="1:1">
      <c r="A1117" s="190"/>
    </row>
    <row r="1118" spans="1:1">
      <c r="A1118" s="190"/>
    </row>
    <row r="1119" spans="1:1">
      <c r="A1119" s="190"/>
    </row>
    <row r="1120" spans="1:1">
      <c r="A1120" s="190"/>
    </row>
    <row r="1121" spans="1:1">
      <c r="A1121" s="190"/>
    </row>
    <row r="1122" spans="1:1">
      <c r="A1122" s="190"/>
    </row>
    <row r="1123" spans="1:1">
      <c r="A1123" s="190"/>
    </row>
    <row r="1124" spans="1:1">
      <c r="A1124" s="190"/>
    </row>
    <row r="1125" spans="1:1">
      <c r="A1125" s="190"/>
    </row>
    <row r="1126" spans="1:1">
      <c r="A1126" s="190"/>
    </row>
    <row r="1127" spans="1:1">
      <c r="A1127" s="190"/>
    </row>
    <row r="1128" spans="1:1">
      <c r="A1128" s="190"/>
    </row>
    <row r="1129" spans="1:1">
      <c r="A1129" s="190"/>
    </row>
    <row r="1130" spans="1:1">
      <c r="A1130" s="190"/>
    </row>
    <row r="1131" spans="1:1">
      <c r="A1131" s="190"/>
    </row>
    <row r="1132" spans="1:1">
      <c r="A1132" s="190"/>
    </row>
    <row r="1133" spans="1:1">
      <c r="A1133" s="190"/>
    </row>
    <row r="1134" spans="1:1">
      <c r="A1134" s="190"/>
    </row>
    <row r="1135" spans="1:1">
      <c r="A1135" s="190"/>
    </row>
    <row r="1136" spans="1:1">
      <c r="A1136" s="190"/>
    </row>
    <row r="1137" spans="1:1">
      <c r="A1137" s="190"/>
    </row>
    <row r="1138" spans="1:1">
      <c r="A1138" s="190"/>
    </row>
    <row r="1139" spans="1:1">
      <c r="A1139" s="190"/>
    </row>
    <row r="1140" spans="1:1">
      <c r="A1140" s="190"/>
    </row>
    <row r="1141" spans="1:1">
      <c r="A1141" s="190"/>
    </row>
    <row r="1142" spans="1:1">
      <c r="A1142" s="190"/>
    </row>
    <row r="1143" spans="1:1">
      <c r="A1143" s="190"/>
    </row>
    <row r="1144" spans="1:1">
      <c r="A1144" s="190"/>
    </row>
    <row r="1145" spans="1:1">
      <c r="A1145" s="190"/>
    </row>
    <row r="1146" spans="1:1">
      <c r="A1146" s="190"/>
    </row>
    <row r="1147" spans="1:1">
      <c r="A1147" s="190"/>
    </row>
    <row r="1148" spans="1:1">
      <c r="A1148" s="190"/>
    </row>
    <row r="1149" spans="1:1">
      <c r="A1149" s="190"/>
    </row>
    <row r="1150" spans="1:1">
      <c r="A1150" s="190"/>
    </row>
    <row r="1151" spans="1:1">
      <c r="A1151" s="190"/>
    </row>
    <row r="1152" spans="1:1">
      <c r="A1152" s="190"/>
    </row>
    <row r="1153" spans="1:1">
      <c r="A1153" s="190"/>
    </row>
    <row r="1154" spans="1:1">
      <c r="A1154" s="190"/>
    </row>
    <row r="1155" spans="1:1">
      <c r="A1155" s="190"/>
    </row>
    <row r="1156" spans="1:1">
      <c r="A1156" s="190"/>
    </row>
    <row r="1157" spans="1:1">
      <c r="A1157" s="190"/>
    </row>
    <row r="1158" spans="1:1">
      <c r="A1158" s="190"/>
    </row>
    <row r="1159" spans="1:1">
      <c r="A1159" s="190"/>
    </row>
    <row r="1160" spans="1:1">
      <c r="A1160" s="190"/>
    </row>
    <row r="1161" spans="1:1">
      <c r="A1161" s="190"/>
    </row>
    <row r="1162" spans="1:1">
      <c r="A1162" s="190"/>
    </row>
    <row r="1163" spans="1:1">
      <c r="A1163" s="190"/>
    </row>
    <row r="1164" spans="1:1">
      <c r="A1164" s="190"/>
    </row>
    <row r="1165" spans="1:1">
      <c r="A1165" s="190"/>
    </row>
    <row r="1166" spans="1:1">
      <c r="A1166" s="190"/>
    </row>
    <row r="1167" spans="1:1">
      <c r="A1167" s="190"/>
    </row>
    <row r="1168" spans="1:1">
      <c r="A1168" s="190"/>
    </row>
    <row r="1169" spans="1:1">
      <c r="A1169" s="190"/>
    </row>
    <row r="1170" spans="1:1">
      <c r="A1170" s="190"/>
    </row>
    <row r="1171" spans="1:1">
      <c r="A1171" s="190"/>
    </row>
    <row r="1172" spans="1:1">
      <c r="A1172" s="190"/>
    </row>
    <row r="1173" spans="1:1">
      <c r="A1173" s="190"/>
    </row>
    <row r="1174" spans="1:1">
      <c r="A1174" s="190"/>
    </row>
    <row r="1175" spans="1:1">
      <c r="A1175" s="190"/>
    </row>
    <row r="1176" spans="1:1">
      <c r="A1176" s="190"/>
    </row>
    <row r="1177" spans="1:1">
      <c r="A1177" s="190"/>
    </row>
    <row r="1178" spans="1:1">
      <c r="A1178" s="190"/>
    </row>
    <row r="1179" spans="1:1">
      <c r="A1179" s="190"/>
    </row>
    <row r="1180" spans="1:1">
      <c r="A1180" s="190"/>
    </row>
    <row r="1181" spans="1:1">
      <c r="A1181" s="190"/>
    </row>
    <row r="1182" spans="1:1">
      <c r="A1182" s="190"/>
    </row>
    <row r="1183" spans="1:1">
      <c r="A1183" s="190"/>
    </row>
    <row r="1184" spans="1:1">
      <c r="A1184" s="190"/>
    </row>
    <row r="1185" spans="1:1">
      <c r="A1185" s="190"/>
    </row>
    <row r="1186" spans="1:1">
      <c r="A1186" s="190"/>
    </row>
    <row r="1187" spans="1:1">
      <c r="A1187" s="190"/>
    </row>
    <row r="1188" spans="1:1">
      <c r="A1188" s="190"/>
    </row>
    <row r="1189" spans="1:1">
      <c r="A1189" s="190"/>
    </row>
    <row r="1190" spans="1:1">
      <c r="A1190" s="190"/>
    </row>
    <row r="1191" spans="1:1">
      <c r="A1191" s="190"/>
    </row>
    <row r="1192" spans="1:1">
      <c r="A1192" s="190"/>
    </row>
    <row r="1193" spans="1:1">
      <c r="A1193" s="190"/>
    </row>
    <row r="1194" spans="1:1">
      <c r="A1194" s="190"/>
    </row>
    <row r="1195" spans="1:1">
      <c r="A1195" s="190"/>
    </row>
    <row r="1196" spans="1:1">
      <c r="A1196" s="190"/>
    </row>
    <row r="1197" spans="1:1">
      <c r="A1197" s="190"/>
    </row>
    <row r="1198" spans="1:1">
      <c r="A1198" s="190"/>
    </row>
    <row r="1199" spans="1:1">
      <c r="A1199" s="190"/>
    </row>
    <row r="1200" spans="1:1">
      <c r="A1200" s="190"/>
    </row>
    <row r="1201" spans="1:1">
      <c r="A1201" s="190"/>
    </row>
    <row r="1202" spans="1:1">
      <c r="A1202" s="190"/>
    </row>
    <row r="1203" spans="1:1">
      <c r="A1203" s="190"/>
    </row>
    <row r="1204" spans="1:1">
      <c r="A1204" s="190"/>
    </row>
    <row r="1205" spans="1:1">
      <c r="A1205" s="190"/>
    </row>
    <row r="1206" spans="1:1">
      <c r="A1206" s="190"/>
    </row>
    <row r="1207" spans="1:1">
      <c r="A1207" s="190"/>
    </row>
    <row r="1208" spans="1:1">
      <c r="A1208" s="190"/>
    </row>
    <row r="1209" spans="1:1">
      <c r="A1209" s="190"/>
    </row>
    <row r="1210" spans="1:1">
      <c r="A1210" s="190"/>
    </row>
    <row r="1211" spans="1:1">
      <c r="A1211" s="190"/>
    </row>
    <row r="1212" spans="1:1">
      <c r="A1212" s="190"/>
    </row>
    <row r="1213" spans="1:1">
      <c r="A1213" s="190"/>
    </row>
    <row r="1214" spans="1:1">
      <c r="A1214" s="190"/>
    </row>
    <row r="1215" spans="1:1">
      <c r="A1215" s="190"/>
    </row>
    <row r="1216" spans="1:1">
      <c r="A1216" s="190"/>
    </row>
    <row r="1217" spans="1:1">
      <c r="A1217" s="190"/>
    </row>
    <row r="1218" spans="1:1">
      <c r="A1218" s="190"/>
    </row>
    <row r="1219" spans="1:1">
      <c r="A1219" s="190"/>
    </row>
    <row r="1220" spans="1:1">
      <c r="A1220" s="190"/>
    </row>
    <row r="1221" spans="1:1">
      <c r="A1221" s="190"/>
    </row>
    <row r="1222" spans="1:1">
      <c r="A1222" s="190"/>
    </row>
    <row r="1223" spans="1:1">
      <c r="A1223" s="190"/>
    </row>
    <row r="1224" spans="1:1">
      <c r="A1224" s="190"/>
    </row>
    <row r="1225" spans="1:1">
      <c r="A1225" s="190"/>
    </row>
    <row r="1226" spans="1:1">
      <c r="A1226" s="190"/>
    </row>
    <row r="1227" spans="1:1">
      <c r="A1227" s="190"/>
    </row>
    <row r="1228" spans="1:1">
      <c r="A1228" s="190"/>
    </row>
    <row r="1229" spans="1:1">
      <c r="A1229" s="190"/>
    </row>
    <row r="1230" spans="1:1">
      <c r="A1230" s="190"/>
    </row>
    <row r="1231" spans="1:1">
      <c r="A1231" s="190"/>
    </row>
    <row r="1232" spans="1:1">
      <c r="A1232" s="190"/>
    </row>
    <row r="1233" spans="1:1">
      <c r="A1233" s="190"/>
    </row>
    <row r="1234" spans="1:1">
      <c r="A1234" s="190"/>
    </row>
    <row r="1235" spans="1:1">
      <c r="A1235" s="190"/>
    </row>
    <row r="1236" spans="1:1">
      <c r="A1236" s="190"/>
    </row>
    <row r="1237" spans="1:1">
      <c r="A1237" s="190"/>
    </row>
    <row r="1238" spans="1:1">
      <c r="A1238" s="190"/>
    </row>
    <row r="1239" spans="1:1">
      <c r="A1239" s="190"/>
    </row>
    <row r="1240" spans="1:1">
      <c r="A1240" s="190"/>
    </row>
    <row r="1241" spans="1:1">
      <c r="A1241" s="190"/>
    </row>
    <row r="1242" spans="1:1">
      <c r="A1242" s="190"/>
    </row>
    <row r="1243" spans="1:1">
      <c r="A1243" s="190"/>
    </row>
    <row r="1244" spans="1:1">
      <c r="A1244" s="190"/>
    </row>
    <row r="1245" spans="1:1">
      <c r="A1245" s="190"/>
    </row>
    <row r="1246" spans="1:1">
      <c r="A1246" s="190"/>
    </row>
    <row r="1247" spans="1:1">
      <c r="A1247" s="190"/>
    </row>
    <row r="1248" spans="1:1">
      <c r="A1248" s="190"/>
    </row>
    <row r="1249" spans="1:1">
      <c r="A1249" s="190"/>
    </row>
    <row r="1250" spans="1:1">
      <c r="A1250" s="190"/>
    </row>
    <row r="1251" spans="1:1">
      <c r="A1251" s="190"/>
    </row>
    <row r="1252" spans="1:1">
      <c r="A1252" s="190"/>
    </row>
    <row r="1253" spans="1:1">
      <c r="A1253" s="190"/>
    </row>
    <row r="1254" spans="1:1">
      <c r="A1254" s="190"/>
    </row>
    <row r="1255" spans="1:1">
      <c r="A1255" s="190"/>
    </row>
    <row r="1256" spans="1:1">
      <c r="A1256" s="190"/>
    </row>
    <row r="1257" spans="1:1">
      <c r="A1257" s="190"/>
    </row>
    <row r="1258" spans="1:1">
      <c r="A1258" s="190"/>
    </row>
    <row r="1259" spans="1:1">
      <c r="A1259" s="190"/>
    </row>
    <row r="1260" spans="1:1">
      <c r="A1260" s="190"/>
    </row>
    <row r="1261" spans="1:1">
      <c r="A1261" s="190"/>
    </row>
    <row r="1262" spans="1:1">
      <c r="A1262" s="190"/>
    </row>
    <row r="1263" spans="1:1">
      <c r="A1263" s="190"/>
    </row>
    <row r="1264" spans="1:1">
      <c r="A1264" s="190"/>
    </row>
    <row r="1265" spans="1:1">
      <c r="A1265" s="190"/>
    </row>
    <row r="1266" spans="1:1">
      <c r="A1266" s="190"/>
    </row>
    <row r="1267" spans="1:1">
      <c r="A1267" s="190"/>
    </row>
    <row r="1268" spans="1:1">
      <c r="A1268" s="190"/>
    </row>
    <row r="1269" spans="1:1">
      <c r="A1269" s="190"/>
    </row>
    <row r="1270" spans="1:1">
      <c r="A1270" s="190"/>
    </row>
    <row r="1271" spans="1:1">
      <c r="A1271" s="190"/>
    </row>
    <row r="1272" spans="1:1">
      <c r="A1272" s="190"/>
    </row>
    <row r="1273" spans="1:1">
      <c r="A1273" s="190"/>
    </row>
    <row r="1274" spans="1:1">
      <c r="A1274" s="190"/>
    </row>
    <row r="1275" spans="1:1">
      <c r="A1275" s="190"/>
    </row>
    <row r="1276" spans="1:1">
      <c r="A1276" s="190"/>
    </row>
    <row r="1277" spans="1:1">
      <c r="A1277" s="190"/>
    </row>
    <row r="1278" spans="1:1">
      <c r="A1278" s="190"/>
    </row>
    <row r="1279" spans="1:1">
      <c r="A1279" s="190"/>
    </row>
    <row r="1280" spans="1:1">
      <c r="A1280" s="190"/>
    </row>
    <row r="1281" spans="1:1">
      <c r="A1281" s="190"/>
    </row>
    <row r="1282" spans="1:1">
      <c r="A1282" s="190"/>
    </row>
    <row r="1283" spans="1:1">
      <c r="A1283" s="190"/>
    </row>
    <row r="1284" spans="1:1">
      <c r="A1284" s="190"/>
    </row>
    <row r="1285" spans="1:1">
      <c r="A1285" s="190"/>
    </row>
    <row r="1286" spans="1:1">
      <c r="A1286" s="190"/>
    </row>
    <row r="1287" spans="1:1">
      <c r="A1287" s="190"/>
    </row>
    <row r="1288" spans="1:1">
      <c r="A1288" s="190"/>
    </row>
    <row r="1289" spans="1:1">
      <c r="A1289" s="190"/>
    </row>
    <row r="1290" spans="1:1">
      <c r="A1290" s="190"/>
    </row>
    <row r="1291" spans="1:1">
      <c r="A1291" s="190"/>
    </row>
    <row r="1292" spans="1:1">
      <c r="A1292" s="190"/>
    </row>
    <row r="1293" spans="1:1">
      <c r="A1293" s="190"/>
    </row>
    <row r="1294" spans="1:1">
      <c r="A1294" s="190"/>
    </row>
    <row r="1295" spans="1:1">
      <c r="A1295" s="190"/>
    </row>
    <row r="1296" spans="1:1">
      <c r="A1296" s="190"/>
    </row>
    <row r="1297" spans="1:1">
      <c r="A1297" s="190"/>
    </row>
    <row r="1298" spans="1:1">
      <c r="A1298" s="190"/>
    </row>
    <row r="1299" spans="1:1">
      <c r="A1299" s="190"/>
    </row>
    <row r="1300" spans="1:1">
      <c r="A1300" s="190"/>
    </row>
    <row r="1301" spans="1:1">
      <c r="A1301" s="190"/>
    </row>
    <row r="1302" spans="1:1">
      <c r="A1302" s="190"/>
    </row>
    <row r="1303" spans="1:1">
      <c r="A1303" s="190"/>
    </row>
    <row r="1304" spans="1:1">
      <c r="A1304" s="190"/>
    </row>
    <row r="1305" spans="1:1">
      <c r="A1305" s="190"/>
    </row>
    <row r="1306" spans="1:1">
      <c r="A1306" s="190"/>
    </row>
    <row r="1307" spans="1:1">
      <c r="A1307" s="190"/>
    </row>
    <row r="1308" spans="1:1">
      <c r="A1308" s="190"/>
    </row>
    <row r="1309" spans="1:1">
      <c r="A1309" s="190"/>
    </row>
    <row r="1310" spans="1:1">
      <c r="A1310" s="190"/>
    </row>
    <row r="1311" spans="1:1">
      <c r="A1311" s="190"/>
    </row>
    <row r="1312" spans="1:1">
      <c r="A1312" s="190"/>
    </row>
    <row r="1313" spans="1:1">
      <c r="A1313" s="190"/>
    </row>
    <row r="1314" spans="1:1">
      <c r="A1314" s="190"/>
    </row>
    <row r="1315" spans="1:1">
      <c r="A1315" s="190"/>
    </row>
    <row r="1316" spans="1:1">
      <c r="A1316" s="190"/>
    </row>
    <row r="1317" spans="1:1">
      <c r="A1317" s="190"/>
    </row>
    <row r="1318" spans="1:1">
      <c r="A1318" s="190"/>
    </row>
    <row r="1319" spans="1:1">
      <c r="A1319" s="190"/>
    </row>
    <row r="1320" spans="1:1">
      <c r="A1320" s="190"/>
    </row>
    <row r="1321" spans="1:1">
      <c r="A1321" s="190"/>
    </row>
    <row r="1322" spans="1:1">
      <c r="A1322" s="190"/>
    </row>
    <row r="1323" spans="1:1">
      <c r="A1323" s="190"/>
    </row>
    <row r="1324" spans="1:1">
      <c r="A1324" s="190"/>
    </row>
    <row r="1325" spans="1:1">
      <c r="A1325" s="190"/>
    </row>
    <row r="1326" spans="1:1">
      <c r="A1326" s="190"/>
    </row>
    <row r="1327" spans="1:1">
      <c r="A1327" s="190"/>
    </row>
    <row r="1328" spans="1:1">
      <c r="A1328" s="190"/>
    </row>
    <row r="1329" spans="1:1">
      <c r="A1329" s="190"/>
    </row>
    <row r="1330" spans="1:1">
      <c r="A1330" s="190"/>
    </row>
    <row r="1331" spans="1:1">
      <c r="A1331" s="190"/>
    </row>
    <row r="1332" spans="1:1">
      <c r="A1332" s="190"/>
    </row>
    <row r="1333" spans="1:1">
      <c r="A1333" s="190"/>
    </row>
    <row r="1334" spans="1:1">
      <c r="A1334" s="190"/>
    </row>
    <row r="1335" spans="1:1">
      <c r="A1335" s="190"/>
    </row>
    <row r="1336" spans="1:1">
      <c r="A1336" s="190"/>
    </row>
    <row r="1337" spans="1:1">
      <c r="A1337" s="190"/>
    </row>
    <row r="1338" spans="1:1">
      <c r="A1338" s="190"/>
    </row>
    <row r="1339" spans="1:1">
      <c r="A1339" s="190"/>
    </row>
    <row r="1340" spans="1:1">
      <c r="A1340" s="190"/>
    </row>
    <row r="1341" spans="1:1">
      <c r="A1341" s="190"/>
    </row>
    <row r="1342" spans="1:1">
      <c r="A1342" s="190"/>
    </row>
    <row r="1343" spans="1:1">
      <c r="A1343" s="190"/>
    </row>
    <row r="1344" spans="1:1">
      <c r="A1344" s="190"/>
    </row>
    <row r="1345" spans="1:1">
      <c r="A1345" s="190"/>
    </row>
    <row r="1346" spans="1:1">
      <c r="A1346" s="190"/>
    </row>
    <row r="1347" spans="1:1">
      <c r="A1347" s="190"/>
    </row>
    <row r="1348" spans="1:1">
      <c r="A1348" s="190"/>
    </row>
    <row r="1349" spans="1:1">
      <c r="A1349" s="190"/>
    </row>
    <row r="1350" spans="1:1">
      <c r="A1350" s="190"/>
    </row>
    <row r="1351" spans="1:1">
      <c r="A1351" s="190"/>
    </row>
    <row r="1352" spans="1:1">
      <c r="A1352" s="190"/>
    </row>
    <row r="1353" spans="1:1">
      <c r="A1353" s="190"/>
    </row>
    <row r="1354" spans="1:1">
      <c r="A1354" s="190"/>
    </row>
    <row r="1355" spans="1:1">
      <c r="A1355" s="190"/>
    </row>
    <row r="1356" spans="1:1">
      <c r="A1356" s="190"/>
    </row>
    <row r="1357" spans="1:1">
      <c r="A1357" s="190"/>
    </row>
    <row r="1358" spans="1:1">
      <c r="A1358" s="190"/>
    </row>
    <row r="1359" spans="1:1">
      <c r="A1359" s="190"/>
    </row>
    <row r="1360" spans="1:1">
      <c r="A1360" s="190"/>
    </row>
    <row r="1361" spans="1:1">
      <c r="A1361" s="190"/>
    </row>
    <row r="1362" spans="1:1">
      <c r="A1362" s="190"/>
    </row>
    <row r="1363" spans="1:1">
      <c r="A1363" s="190"/>
    </row>
    <row r="1364" spans="1:1">
      <c r="A1364" s="190"/>
    </row>
    <row r="1365" spans="1:1">
      <c r="A1365" s="190"/>
    </row>
    <row r="1366" spans="1:1">
      <c r="A1366" s="190"/>
    </row>
    <row r="1367" spans="1:1">
      <c r="A1367" s="190"/>
    </row>
    <row r="1368" spans="1:1">
      <c r="A1368" s="190"/>
    </row>
    <row r="1369" spans="1:1">
      <c r="A1369" s="190"/>
    </row>
    <row r="1370" spans="1:1">
      <c r="A1370" s="190"/>
    </row>
    <row r="1371" spans="1:1">
      <c r="A1371" s="190"/>
    </row>
    <row r="1372" spans="1:1">
      <c r="A1372" s="190"/>
    </row>
    <row r="1373" spans="1:1">
      <c r="A1373" s="190"/>
    </row>
    <row r="1374" spans="1:1">
      <c r="A1374" s="190"/>
    </row>
    <row r="1375" spans="1:1">
      <c r="A1375" s="190"/>
    </row>
    <row r="1376" spans="1:1">
      <c r="A1376" s="190"/>
    </row>
    <row r="1377" spans="1:1">
      <c r="A1377" s="190"/>
    </row>
    <row r="1378" spans="1:1">
      <c r="A1378" s="190"/>
    </row>
    <row r="1379" spans="1:1">
      <c r="A1379" s="190"/>
    </row>
    <row r="1380" spans="1:1">
      <c r="A1380" s="190"/>
    </row>
    <row r="1381" spans="1:1">
      <c r="A1381" s="190"/>
    </row>
    <row r="1382" spans="1:1">
      <c r="A1382" s="190"/>
    </row>
    <row r="1383" spans="1:1">
      <c r="A1383" s="190"/>
    </row>
    <row r="1384" spans="1:1">
      <c r="A1384" s="190"/>
    </row>
    <row r="1385" spans="1:1">
      <c r="A1385" s="190"/>
    </row>
    <row r="1386" spans="1:1">
      <c r="A1386" s="190"/>
    </row>
    <row r="1387" spans="1:1">
      <c r="A1387" s="190"/>
    </row>
    <row r="1388" spans="1:1">
      <c r="A1388" s="190"/>
    </row>
    <row r="1389" spans="1:1">
      <c r="A1389" s="190"/>
    </row>
    <row r="1390" spans="1:1">
      <c r="A1390" s="190"/>
    </row>
    <row r="1391" spans="1:1">
      <c r="A1391" s="190"/>
    </row>
    <row r="1392" spans="1:1">
      <c r="A1392" s="190"/>
    </row>
    <row r="1393" spans="1:1">
      <c r="A1393" s="190"/>
    </row>
    <row r="1394" spans="1:1">
      <c r="A1394" s="190"/>
    </row>
    <row r="1395" spans="1:1">
      <c r="A1395" s="190"/>
    </row>
    <row r="1396" spans="1:1">
      <c r="A1396" s="190"/>
    </row>
    <row r="1397" spans="1:1">
      <c r="A1397" s="190"/>
    </row>
    <row r="1398" spans="1:1">
      <c r="A1398" s="190"/>
    </row>
    <row r="1399" spans="1:1">
      <c r="A1399" s="190"/>
    </row>
    <row r="1400" spans="1:1">
      <c r="A1400" s="190"/>
    </row>
    <row r="1401" spans="1:1">
      <c r="A1401" s="190"/>
    </row>
    <row r="1402" spans="1:1">
      <c r="A1402" s="190"/>
    </row>
    <row r="1403" spans="1:1">
      <c r="A1403" s="190"/>
    </row>
    <row r="1404" spans="1:1">
      <c r="A1404" s="190"/>
    </row>
    <row r="1405" spans="1:1">
      <c r="A1405" s="190"/>
    </row>
    <row r="1406" spans="1:1">
      <c r="A1406" s="190"/>
    </row>
    <row r="1407" spans="1:1">
      <c r="A1407" s="190"/>
    </row>
    <row r="1408" spans="1:1">
      <c r="A1408" s="190"/>
    </row>
    <row r="1409" spans="1:1">
      <c r="A1409" s="190"/>
    </row>
    <row r="1410" spans="1:1">
      <c r="A1410" s="190"/>
    </row>
    <row r="1411" spans="1:1">
      <c r="A1411" s="190"/>
    </row>
    <row r="1412" spans="1:1">
      <c r="A1412" s="190"/>
    </row>
    <row r="1413" spans="1:1">
      <c r="A1413" s="190"/>
    </row>
    <row r="1414" spans="1:1">
      <c r="A1414" s="190"/>
    </row>
    <row r="1415" spans="1:1">
      <c r="A1415" s="190"/>
    </row>
    <row r="1416" spans="1:1">
      <c r="A1416" s="190"/>
    </row>
    <row r="1417" spans="1:1">
      <c r="A1417" s="190"/>
    </row>
    <row r="1418" spans="1:1">
      <c r="A1418" s="190"/>
    </row>
    <row r="1419" spans="1:1">
      <c r="A1419" s="190"/>
    </row>
    <row r="1420" spans="1:1">
      <c r="A1420" s="190"/>
    </row>
    <row r="1421" spans="1:1">
      <c r="A1421" s="190"/>
    </row>
    <row r="1422" spans="1:1">
      <c r="A1422" s="190"/>
    </row>
    <row r="1423" spans="1:1">
      <c r="A1423" s="190"/>
    </row>
    <row r="1424" spans="1:1">
      <c r="A1424" s="190"/>
    </row>
    <row r="1425" spans="1:1">
      <c r="A1425" s="190"/>
    </row>
    <row r="1426" spans="1:1">
      <c r="A1426" s="190"/>
    </row>
    <row r="1427" spans="1:1">
      <c r="A1427" s="190"/>
    </row>
    <row r="1428" spans="1:1">
      <c r="A1428" s="190"/>
    </row>
    <row r="1429" spans="1:1">
      <c r="A1429" s="190"/>
    </row>
    <row r="1430" spans="1:1">
      <c r="A1430" s="190"/>
    </row>
    <row r="1431" spans="1:1">
      <c r="A1431" s="190"/>
    </row>
    <row r="1432" spans="1:1">
      <c r="A1432" s="190"/>
    </row>
    <row r="1433" spans="1:1">
      <c r="A1433" s="190"/>
    </row>
    <row r="1434" spans="1:1">
      <c r="A1434" s="190"/>
    </row>
    <row r="1435" spans="1:1">
      <c r="A1435" s="190"/>
    </row>
    <row r="1436" spans="1:1">
      <c r="A1436" s="190"/>
    </row>
    <row r="1437" spans="1:1">
      <c r="A1437" s="190"/>
    </row>
    <row r="1438" spans="1:1">
      <c r="A1438" s="190"/>
    </row>
    <row r="1439" spans="1:1">
      <c r="A1439" s="190"/>
    </row>
    <row r="1440" spans="1:1">
      <c r="A1440" s="190"/>
    </row>
    <row r="1441" spans="1:1">
      <c r="A1441" s="190"/>
    </row>
    <row r="1442" spans="1:1">
      <c r="A1442" s="190"/>
    </row>
    <row r="1443" spans="1:1">
      <c r="A1443" s="190"/>
    </row>
    <row r="1444" spans="1:1">
      <c r="A1444" s="190"/>
    </row>
    <row r="1445" spans="1:1">
      <c r="A1445" s="190"/>
    </row>
    <row r="1446" spans="1:1">
      <c r="A1446" s="190"/>
    </row>
    <row r="1447" spans="1:1">
      <c r="A1447" s="190"/>
    </row>
    <row r="1448" spans="1:1">
      <c r="A1448" s="190"/>
    </row>
    <row r="1449" spans="1:1">
      <c r="A1449" s="190"/>
    </row>
    <row r="1450" spans="1:1">
      <c r="A1450" s="190"/>
    </row>
    <row r="1451" spans="1:1">
      <c r="A1451" s="190"/>
    </row>
    <row r="1452" spans="1:1">
      <c r="A1452" s="190"/>
    </row>
    <row r="1453" spans="1:1">
      <c r="A1453" s="190"/>
    </row>
    <row r="1454" spans="1:1">
      <c r="A1454" s="190"/>
    </row>
    <row r="1455" spans="1:1">
      <c r="A1455" s="190"/>
    </row>
    <row r="1456" spans="1:1">
      <c r="A1456" s="190"/>
    </row>
    <row r="1457" spans="1:1">
      <c r="A1457" s="190"/>
    </row>
    <row r="1458" spans="1:1">
      <c r="A1458" s="190"/>
    </row>
    <row r="1459" spans="1:1">
      <c r="A1459" s="190"/>
    </row>
    <row r="1460" spans="1:1">
      <c r="A1460" s="190"/>
    </row>
    <row r="1461" spans="1:1">
      <c r="A1461" s="190"/>
    </row>
    <row r="1462" spans="1:1">
      <c r="A1462" s="190"/>
    </row>
    <row r="1463" spans="1:1">
      <c r="A1463" s="190"/>
    </row>
    <row r="1464" spans="1:1">
      <c r="A1464" s="190"/>
    </row>
    <row r="1465" spans="1:1">
      <c r="A1465" s="190"/>
    </row>
    <row r="1466" spans="1:1">
      <c r="A1466" s="190"/>
    </row>
    <row r="1467" spans="1:1">
      <c r="A1467" s="190"/>
    </row>
    <row r="1468" spans="1:1">
      <c r="A1468" s="190"/>
    </row>
    <row r="1469" spans="1:1">
      <c r="A1469" s="190"/>
    </row>
    <row r="1470" spans="1:1">
      <c r="A1470" s="190"/>
    </row>
    <row r="1471" spans="1:1">
      <c r="A1471" s="190"/>
    </row>
    <row r="1472" spans="1:1">
      <c r="A1472" s="190"/>
    </row>
    <row r="1473" spans="1:1">
      <c r="A1473" s="190"/>
    </row>
    <row r="1474" spans="1:1">
      <c r="A1474" s="190"/>
    </row>
    <row r="1475" spans="1:1">
      <c r="A1475" s="190"/>
    </row>
    <row r="1476" spans="1:1">
      <c r="A1476" s="190"/>
    </row>
    <row r="1477" spans="1:1">
      <c r="A1477" s="190"/>
    </row>
    <row r="1478" spans="1:1">
      <c r="A1478" s="190"/>
    </row>
    <row r="1479" spans="1:1">
      <c r="A1479" s="190"/>
    </row>
    <row r="1480" spans="1:1">
      <c r="A1480" s="190"/>
    </row>
    <row r="1481" spans="1:1">
      <c r="A1481" s="190"/>
    </row>
    <row r="1482" spans="1:1">
      <c r="A1482" s="190"/>
    </row>
    <row r="1483" spans="1:1">
      <c r="A1483" s="190"/>
    </row>
    <row r="1484" spans="1:1">
      <c r="A1484" s="190"/>
    </row>
    <row r="1485" spans="1:1">
      <c r="A1485" s="190"/>
    </row>
    <row r="1486" spans="1:1">
      <c r="A1486" s="190"/>
    </row>
    <row r="1487" spans="1:1">
      <c r="A1487" s="190"/>
    </row>
    <row r="1488" spans="1:1">
      <c r="A1488" s="190"/>
    </row>
    <row r="1489" spans="1:1">
      <c r="A1489" s="190"/>
    </row>
    <row r="1490" spans="1:1">
      <c r="A1490" s="190"/>
    </row>
    <row r="1491" spans="1:1">
      <c r="A1491" s="190"/>
    </row>
    <row r="1492" spans="1:1">
      <c r="A1492" s="190"/>
    </row>
    <row r="1493" spans="1:1">
      <c r="A1493" s="190"/>
    </row>
    <row r="1494" spans="1:1">
      <c r="A1494" s="190"/>
    </row>
    <row r="1495" spans="1:1">
      <c r="A1495" s="190"/>
    </row>
    <row r="1496" spans="1:1">
      <c r="A1496" s="190"/>
    </row>
    <row r="1497" spans="1:1">
      <c r="A1497" s="190"/>
    </row>
    <row r="1498" spans="1:1">
      <c r="A1498" s="190"/>
    </row>
    <row r="1499" spans="1:1">
      <c r="A1499" s="190"/>
    </row>
    <row r="1500" spans="1:1">
      <c r="A1500" s="190"/>
    </row>
    <row r="1501" spans="1:1">
      <c r="A1501" s="190"/>
    </row>
    <row r="1502" spans="1:1">
      <c r="A1502" s="190"/>
    </row>
    <row r="1503" spans="1:1">
      <c r="A1503" s="190"/>
    </row>
    <row r="1504" spans="1:1">
      <c r="A1504" s="190"/>
    </row>
    <row r="1505" spans="1:1">
      <c r="A1505" s="190"/>
    </row>
    <row r="1506" spans="1:1">
      <c r="A1506" s="190"/>
    </row>
    <row r="1507" spans="1:1">
      <c r="A1507" s="190"/>
    </row>
    <row r="1508" spans="1:1">
      <c r="A1508" s="190"/>
    </row>
    <row r="1509" spans="1:1">
      <c r="A1509" s="190"/>
    </row>
    <row r="1510" spans="1:1">
      <c r="A1510" s="190"/>
    </row>
    <row r="1511" spans="1:1">
      <c r="A1511" s="190"/>
    </row>
    <row r="1512" spans="1:1">
      <c r="A1512" s="190"/>
    </row>
    <row r="1513" spans="1:1">
      <c r="A1513" s="190"/>
    </row>
    <row r="1514" spans="1:1">
      <c r="A1514" s="190"/>
    </row>
    <row r="1515" spans="1:1">
      <c r="A1515" s="190"/>
    </row>
    <row r="1516" spans="1:1">
      <c r="A1516" s="190"/>
    </row>
    <row r="1517" spans="1:1">
      <c r="A1517" s="190"/>
    </row>
    <row r="1518" spans="1:1">
      <c r="A1518" s="190"/>
    </row>
    <row r="1519" spans="1:1">
      <c r="A1519" s="190"/>
    </row>
    <row r="1520" spans="1:1">
      <c r="A1520" s="190"/>
    </row>
    <row r="1521" spans="1:1">
      <c r="A1521" s="190"/>
    </row>
    <row r="1522" spans="1:1">
      <c r="A1522" s="190"/>
    </row>
    <row r="1523" spans="1:1">
      <c r="A1523" s="190"/>
    </row>
    <row r="1524" spans="1:1">
      <c r="A1524" s="190"/>
    </row>
    <row r="1525" spans="1:1">
      <c r="A1525" s="190"/>
    </row>
    <row r="1526" spans="1:1">
      <c r="A1526" s="190"/>
    </row>
    <row r="1527" spans="1:1">
      <c r="A1527" s="190"/>
    </row>
    <row r="1528" spans="1:1">
      <c r="A1528" s="190"/>
    </row>
    <row r="1529" spans="1:1">
      <c r="A1529" s="190"/>
    </row>
    <row r="1530" spans="1:1">
      <c r="A1530" s="190"/>
    </row>
    <row r="1531" spans="1:1">
      <c r="A1531" s="190"/>
    </row>
    <row r="1532" spans="1:1">
      <c r="A1532" s="190"/>
    </row>
    <row r="1533" spans="1:1">
      <c r="A1533" s="190"/>
    </row>
    <row r="1534" spans="1:1">
      <c r="A1534" s="190"/>
    </row>
    <row r="1535" spans="1:1">
      <c r="A1535" s="190"/>
    </row>
    <row r="1536" spans="1:1">
      <c r="A1536" s="190"/>
    </row>
    <row r="1537" spans="1:1">
      <c r="A1537" s="190"/>
    </row>
    <row r="1538" spans="1:1">
      <c r="A1538" s="190"/>
    </row>
    <row r="1539" spans="1:1">
      <c r="A1539" s="190"/>
    </row>
    <row r="1540" spans="1:1">
      <c r="A1540" s="190"/>
    </row>
    <row r="1541" spans="1:1">
      <c r="A1541" s="190"/>
    </row>
    <row r="1542" spans="1:1">
      <c r="A1542" s="190"/>
    </row>
    <row r="1543" spans="1:1">
      <c r="A1543" s="190"/>
    </row>
    <row r="1544" spans="1:1">
      <c r="A1544" s="190"/>
    </row>
    <row r="1545" spans="1:1">
      <c r="A1545" s="190"/>
    </row>
    <row r="1546" spans="1:1">
      <c r="A1546" s="190"/>
    </row>
    <row r="1547" spans="1:1">
      <c r="A1547" s="190"/>
    </row>
    <row r="1548" spans="1:1">
      <c r="A1548" s="190"/>
    </row>
    <row r="1549" spans="1:1">
      <c r="A1549" s="190"/>
    </row>
    <row r="1550" spans="1:1">
      <c r="A1550" s="190"/>
    </row>
    <row r="1551" spans="1:1">
      <c r="A1551" s="190"/>
    </row>
    <row r="1552" spans="1:1">
      <c r="A1552" s="190"/>
    </row>
    <row r="1553" spans="1:1">
      <c r="A1553" s="190"/>
    </row>
    <row r="1554" spans="1:1">
      <c r="A1554" s="190"/>
    </row>
    <row r="1555" spans="1:1">
      <c r="A1555" s="190"/>
    </row>
    <row r="1556" spans="1:1">
      <c r="A1556" s="190"/>
    </row>
    <row r="1557" spans="1:1">
      <c r="A1557" s="190"/>
    </row>
    <row r="1558" spans="1:1">
      <c r="A1558" s="190"/>
    </row>
    <row r="1559" spans="1:1">
      <c r="A1559" s="190"/>
    </row>
    <row r="1560" spans="1:1">
      <c r="A1560" s="190"/>
    </row>
    <row r="1561" spans="1:1">
      <c r="A1561" s="190"/>
    </row>
    <row r="1562" spans="1:1">
      <c r="A1562" s="190"/>
    </row>
    <row r="1563" spans="1:1">
      <c r="A1563" s="190"/>
    </row>
    <row r="1564" spans="1:1">
      <c r="A1564" s="190"/>
    </row>
    <row r="1565" spans="1:1">
      <c r="A1565" s="190"/>
    </row>
    <row r="1566" spans="1:1">
      <c r="A1566" s="190"/>
    </row>
    <row r="1567" spans="1:1">
      <c r="A1567" s="190"/>
    </row>
    <row r="1568" spans="1:1">
      <c r="A1568" s="190"/>
    </row>
    <row r="1569" spans="1:1">
      <c r="A1569" s="190"/>
    </row>
    <row r="1570" spans="1:1">
      <c r="A1570" s="190"/>
    </row>
    <row r="1571" spans="1:1">
      <c r="A1571" s="190"/>
    </row>
    <row r="1572" spans="1:1">
      <c r="A1572" s="190"/>
    </row>
    <row r="1573" spans="1:1">
      <c r="A1573" s="190"/>
    </row>
    <row r="1574" spans="1:1">
      <c r="A1574" s="190"/>
    </row>
    <row r="1575" spans="1:1">
      <c r="A1575" s="190"/>
    </row>
    <row r="1576" spans="1:1">
      <c r="A1576" s="190"/>
    </row>
    <row r="1577" spans="1:1">
      <c r="A1577" s="190"/>
    </row>
    <row r="1578" spans="1:1">
      <c r="A1578" s="190"/>
    </row>
    <row r="1579" spans="1:1">
      <c r="A1579" s="190"/>
    </row>
    <row r="1580" spans="1:1">
      <c r="A1580" s="190"/>
    </row>
    <row r="1581" spans="1:1">
      <c r="A1581" s="190"/>
    </row>
    <row r="1582" spans="1:1">
      <c r="A1582" s="190"/>
    </row>
    <row r="1583" spans="1:1">
      <c r="A1583" s="190"/>
    </row>
    <row r="1584" spans="1:1">
      <c r="A1584" s="190"/>
    </row>
    <row r="1585" spans="1:1">
      <c r="A1585" s="190"/>
    </row>
    <row r="1586" spans="1:1">
      <c r="A1586" s="190"/>
    </row>
    <row r="1587" spans="1:1">
      <c r="A1587" s="190"/>
    </row>
    <row r="1588" spans="1:1">
      <c r="A1588" s="190"/>
    </row>
    <row r="1589" spans="1:1">
      <c r="A1589" s="190"/>
    </row>
    <row r="1590" spans="1:1">
      <c r="A1590" s="190"/>
    </row>
    <row r="1591" spans="1:1">
      <c r="A1591" s="190"/>
    </row>
    <row r="1592" spans="1:1">
      <c r="A1592" s="190"/>
    </row>
    <row r="1593" spans="1:1">
      <c r="A1593" s="190"/>
    </row>
    <row r="1594" spans="1:1">
      <c r="A1594" s="190"/>
    </row>
    <row r="1595" spans="1:1">
      <c r="A1595" s="190"/>
    </row>
    <row r="1596" spans="1:1">
      <c r="A1596" s="190"/>
    </row>
    <row r="1597" spans="1:1">
      <c r="A1597" s="190"/>
    </row>
    <row r="1598" spans="1:1">
      <c r="A1598" s="190"/>
    </row>
    <row r="1599" spans="1:1">
      <c r="A1599" s="190"/>
    </row>
    <row r="1600" spans="1:1">
      <c r="A1600" s="190"/>
    </row>
    <row r="1601" spans="1:1">
      <c r="A1601" s="190"/>
    </row>
    <row r="1602" spans="1:1">
      <c r="A1602" s="190"/>
    </row>
    <row r="1603" spans="1:1">
      <c r="A1603" s="190"/>
    </row>
    <row r="1604" spans="1:1">
      <c r="A1604" s="190"/>
    </row>
    <row r="1605" spans="1:1">
      <c r="A1605" s="190"/>
    </row>
    <row r="1606" spans="1:1">
      <c r="A1606" s="190"/>
    </row>
    <row r="1607" spans="1:1">
      <c r="A1607" s="190"/>
    </row>
    <row r="1608" spans="1:1">
      <c r="A1608" s="190"/>
    </row>
    <row r="1609" spans="1:1">
      <c r="A1609" s="190"/>
    </row>
    <row r="1610" spans="1:1">
      <c r="A1610" s="190"/>
    </row>
    <row r="1611" spans="1:1">
      <c r="A1611" s="190"/>
    </row>
    <row r="1612" spans="1:1">
      <c r="A1612" s="190"/>
    </row>
    <row r="1613" spans="1:1">
      <c r="A1613" s="190"/>
    </row>
    <row r="1614" spans="1:1">
      <c r="A1614" s="190"/>
    </row>
    <row r="1615" spans="1:1">
      <c r="A1615" s="190"/>
    </row>
    <row r="1616" spans="1:1">
      <c r="A1616" s="190"/>
    </row>
    <row r="1617" spans="1:1">
      <c r="A1617" s="190"/>
    </row>
    <row r="1618" spans="1:1">
      <c r="A1618" s="190"/>
    </row>
    <row r="1619" spans="1:1">
      <c r="A1619" s="190"/>
    </row>
    <row r="1620" spans="1:1">
      <c r="A1620" s="190"/>
    </row>
    <row r="1621" spans="1:1">
      <c r="A1621" s="190"/>
    </row>
    <row r="1622" spans="1:1">
      <c r="A1622" s="190"/>
    </row>
    <row r="1623" spans="1:1">
      <c r="A1623" s="190"/>
    </row>
    <row r="1624" spans="1:1">
      <c r="A1624" s="190"/>
    </row>
    <row r="1625" spans="1:1">
      <c r="A1625" s="190"/>
    </row>
    <row r="1626" spans="1:1">
      <c r="A1626" s="190"/>
    </row>
    <row r="1627" spans="1:1">
      <c r="A1627" s="190"/>
    </row>
    <row r="1628" spans="1:1">
      <c r="A1628" s="190"/>
    </row>
    <row r="1629" spans="1:1">
      <c r="A1629" s="190"/>
    </row>
    <row r="1630" spans="1:1">
      <c r="A1630" s="190"/>
    </row>
    <row r="1631" spans="1:1">
      <c r="A1631" s="190"/>
    </row>
    <row r="1632" spans="1:1">
      <c r="A1632" s="190"/>
    </row>
    <row r="1633" spans="1:1">
      <c r="A1633" s="190"/>
    </row>
    <row r="1634" spans="1:1">
      <c r="A1634" s="190"/>
    </row>
    <row r="1635" spans="1:1">
      <c r="A1635" s="190"/>
    </row>
    <row r="1636" spans="1:1">
      <c r="A1636" s="190"/>
    </row>
    <row r="1637" spans="1:1">
      <c r="A1637" s="190"/>
    </row>
    <row r="1638" spans="1:1">
      <c r="A1638" s="190"/>
    </row>
    <row r="1639" spans="1:1">
      <c r="A1639" s="190"/>
    </row>
    <row r="1640" spans="1:1">
      <c r="A1640" s="190"/>
    </row>
    <row r="1641" spans="1:1">
      <c r="A1641" s="190"/>
    </row>
    <row r="1642" spans="1:1">
      <c r="A1642" s="190"/>
    </row>
    <row r="1643" spans="1:1">
      <c r="A1643" s="190"/>
    </row>
    <row r="1644" spans="1:1">
      <c r="A1644" s="190"/>
    </row>
    <row r="1645" spans="1:1">
      <c r="A1645" s="190"/>
    </row>
    <row r="1646" spans="1:1">
      <c r="A1646" s="190"/>
    </row>
    <row r="1647" spans="1:1">
      <c r="A1647" s="190"/>
    </row>
    <row r="1648" spans="1:1">
      <c r="A1648" s="190"/>
    </row>
    <row r="1649" spans="1:1">
      <c r="A1649" s="190"/>
    </row>
    <row r="1650" spans="1:1">
      <c r="A1650" s="190"/>
    </row>
    <row r="1651" spans="1:1">
      <c r="A1651" s="190"/>
    </row>
    <row r="1652" spans="1:1">
      <c r="A1652" s="190"/>
    </row>
    <row r="1653" spans="1:1">
      <c r="A1653" s="190"/>
    </row>
    <row r="1654" spans="1:1">
      <c r="A1654" s="190"/>
    </row>
    <row r="1655" spans="1:1">
      <c r="A1655" s="190"/>
    </row>
    <row r="1656" spans="1:1">
      <c r="A1656" s="190"/>
    </row>
    <row r="1657" spans="1:1">
      <c r="A1657" s="190"/>
    </row>
    <row r="1658" spans="1:1">
      <c r="A1658" s="190"/>
    </row>
    <row r="1659" spans="1:1">
      <c r="A1659" s="190"/>
    </row>
    <row r="1660" spans="1:1">
      <c r="A1660" s="190"/>
    </row>
    <row r="1661" spans="1:1">
      <c r="A1661" s="190"/>
    </row>
    <row r="1662" spans="1:1">
      <c r="A1662" s="190"/>
    </row>
    <row r="1663" spans="1:1">
      <c r="A1663" s="190"/>
    </row>
    <row r="1664" spans="1:1">
      <c r="A1664" s="190"/>
    </row>
    <row r="1665" spans="1:1">
      <c r="A1665" s="190"/>
    </row>
    <row r="1666" spans="1:1">
      <c r="A1666" s="190"/>
    </row>
    <row r="1667" spans="1:1">
      <c r="A1667" s="190"/>
    </row>
    <row r="1668" spans="1:1">
      <c r="A1668" s="190"/>
    </row>
    <row r="1669" spans="1:1">
      <c r="A1669" s="190"/>
    </row>
    <row r="1670" spans="1:1">
      <c r="A1670" s="190"/>
    </row>
    <row r="1671" spans="1:1">
      <c r="A1671" s="190"/>
    </row>
    <row r="1672" spans="1:1">
      <c r="A1672" s="190"/>
    </row>
    <row r="1673" spans="1:1">
      <c r="A1673" s="190"/>
    </row>
    <row r="1674" spans="1:1">
      <c r="A1674" s="190"/>
    </row>
    <row r="1675" spans="1:1">
      <c r="A1675" s="190"/>
    </row>
    <row r="1676" spans="1:1">
      <c r="A1676" s="190"/>
    </row>
    <row r="1677" spans="1:1">
      <c r="A1677" s="190"/>
    </row>
    <row r="1678" spans="1:1">
      <c r="A1678" s="190"/>
    </row>
    <row r="1679" spans="1:1">
      <c r="A1679" s="190"/>
    </row>
    <row r="1680" spans="1:1">
      <c r="A1680" s="190"/>
    </row>
    <row r="1681" spans="1:1">
      <c r="A1681" s="190"/>
    </row>
    <row r="1682" spans="1:1">
      <c r="A1682" s="190"/>
    </row>
    <row r="1683" spans="1:1">
      <c r="A1683" s="190"/>
    </row>
    <row r="1684" spans="1:1">
      <c r="A1684" s="190"/>
    </row>
    <row r="1685" spans="1:1">
      <c r="A1685" s="190"/>
    </row>
    <row r="1686" spans="1:1">
      <c r="A1686" s="190"/>
    </row>
    <row r="1687" spans="1:1">
      <c r="A1687" s="190"/>
    </row>
    <row r="1688" spans="1:1">
      <c r="A1688" s="190"/>
    </row>
    <row r="1689" spans="1:1">
      <c r="A1689" s="190"/>
    </row>
    <row r="1690" spans="1:1">
      <c r="A1690" s="190"/>
    </row>
    <row r="1691" spans="1:1">
      <c r="A1691" s="190"/>
    </row>
    <row r="1692" spans="1:1">
      <c r="A1692" s="190"/>
    </row>
    <row r="1693" spans="1:1">
      <c r="A1693" s="190"/>
    </row>
    <row r="1694" spans="1:1">
      <c r="A1694" s="190"/>
    </row>
    <row r="1695" spans="1:1">
      <c r="A1695" s="190"/>
    </row>
    <row r="1696" spans="1:1">
      <c r="A1696" s="190"/>
    </row>
    <row r="1697" spans="1:1">
      <c r="A1697" s="190"/>
    </row>
    <row r="1698" spans="1:1">
      <c r="A1698" s="190"/>
    </row>
    <row r="1699" spans="1:1">
      <c r="A1699" s="190"/>
    </row>
    <row r="1700" spans="1:1">
      <c r="A1700" s="190"/>
    </row>
    <row r="1701" spans="1:1">
      <c r="A1701" s="190"/>
    </row>
    <row r="1702" spans="1:1">
      <c r="A1702" s="190"/>
    </row>
    <row r="1703" spans="1:1">
      <c r="A1703" s="190"/>
    </row>
    <row r="1704" spans="1:1">
      <c r="A1704" s="190"/>
    </row>
    <row r="1705" spans="1:1">
      <c r="A1705" s="190"/>
    </row>
    <row r="1706" spans="1:1">
      <c r="A1706" s="190"/>
    </row>
    <row r="1707" spans="1:1">
      <c r="A1707" s="190"/>
    </row>
    <row r="1708" spans="1:1">
      <c r="A1708" s="190"/>
    </row>
    <row r="1709" spans="1:1">
      <c r="A1709" s="190"/>
    </row>
    <row r="1710" spans="1:1">
      <c r="A1710" s="190"/>
    </row>
    <row r="1711" spans="1:1">
      <c r="A1711" s="190"/>
    </row>
    <row r="1712" spans="1:1">
      <c r="A1712" s="190"/>
    </row>
    <row r="1713" spans="1:1">
      <c r="A1713" s="190"/>
    </row>
    <row r="1714" spans="1:1">
      <c r="A1714" s="190"/>
    </row>
    <row r="1715" spans="1:1">
      <c r="A1715" s="190"/>
    </row>
    <row r="1716" spans="1:1">
      <c r="A1716" s="190"/>
    </row>
    <row r="1717" spans="1:1">
      <c r="A1717" s="190"/>
    </row>
    <row r="1718" spans="1:1">
      <c r="A1718" s="190"/>
    </row>
    <row r="1719" spans="1:1">
      <c r="A1719" s="190"/>
    </row>
    <row r="1720" spans="1:1">
      <c r="A1720" s="190"/>
    </row>
    <row r="1721" spans="1:1">
      <c r="A1721" s="190"/>
    </row>
    <row r="1722" spans="1:1">
      <c r="A1722" s="190"/>
    </row>
    <row r="1723" spans="1:1">
      <c r="A1723" s="190"/>
    </row>
    <row r="1724" spans="1:1">
      <c r="A1724" s="190"/>
    </row>
    <row r="1725" spans="1:1">
      <c r="A1725" s="190"/>
    </row>
    <row r="1726" spans="1:1">
      <c r="A1726" s="190"/>
    </row>
    <row r="1727" spans="1:1">
      <c r="A1727" s="190"/>
    </row>
    <row r="1728" spans="1:1">
      <c r="A1728" s="190"/>
    </row>
    <row r="1729" spans="1:1">
      <c r="A1729" s="190"/>
    </row>
    <row r="1730" spans="1:1">
      <c r="A1730" s="190"/>
    </row>
    <row r="1731" spans="1:1">
      <c r="A1731" s="190"/>
    </row>
    <row r="1732" spans="1:1">
      <c r="A1732" s="190"/>
    </row>
    <row r="1733" spans="1:1">
      <c r="A1733" s="190"/>
    </row>
    <row r="1734" spans="1:1">
      <c r="A1734" s="190"/>
    </row>
    <row r="1735" spans="1:1">
      <c r="A1735" s="190"/>
    </row>
    <row r="1736" spans="1:1">
      <c r="A1736" s="190"/>
    </row>
    <row r="1737" spans="1:1">
      <c r="A1737" s="190"/>
    </row>
    <row r="1738" spans="1:1">
      <c r="A1738" s="190"/>
    </row>
    <row r="1739" spans="1:1">
      <c r="A1739" s="190"/>
    </row>
    <row r="1740" spans="1:1">
      <c r="A1740" s="190"/>
    </row>
    <row r="1741" spans="1:1">
      <c r="A1741" s="190"/>
    </row>
    <row r="1742" spans="1:1">
      <c r="A1742" s="190"/>
    </row>
    <row r="1743" spans="1:1">
      <c r="A1743" s="190"/>
    </row>
    <row r="1744" spans="1:1">
      <c r="A1744" s="190"/>
    </row>
    <row r="1745" spans="1:1">
      <c r="A1745" s="190"/>
    </row>
    <row r="1746" spans="1:1">
      <c r="A1746" s="190"/>
    </row>
    <row r="1747" spans="1:1">
      <c r="A1747" s="190"/>
    </row>
    <row r="1748" spans="1:1">
      <c r="A1748" s="190"/>
    </row>
    <row r="1749" spans="1:1">
      <c r="A1749" s="190"/>
    </row>
    <row r="1750" spans="1:1">
      <c r="A1750" s="190"/>
    </row>
    <row r="1751" spans="1:1">
      <c r="A1751" s="190"/>
    </row>
    <row r="1752" spans="1:1">
      <c r="A1752" s="190"/>
    </row>
    <row r="1753" spans="1:1">
      <c r="A1753" s="190"/>
    </row>
    <row r="1754" spans="1:1">
      <c r="A1754" s="190"/>
    </row>
    <row r="1755" spans="1:1">
      <c r="A1755" s="190"/>
    </row>
    <row r="1756" spans="1:1">
      <c r="A1756" s="190"/>
    </row>
    <row r="1757" spans="1:1">
      <c r="A1757" s="190"/>
    </row>
    <row r="1758" spans="1:1">
      <c r="A1758" s="190"/>
    </row>
    <row r="1759" spans="1:1">
      <c r="A1759" s="190"/>
    </row>
    <row r="1760" spans="1:1">
      <c r="A1760" s="190"/>
    </row>
    <row r="1761" spans="1:1">
      <c r="A1761" s="190"/>
    </row>
    <row r="1762" spans="1:1">
      <c r="A1762" s="190"/>
    </row>
    <row r="1763" spans="1:1">
      <c r="A1763" s="190"/>
    </row>
    <row r="1764" spans="1:1">
      <c r="A1764" s="190"/>
    </row>
    <row r="1765" spans="1:1">
      <c r="A1765" s="190"/>
    </row>
    <row r="1766" spans="1:1">
      <c r="A1766" s="190"/>
    </row>
    <row r="1767" spans="1:1">
      <c r="A1767" s="190"/>
    </row>
    <row r="1768" spans="1:1">
      <c r="A1768" s="190"/>
    </row>
    <row r="1769" spans="1:1">
      <c r="A1769" s="190"/>
    </row>
    <row r="1770" spans="1:1">
      <c r="A1770" s="190"/>
    </row>
    <row r="1771" spans="1:1">
      <c r="A1771" s="190"/>
    </row>
    <row r="1772" spans="1:1">
      <c r="A1772" s="190"/>
    </row>
    <row r="1773" spans="1:1">
      <c r="A1773" s="190"/>
    </row>
    <row r="1774" spans="1:1">
      <c r="A1774" s="190"/>
    </row>
    <row r="1775" spans="1:1">
      <c r="A1775" s="190"/>
    </row>
    <row r="1776" spans="1:1">
      <c r="A1776" s="190"/>
    </row>
    <row r="1777" spans="1:1">
      <c r="A1777" s="190"/>
    </row>
    <row r="1778" spans="1:1">
      <c r="A1778" s="190"/>
    </row>
    <row r="1779" spans="1:1">
      <c r="A1779" s="190"/>
    </row>
    <row r="1780" spans="1:1">
      <c r="A1780" s="190"/>
    </row>
    <row r="1781" spans="1:1">
      <c r="A1781" s="190"/>
    </row>
    <row r="1782" spans="1:1">
      <c r="A1782" s="190"/>
    </row>
    <row r="1783" spans="1:1">
      <c r="A1783" s="190"/>
    </row>
    <row r="1784" spans="1:1">
      <c r="A1784" s="190"/>
    </row>
    <row r="1785" spans="1:1">
      <c r="A1785" s="190"/>
    </row>
    <row r="1786" spans="1:1">
      <c r="A1786" s="190"/>
    </row>
    <row r="1787" spans="1:1">
      <c r="A1787" s="190"/>
    </row>
    <row r="1788" spans="1:1">
      <c r="A1788" s="190"/>
    </row>
    <row r="1789" spans="1:1">
      <c r="A1789" s="190"/>
    </row>
    <row r="1790" spans="1:1">
      <c r="A1790" s="190"/>
    </row>
    <row r="1791" spans="1:1">
      <c r="A1791" s="190"/>
    </row>
    <row r="1792" spans="1:1">
      <c r="A1792" s="190"/>
    </row>
    <row r="1793" spans="1:1">
      <c r="A1793" s="190"/>
    </row>
    <row r="1794" spans="1:1">
      <c r="A1794" s="190"/>
    </row>
    <row r="1795" spans="1:1">
      <c r="A1795" s="190"/>
    </row>
    <row r="1796" spans="1:1">
      <c r="A1796" s="190"/>
    </row>
    <row r="1797" spans="1:1">
      <c r="A1797" s="190"/>
    </row>
    <row r="1798" spans="1:1">
      <c r="A1798" s="190"/>
    </row>
    <row r="1799" spans="1:1">
      <c r="A1799" s="190"/>
    </row>
    <row r="1800" spans="1:1">
      <c r="A1800" s="190"/>
    </row>
    <row r="1801" spans="1:1">
      <c r="A1801" s="190"/>
    </row>
    <row r="1802" spans="1:1">
      <c r="A1802" s="190"/>
    </row>
    <row r="1803" spans="1:1">
      <c r="A1803" s="190"/>
    </row>
    <row r="1804" spans="1:1">
      <c r="A1804" s="190"/>
    </row>
    <row r="1805" spans="1:1">
      <c r="A1805" s="190"/>
    </row>
    <row r="1806" spans="1:1">
      <c r="A1806" s="190"/>
    </row>
    <row r="1807" spans="1:1">
      <c r="A1807" s="190"/>
    </row>
    <row r="1808" spans="1:1">
      <c r="A1808" s="190"/>
    </row>
    <row r="1809" spans="1:1">
      <c r="A1809" s="190"/>
    </row>
    <row r="1810" spans="1:1">
      <c r="A1810" s="190"/>
    </row>
    <row r="1811" spans="1:1">
      <c r="A1811" s="190"/>
    </row>
    <row r="1812" spans="1:1">
      <c r="A1812" s="190"/>
    </row>
    <row r="1813" spans="1:1">
      <c r="A1813" s="190"/>
    </row>
    <row r="1814" spans="1:1">
      <c r="A1814" s="190"/>
    </row>
    <row r="1815" spans="1:1">
      <c r="A1815" s="190"/>
    </row>
    <row r="1816" spans="1:1">
      <c r="A1816" s="190"/>
    </row>
    <row r="1817" spans="1:1">
      <c r="A1817" s="190"/>
    </row>
    <row r="1818" spans="1:1">
      <c r="A1818" s="190"/>
    </row>
    <row r="1819" spans="1:1">
      <c r="A1819" s="190"/>
    </row>
    <row r="1820" spans="1:1">
      <c r="A1820" s="190"/>
    </row>
    <row r="1821" spans="1:1">
      <c r="A1821" s="190"/>
    </row>
    <row r="1822" spans="1:1">
      <c r="A1822" s="190"/>
    </row>
    <row r="1823" spans="1:1">
      <c r="A1823" s="190"/>
    </row>
    <row r="1824" spans="1:1">
      <c r="A1824" s="190"/>
    </row>
    <row r="1825" spans="1:1">
      <c r="A1825" s="190"/>
    </row>
    <row r="1826" spans="1:1">
      <c r="A1826" s="190"/>
    </row>
    <row r="1827" spans="1:1">
      <c r="A1827" s="190"/>
    </row>
    <row r="1828" spans="1:1">
      <c r="A1828" s="190"/>
    </row>
    <row r="1829" spans="1:1">
      <c r="A1829" s="190"/>
    </row>
    <row r="1830" spans="1:1">
      <c r="A1830" s="190"/>
    </row>
    <row r="1831" spans="1:1">
      <c r="A1831" s="190"/>
    </row>
    <row r="1832" spans="1:1">
      <c r="A1832" s="190"/>
    </row>
    <row r="1833" spans="1:1">
      <c r="A1833" s="190"/>
    </row>
    <row r="1834" spans="1:1">
      <c r="A1834" s="190"/>
    </row>
    <row r="1835" spans="1:1">
      <c r="A1835" s="190"/>
    </row>
    <row r="1836" spans="1:1">
      <c r="A1836" s="190"/>
    </row>
    <row r="1837" spans="1:1">
      <c r="A1837" s="190"/>
    </row>
    <row r="1838" spans="1:1">
      <c r="A1838" s="190"/>
    </row>
    <row r="1839" spans="1:1">
      <c r="A1839" s="190"/>
    </row>
    <row r="1840" spans="1:1">
      <c r="A1840" s="190"/>
    </row>
    <row r="1841" spans="1:1">
      <c r="A1841" s="190"/>
    </row>
    <row r="1842" spans="1:1">
      <c r="A1842" s="190"/>
    </row>
    <row r="1843" spans="1:1">
      <c r="A1843" s="190"/>
    </row>
    <row r="1844" spans="1:1">
      <c r="A1844" s="190"/>
    </row>
    <row r="1845" spans="1:1">
      <c r="A1845" s="190"/>
    </row>
    <row r="1846" spans="1:1">
      <c r="A1846" s="190"/>
    </row>
    <row r="1847" spans="1:1">
      <c r="A1847" s="190"/>
    </row>
    <row r="1848" spans="1:1">
      <c r="A1848" s="190"/>
    </row>
    <row r="1849" spans="1:1">
      <c r="A1849" s="190"/>
    </row>
    <row r="1850" spans="1:1">
      <c r="A1850" s="190"/>
    </row>
    <row r="1851" spans="1:1">
      <c r="A1851" s="190"/>
    </row>
    <row r="1852" spans="1:1">
      <c r="A1852" s="190"/>
    </row>
    <row r="1853" spans="1:1">
      <c r="A1853" s="190"/>
    </row>
    <row r="1854" spans="1:1">
      <c r="A1854" s="190"/>
    </row>
    <row r="1855" spans="1:1">
      <c r="A1855" s="190"/>
    </row>
    <row r="1856" spans="1:1">
      <c r="A1856" s="190"/>
    </row>
    <row r="1857" spans="1:1">
      <c r="A1857" s="190"/>
    </row>
    <row r="1858" spans="1:1">
      <c r="A1858" s="190"/>
    </row>
    <row r="1859" spans="1:1">
      <c r="A1859" s="190"/>
    </row>
    <row r="1860" spans="1:1">
      <c r="A1860" s="190"/>
    </row>
    <row r="1861" spans="1:1">
      <c r="A1861" s="190"/>
    </row>
    <row r="1862" spans="1:1">
      <c r="A1862" s="190"/>
    </row>
    <row r="1863" spans="1:1">
      <c r="A1863" s="190"/>
    </row>
    <row r="1864" spans="1:1">
      <c r="A1864" s="190"/>
    </row>
    <row r="1865" spans="1:1">
      <c r="A1865" s="190"/>
    </row>
    <row r="1866" spans="1:1">
      <c r="A1866" s="190"/>
    </row>
    <row r="1867" spans="1:1">
      <c r="A1867" s="190"/>
    </row>
    <row r="1868" spans="1:1">
      <c r="A1868" s="190"/>
    </row>
    <row r="1869" spans="1:1">
      <c r="A1869" s="190"/>
    </row>
    <row r="1870" spans="1:1">
      <c r="A1870" s="190"/>
    </row>
    <row r="1871" spans="1:1">
      <c r="A1871" s="190"/>
    </row>
    <row r="1872" spans="1:1">
      <c r="A1872" s="190"/>
    </row>
    <row r="1873" spans="1:1">
      <c r="A1873" s="190"/>
    </row>
    <row r="1874" spans="1:1">
      <c r="A1874" s="190"/>
    </row>
    <row r="1875" spans="1:1">
      <c r="A1875" s="190"/>
    </row>
    <row r="1876" spans="1:1">
      <c r="A1876" s="190"/>
    </row>
    <row r="1877" spans="1:1">
      <c r="A1877" s="190"/>
    </row>
    <row r="1878" spans="1:1">
      <c r="A1878" s="190"/>
    </row>
    <row r="1879" spans="1:1">
      <c r="A1879" s="190"/>
    </row>
    <row r="1880" spans="1:1">
      <c r="A1880" s="190"/>
    </row>
    <row r="1881" spans="1:1">
      <c r="A1881" s="190"/>
    </row>
    <row r="1882" spans="1:1">
      <c r="A1882" s="190"/>
    </row>
    <row r="1883" spans="1:1">
      <c r="A1883" s="190"/>
    </row>
    <row r="1884" spans="1:1">
      <c r="A1884" s="190"/>
    </row>
    <row r="1885" spans="1:1">
      <c r="A1885" s="190"/>
    </row>
    <row r="1886" spans="1:1">
      <c r="A1886" s="190"/>
    </row>
    <row r="1887" spans="1:1">
      <c r="A1887" s="190"/>
    </row>
    <row r="1888" spans="1:1">
      <c r="A1888" s="190"/>
    </row>
    <row r="1889" spans="1:1">
      <c r="A1889" s="190"/>
    </row>
    <row r="1890" spans="1:1">
      <c r="A1890" s="190"/>
    </row>
    <row r="1891" spans="1:1">
      <c r="A1891" s="190"/>
    </row>
    <row r="1892" spans="1:1">
      <c r="A1892" s="190"/>
    </row>
    <row r="1893" spans="1:1">
      <c r="A1893" s="190"/>
    </row>
    <row r="1894" spans="1:1">
      <c r="A1894" s="190"/>
    </row>
    <row r="1895" spans="1:1">
      <c r="A1895" s="190"/>
    </row>
    <row r="1896" spans="1:1">
      <c r="A1896" s="190"/>
    </row>
    <row r="1897" spans="1:1">
      <c r="A1897" s="190"/>
    </row>
    <row r="1898" spans="1:1">
      <c r="A1898" s="190"/>
    </row>
    <row r="1899" spans="1:1">
      <c r="A1899" s="190"/>
    </row>
    <row r="1900" spans="1:1">
      <c r="A1900" s="190"/>
    </row>
    <row r="1901" spans="1:1">
      <c r="A1901" s="190"/>
    </row>
    <row r="1902" spans="1:1">
      <c r="A1902" s="190"/>
    </row>
    <row r="1903" spans="1:1">
      <c r="A1903" s="190"/>
    </row>
    <row r="1904" spans="1:1">
      <c r="A1904" s="190"/>
    </row>
    <row r="1905" spans="1:1">
      <c r="A1905" s="190"/>
    </row>
    <row r="1906" spans="1:1">
      <c r="A1906" s="190"/>
    </row>
    <row r="1907" spans="1:1">
      <c r="A1907" s="190"/>
    </row>
    <row r="1908" spans="1:1">
      <c r="A1908" s="190"/>
    </row>
    <row r="1909" spans="1:1">
      <c r="A1909" s="190"/>
    </row>
    <row r="1910" spans="1:1">
      <c r="A1910" s="190"/>
    </row>
    <row r="1911" spans="1:1">
      <c r="A1911" s="190"/>
    </row>
    <row r="1912" spans="1:1">
      <c r="A1912" s="190"/>
    </row>
    <row r="1913" spans="1:1">
      <c r="A1913" s="190"/>
    </row>
    <row r="1914" spans="1:1">
      <c r="A1914" s="190"/>
    </row>
    <row r="1915" spans="1:1">
      <c r="A1915" s="190"/>
    </row>
    <row r="1916" spans="1:1">
      <c r="A1916" s="190"/>
    </row>
    <row r="1917" spans="1:1">
      <c r="A1917" s="190"/>
    </row>
    <row r="1918" spans="1:1">
      <c r="A1918" s="190"/>
    </row>
    <row r="1919" spans="1:1">
      <c r="A1919" s="190"/>
    </row>
    <row r="1920" spans="1:1">
      <c r="A1920" s="190"/>
    </row>
    <row r="1921" spans="1:1">
      <c r="A1921" s="190"/>
    </row>
    <row r="1922" spans="1:1">
      <c r="A1922" s="190"/>
    </row>
    <row r="1923" spans="1:1">
      <c r="A1923" s="190"/>
    </row>
    <row r="1924" spans="1:1">
      <c r="A1924" s="190"/>
    </row>
    <row r="1925" spans="1:1">
      <c r="A1925" s="190"/>
    </row>
    <row r="1926" spans="1:1">
      <c r="A1926" s="190"/>
    </row>
    <row r="1927" spans="1:1">
      <c r="A1927" s="190"/>
    </row>
    <row r="1928" spans="1:1">
      <c r="A1928" s="190"/>
    </row>
    <row r="1929" spans="1:1">
      <c r="A1929" s="190"/>
    </row>
    <row r="1930" spans="1:1">
      <c r="A1930" s="190"/>
    </row>
    <row r="1931" spans="1:1">
      <c r="A1931" s="190"/>
    </row>
    <row r="1932" spans="1:1">
      <c r="A1932" s="190"/>
    </row>
    <row r="1933" spans="1:1">
      <c r="A1933" s="190"/>
    </row>
    <row r="1934" spans="1:1">
      <c r="A1934" s="190"/>
    </row>
    <row r="1935" spans="1:1">
      <c r="A1935" s="190"/>
    </row>
    <row r="1936" spans="1:1">
      <c r="A1936" s="190"/>
    </row>
    <row r="1937" spans="1:1">
      <c r="A1937" s="190"/>
    </row>
    <row r="1938" spans="1:1">
      <c r="A1938" s="190"/>
    </row>
    <row r="1939" spans="1:1">
      <c r="A1939" s="190"/>
    </row>
    <row r="1940" spans="1:1">
      <c r="A1940" s="190"/>
    </row>
    <row r="1941" spans="1:1">
      <c r="A1941" s="190"/>
    </row>
    <row r="1942" spans="1:1">
      <c r="A1942" s="190"/>
    </row>
    <row r="1943" spans="1:1">
      <c r="A1943" s="190"/>
    </row>
    <row r="1944" spans="1:1">
      <c r="A1944" s="190"/>
    </row>
    <row r="1945" spans="1:1">
      <c r="A1945" s="190"/>
    </row>
    <row r="1946" spans="1:1">
      <c r="A1946" s="190"/>
    </row>
    <row r="1947" spans="1:1">
      <c r="A1947" s="190"/>
    </row>
    <row r="1948" spans="1:1">
      <c r="A1948" s="190"/>
    </row>
    <row r="1949" spans="1:1">
      <c r="A1949" s="190"/>
    </row>
    <row r="1950" spans="1:1">
      <c r="A1950" s="190"/>
    </row>
    <row r="1951" spans="1:1">
      <c r="A1951" s="190"/>
    </row>
    <row r="1952" spans="1:1">
      <c r="A1952" s="190"/>
    </row>
    <row r="1953" spans="1:1">
      <c r="A1953" s="190"/>
    </row>
    <row r="1954" spans="1:1">
      <c r="A1954" s="190"/>
    </row>
    <row r="1955" spans="1:1">
      <c r="A1955" s="190"/>
    </row>
    <row r="1956" spans="1:1">
      <c r="A1956" s="190"/>
    </row>
    <row r="1957" spans="1:1">
      <c r="A1957" s="190"/>
    </row>
    <row r="1958" spans="1:1">
      <c r="A1958" s="190"/>
    </row>
    <row r="1959" spans="1:1">
      <c r="A1959" s="190"/>
    </row>
    <row r="1960" spans="1:1">
      <c r="A1960" s="190"/>
    </row>
    <row r="1961" spans="1:1">
      <c r="A1961" s="190"/>
    </row>
    <row r="1962" spans="1:1">
      <c r="A1962" s="190"/>
    </row>
    <row r="1963" spans="1:1">
      <c r="A1963" s="190"/>
    </row>
    <row r="1964" spans="1:1">
      <c r="A1964" s="190"/>
    </row>
    <row r="1965" spans="1:1">
      <c r="A1965" s="190"/>
    </row>
    <row r="1966" spans="1:1">
      <c r="A1966" s="190"/>
    </row>
    <row r="1967" spans="1:1">
      <c r="A1967" s="190"/>
    </row>
    <row r="1968" spans="1:1">
      <c r="A1968" s="190"/>
    </row>
    <row r="1969" spans="1:1">
      <c r="A1969" s="190"/>
    </row>
    <row r="1970" spans="1:1">
      <c r="A1970" s="190"/>
    </row>
    <row r="1971" spans="1:1">
      <c r="A1971" s="190"/>
    </row>
    <row r="1972" spans="1:1">
      <c r="A1972" s="190"/>
    </row>
    <row r="1973" spans="1:1">
      <c r="A1973" s="190"/>
    </row>
    <row r="1974" spans="1:1">
      <c r="A1974" s="190"/>
    </row>
    <row r="1975" spans="1:1">
      <c r="A1975" s="190"/>
    </row>
    <row r="1976" spans="1:1">
      <c r="A1976" s="190"/>
    </row>
    <row r="1977" spans="1:1">
      <c r="A1977" s="190"/>
    </row>
    <row r="1978" spans="1:1">
      <c r="A1978" s="190"/>
    </row>
    <row r="1979" spans="1:1">
      <c r="A1979" s="190"/>
    </row>
    <row r="1980" spans="1:1">
      <c r="A1980" s="190"/>
    </row>
    <row r="1981" spans="1:1">
      <c r="A1981" s="190"/>
    </row>
    <row r="1982" spans="1:1">
      <c r="A1982" s="190"/>
    </row>
    <row r="1983" spans="1:1">
      <c r="A1983" s="190"/>
    </row>
    <row r="1984" spans="1:1">
      <c r="A1984" s="190"/>
    </row>
    <row r="1985" spans="1:1">
      <c r="A1985" s="190"/>
    </row>
    <row r="1986" spans="1:1">
      <c r="A1986" s="190"/>
    </row>
    <row r="1987" spans="1:1">
      <c r="A1987" s="190"/>
    </row>
    <row r="1988" spans="1:1">
      <c r="A1988" s="190"/>
    </row>
    <row r="1989" spans="1:1">
      <c r="A1989" s="190"/>
    </row>
    <row r="1990" spans="1:1">
      <c r="A1990" s="190"/>
    </row>
    <row r="1991" spans="1:1">
      <c r="A1991" s="190"/>
    </row>
    <row r="1992" spans="1:1">
      <c r="A1992" s="190"/>
    </row>
    <row r="1993" spans="1:1">
      <c r="A1993" s="190"/>
    </row>
    <row r="1994" spans="1:1">
      <c r="A1994" s="190"/>
    </row>
    <row r="1995" spans="1:1">
      <c r="A1995" s="190"/>
    </row>
    <row r="1996" spans="1:1">
      <c r="A1996" s="190"/>
    </row>
    <row r="1997" spans="1:1">
      <c r="A1997" s="190"/>
    </row>
    <row r="1998" spans="1:1">
      <c r="A1998" s="190"/>
    </row>
    <row r="1999" spans="1:1">
      <c r="A1999" s="190"/>
    </row>
    <row r="2000" spans="1:1">
      <c r="A2000" s="190"/>
    </row>
    <row r="2001" spans="1:1">
      <c r="A2001" s="190"/>
    </row>
    <row r="2002" spans="1:1">
      <c r="A2002" s="190"/>
    </row>
    <row r="2003" spans="1:1">
      <c r="A2003" s="190"/>
    </row>
    <row r="2004" spans="1:1">
      <c r="A2004" s="190"/>
    </row>
    <row r="2005" spans="1:1">
      <c r="A2005" s="190"/>
    </row>
    <row r="2006" spans="1:1">
      <c r="A2006" s="190"/>
    </row>
    <row r="2007" spans="1:1">
      <c r="A2007" s="190"/>
    </row>
    <row r="2008" spans="1:1">
      <c r="A2008" s="190"/>
    </row>
    <row r="2009" spans="1:1">
      <c r="A2009" s="190"/>
    </row>
    <row r="2010" spans="1:1">
      <c r="A2010" s="190"/>
    </row>
    <row r="2011" spans="1:1">
      <c r="A2011" s="190"/>
    </row>
    <row r="2012" spans="1:1">
      <c r="A2012" s="190"/>
    </row>
    <row r="2013" spans="1:1">
      <c r="A2013" s="190"/>
    </row>
    <row r="2014" spans="1:1">
      <c r="A2014" s="190"/>
    </row>
    <row r="2015" spans="1:1">
      <c r="A2015" s="190"/>
    </row>
    <row r="2016" spans="1:1">
      <c r="A2016" s="190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0"/>
  <sheetViews>
    <sheetView workbookViewId="0">
      <selection activeCell="M49" sqref="M49"/>
    </sheetView>
  </sheetViews>
  <sheetFormatPr defaultRowHeight="12.75"/>
  <cols>
    <col min="2" max="2" width="10.140625" bestFit="1" customWidth="1"/>
    <col min="7" max="7" width="12.42578125" bestFit="1" customWidth="1"/>
    <col min="9" max="9" width="10.140625" bestFit="1" customWidth="1"/>
  </cols>
  <sheetData>
    <row r="2" spans="1:12" ht="13.5" thickBot="1"/>
    <row r="3" spans="1:12" ht="16.5" thickTop="1">
      <c r="A3" t="s">
        <v>508</v>
      </c>
      <c r="B3" s="1">
        <v>36130</v>
      </c>
      <c r="D3" s="292" t="s">
        <v>467</v>
      </c>
      <c r="E3" s="530" t="s">
        <v>34</v>
      </c>
      <c r="F3" s="531"/>
      <c r="G3" s="532" t="s">
        <v>482</v>
      </c>
      <c r="H3" s="533"/>
      <c r="I3" s="294" t="s">
        <v>492</v>
      </c>
      <c r="J3" s="293" t="s">
        <v>481</v>
      </c>
      <c r="K3" s="294" t="s">
        <v>482</v>
      </c>
      <c r="L3" s="295" t="s">
        <v>492</v>
      </c>
    </row>
    <row r="4" spans="1:12" ht="15.75">
      <c r="D4" s="296" t="s">
        <v>507</v>
      </c>
      <c r="E4" s="534"/>
      <c r="F4" s="535"/>
      <c r="G4" s="536"/>
      <c r="H4" s="537"/>
      <c r="I4" s="298" t="s">
        <v>493</v>
      </c>
      <c r="J4" s="297" t="s">
        <v>494</v>
      </c>
      <c r="K4" s="299" t="s">
        <v>494</v>
      </c>
      <c r="L4" s="300" t="s">
        <v>493</v>
      </c>
    </row>
    <row r="5" spans="1:12" ht="15.75">
      <c r="D5" s="301" t="s">
        <v>495</v>
      </c>
      <c r="E5" s="321">
        <v>0.99930714044871838</v>
      </c>
      <c r="F5" s="405" t="s">
        <v>500</v>
      </c>
      <c r="G5" s="323">
        <v>6.1732152387317959E-5</v>
      </c>
      <c r="H5" s="405" t="s">
        <v>500</v>
      </c>
      <c r="I5" s="302">
        <v>2.4203985393924405</v>
      </c>
      <c r="J5" s="303">
        <v>8.6756739435900607E-2</v>
      </c>
      <c r="K5" s="304">
        <v>3.4492269623973358E-2</v>
      </c>
      <c r="L5" s="305">
        <v>2.0899553515665761</v>
      </c>
    </row>
    <row r="6" spans="1:12" ht="15.75">
      <c r="D6" s="296" t="s">
        <v>496</v>
      </c>
      <c r="E6" s="327">
        <v>100.16403392360419</v>
      </c>
      <c r="F6" s="406" t="s">
        <v>106</v>
      </c>
      <c r="G6" s="329">
        <v>6.1881392831129103E-3</v>
      </c>
      <c r="H6" s="406" t="s">
        <v>106</v>
      </c>
      <c r="I6" s="306">
        <v>2.4199913287087473</v>
      </c>
      <c r="J6" s="307">
        <v>7.7396990774009869E-2</v>
      </c>
      <c r="K6" s="308">
        <v>3.4494437071416327E-2</v>
      </c>
      <c r="L6" s="309">
        <v>2.1515606235734865</v>
      </c>
    </row>
    <row r="7" spans="1:12" ht="15.75">
      <c r="D7" s="296" t="s">
        <v>497</v>
      </c>
      <c r="E7" s="333">
        <v>9.9943515135518126</v>
      </c>
      <c r="F7" s="407" t="s">
        <v>106</v>
      </c>
      <c r="G7" s="335">
        <v>6.5267228379382186E-4</v>
      </c>
      <c r="H7" s="407" t="s">
        <v>106</v>
      </c>
      <c r="I7" s="306">
        <v>2.2079675767074525</v>
      </c>
      <c r="J7" s="307">
        <v>1.1499552892779244E-2</v>
      </c>
      <c r="K7" s="308">
        <v>3.9661009261211307E-2</v>
      </c>
      <c r="L7" s="309">
        <v>2.151568523174249</v>
      </c>
    </row>
    <row r="8" spans="1:12" ht="15.75">
      <c r="D8" s="296" t="s">
        <v>498</v>
      </c>
      <c r="E8" s="337">
        <v>0.98853962736671819</v>
      </c>
      <c r="F8" s="408" t="s">
        <v>106</v>
      </c>
      <c r="G8" s="339">
        <v>1.2820805276236608E-4</v>
      </c>
      <c r="H8" s="408" t="s">
        <v>106</v>
      </c>
      <c r="I8" s="306">
        <v>2.2630787467018845</v>
      </c>
      <c r="J8" s="307">
        <v>7.5453615637070703E-2</v>
      </c>
      <c r="K8" s="308">
        <v>2.6288738696399298E-2</v>
      </c>
      <c r="L8" s="309">
        <v>2.098521046128917</v>
      </c>
    </row>
    <row r="9" spans="1:12" ht="16.5" thickBot="1">
      <c r="D9" s="312" t="s">
        <v>499</v>
      </c>
      <c r="E9" s="341">
        <v>490.64981974309615</v>
      </c>
      <c r="F9" s="409" t="s">
        <v>107</v>
      </c>
      <c r="G9" s="343">
        <v>0.12939784199318072</v>
      </c>
      <c r="H9" s="409" t="s">
        <v>107</v>
      </c>
      <c r="I9" s="314">
        <v>2.2360415273323517</v>
      </c>
      <c r="J9" s="313">
        <v>0.20160850244843387</v>
      </c>
      <c r="K9" s="315">
        <v>5.1140184016205389E-2</v>
      </c>
      <c r="L9" s="316">
        <v>2.2724260617020136</v>
      </c>
    </row>
    <row r="10" spans="1:12" ht="14.25" thickTop="1" thickBot="1"/>
    <row r="11" spans="1:12" ht="16.5" thickTop="1">
      <c r="A11" t="s">
        <v>490</v>
      </c>
      <c r="B11" s="1">
        <v>37228</v>
      </c>
      <c r="D11" s="292" t="s">
        <v>491</v>
      </c>
      <c r="E11" s="317" t="s">
        <v>34</v>
      </c>
      <c r="F11" s="317"/>
      <c r="G11" s="318" t="s">
        <v>482</v>
      </c>
      <c r="H11" s="318"/>
      <c r="I11" s="404" t="s">
        <v>492</v>
      </c>
      <c r="J11" s="403" t="s">
        <v>481</v>
      </c>
      <c r="K11" s="404" t="s">
        <v>482</v>
      </c>
      <c r="L11" s="295" t="s">
        <v>492</v>
      </c>
    </row>
    <row r="12" spans="1:12" ht="15.75">
      <c r="D12" s="296"/>
      <c r="E12" s="297"/>
      <c r="F12" s="319"/>
      <c r="G12" s="298"/>
      <c r="H12" s="320"/>
      <c r="I12" s="298" t="s">
        <v>493</v>
      </c>
      <c r="J12" s="297" t="s">
        <v>494</v>
      </c>
      <c r="K12" s="299" t="s">
        <v>494</v>
      </c>
      <c r="L12" s="300" t="s">
        <v>493</v>
      </c>
    </row>
    <row r="13" spans="1:12" ht="15.75">
      <c r="D13" s="301" t="s">
        <v>495</v>
      </c>
      <c r="E13" s="321">
        <v>0.99982965725120443</v>
      </c>
      <c r="F13" s="322" t="s">
        <v>500</v>
      </c>
      <c r="G13" s="323">
        <v>1.2370419384979348E-4</v>
      </c>
      <c r="H13" s="324" t="s">
        <v>500</v>
      </c>
      <c r="I13" s="325">
        <v>2.3982678783219868</v>
      </c>
      <c r="J13" s="303">
        <v>5.2006703070784248E-2</v>
      </c>
      <c r="K13" s="304">
        <v>3.9873098835993812E-2</v>
      </c>
      <c r="L13" s="326">
        <v>2.1459962721701977</v>
      </c>
    </row>
    <row r="14" spans="1:12" ht="15.75">
      <c r="D14" s="296" t="s">
        <v>496</v>
      </c>
      <c r="E14" s="327">
        <v>100.09067333674081</v>
      </c>
      <c r="F14" s="328" t="s">
        <v>106</v>
      </c>
      <c r="G14" s="329">
        <v>1.2369584863523094E-2</v>
      </c>
      <c r="H14" s="330" t="s">
        <v>106</v>
      </c>
      <c r="I14" s="331">
        <v>2.3994592626801707</v>
      </c>
      <c r="J14" s="307">
        <v>6.2840412698467699E-2</v>
      </c>
      <c r="K14" s="308">
        <v>3.9873098835993812E-2</v>
      </c>
      <c r="L14" s="332">
        <v>2.1459962721701977</v>
      </c>
    </row>
    <row r="15" spans="1:12" ht="15.75">
      <c r="D15" s="296" t="s">
        <v>497</v>
      </c>
      <c r="E15" s="333">
        <v>9.9928000000000008</v>
      </c>
      <c r="F15" s="334" t="s">
        <v>106</v>
      </c>
      <c r="G15" s="335">
        <v>1.5144856347442156E-3</v>
      </c>
      <c r="H15" s="336" t="s">
        <v>106</v>
      </c>
      <c r="I15" s="331">
        <v>2.1126288614084583</v>
      </c>
      <c r="J15" s="310">
        <v>0.18813545752942118</v>
      </c>
      <c r="K15" s="311">
        <v>0.10942476867893212</v>
      </c>
      <c r="L15" s="332">
        <v>2.1459962721701982</v>
      </c>
    </row>
    <row r="16" spans="1:12" ht="15.75">
      <c r="D16" s="296" t="s">
        <v>498</v>
      </c>
      <c r="E16" s="337">
        <v>0.98796000000000006</v>
      </c>
      <c r="F16" s="338" t="s">
        <v>106</v>
      </c>
      <c r="G16" s="339">
        <v>1.8139725258074842E-4</v>
      </c>
      <c r="H16" s="340" t="s">
        <v>106</v>
      </c>
      <c r="I16" s="331">
        <v>2.0754423450940234</v>
      </c>
      <c r="J16" s="310">
        <v>8.0974938256609591E-2</v>
      </c>
      <c r="K16" s="311">
        <v>0.1094247686789321</v>
      </c>
      <c r="L16" s="332">
        <v>2.1459962721701977</v>
      </c>
    </row>
    <row r="17" spans="1:12" ht="16.5" thickBot="1">
      <c r="D17" s="312" t="s">
        <v>499</v>
      </c>
      <c r="E17" s="341">
        <v>490.43</v>
      </c>
      <c r="F17" s="342" t="s">
        <v>107</v>
      </c>
      <c r="G17" s="343">
        <v>0.13470489356827625</v>
      </c>
      <c r="H17" s="344" t="s">
        <v>107</v>
      </c>
      <c r="I17" s="345">
        <v>2.1682178032619208</v>
      </c>
      <c r="J17" s="313">
        <v>0.14273188834288275</v>
      </c>
      <c r="K17" s="315">
        <v>0.10942476867893211</v>
      </c>
      <c r="L17" s="346">
        <v>2.1459962721701977</v>
      </c>
    </row>
    <row r="18" spans="1:12" ht="13.5" thickTop="1"/>
    <row r="19" spans="1:12" ht="12.75" customHeight="1">
      <c r="A19" t="s">
        <v>509</v>
      </c>
      <c r="B19" s="1">
        <v>38393</v>
      </c>
      <c r="D19" s="520" t="s">
        <v>510</v>
      </c>
      <c r="E19" s="520" t="s">
        <v>34</v>
      </c>
      <c r="F19" s="523"/>
      <c r="G19" s="526" t="s">
        <v>511</v>
      </c>
      <c r="H19" s="523"/>
      <c r="I19" s="526" t="s">
        <v>512</v>
      </c>
      <c r="J19" s="526" t="s">
        <v>513</v>
      </c>
      <c r="K19" s="526" t="s">
        <v>514</v>
      </c>
      <c r="L19" s="527" t="s">
        <v>512</v>
      </c>
    </row>
    <row r="20" spans="1:12">
      <c r="D20" s="521"/>
      <c r="E20" s="521"/>
      <c r="F20" s="524"/>
      <c r="G20" s="521"/>
      <c r="H20" s="524"/>
      <c r="I20" s="521" t="s">
        <v>493</v>
      </c>
      <c r="J20" s="521"/>
      <c r="K20" s="521" t="s">
        <v>132</v>
      </c>
      <c r="L20" s="528" t="s">
        <v>493</v>
      </c>
    </row>
    <row r="21" spans="1:12">
      <c r="D21" s="522"/>
      <c r="E21" s="522"/>
      <c r="F21" s="525"/>
      <c r="G21" s="522"/>
      <c r="H21" s="525"/>
      <c r="I21" s="522"/>
      <c r="J21" s="522" t="s">
        <v>135</v>
      </c>
      <c r="K21" s="522" t="s">
        <v>135</v>
      </c>
      <c r="L21" s="529"/>
    </row>
    <row r="22" spans="1:12">
      <c r="D22" s="266" t="s">
        <v>519</v>
      </c>
      <c r="E22" s="410">
        <v>0.99933615942048282</v>
      </c>
      <c r="F22" s="411" t="s">
        <v>500</v>
      </c>
      <c r="G22" s="410">
        <v>1.3352003870626235E-4</v>
      </c>
      <c r="H22" s="411" t="s">
        <v>500</v>
      </c>
      <c r="I22" s="267">
        <v>2.0529727461668652</v>
      </c>
      <c r="J22" s="277">
        <v>8.0722794394239336E-2</v>
      </c>
      <c r="K22" s="273">
        <v>3.4550498412175314E-2</v>
      </c>
      <c r="L22" s="412">
        <v>2.1447083413460151</v>
      </c>
    </row>
    <row r="23" spans="1:12">
      <c r="D23" s="266" t="s">
        <v>515</v>
      </c>
      <c r="E23" s="413">
        <v>100.17633249645748</v>
      </c>
      <c r="F23" s="414" t="s">
        <v>106</v>
      </c>
      <c r="G23" s="413">
        <v>1.750236448723571E-2</v>
      </c>
      <c r="H23" s="414" t="s">
        <v>106</v>
      </c>
      <c r="I23" s="267">
        <v>2.058566109566752</v>
      </c>
      <c r="J23" s="277">
        <v>5.050348584684923E-2</v>
      </c>
      <c r="K23" s="273">
        <v>3.4522128676187612E-2</v>
      </c>
      <c r="L23" s="412">
        <v>2.1457293046147234</v>
      </c>
    </row>
    <row r="24" spans="1:12">
      <c r="D24" s="266" t="s">
        <v>516</v>
      </c>
      <c r="E24" s="415">
        <v>9.9949116999293217</v>
      </c>
      <c r="F24" s="416" t="s">
        <v>106</v>
      </c>
      <c r="G24" s="415">
        <v>1.1659992002553206E-3</v>
      </c>
      <c r="H24" s="416" t="s">
        <v>106</v>
      </c>
      <c r="I24" s="267">
        <v>2.0906287404783819</v>
      </c>
      <c r="J24" s="277">
        <v>8.090955976746618E-2</v>
      </c>
      <c r="K24" s="273">
        <v>3.4523028401904431E-2</v>
      </c>
      <c r="L24" s="412">
        <v>2.1456998247484713</v>
      </c>
    </row>
    <row r="25" spans="1:12">
      <c r="D25" s="266" t="s">
        <v>517</v>
      </c>
      <c r="E25" s="410">
        <v>0.98941929861088262</v>
      </c>
      <c r="F25" s="416" t="s">
        <v>106</v>
      </c>
      <c r="G25" s="410">
        <v>3.3669717745277112E-4</v>
      </c>
      <c r="H25" s="416" t="s">
        <v>106</v>
      </c>
      <c r="I25" s="267">
        <v>2.0793109056027714</v>
      </c>
      <c r="J25" s="277">
        <v>4.2563773805264465E-2</v>
      </c>
      <c r="K25" s="273">
        <v>3.4525331663875586E-2</v>
      </c>
      <c r="L25" s="412">
        <v>2.145558373791332</v>
      </c>
    </row>
    <row r="26" spans="1:12">
      <c r="D26" s="270" t="s">
        <v>518</v>
      </c>
      <c r="E26" s="417">
        <v>491.65074647239516</v>
      </c>
      <c r="F26" s="418" t="s">
        <v>107</v>
      </c>
      <c r="G26" s="417">
        <v>0.60025354125784069</v>
      </c>
      <c r="H26" s="418" t="s">
        <v>107</v>
      </c>
      <c r="I26" s="271">
        <v>2.124932407275697</v>
      </c>
      <c r="J26" s="419">
        <v>0.13876636669551654</v>
      </c>
      <c r="K26" s="420">
        <v>3.5259284839655923E-2</v>
      </c>
      <c r="L26" s="421">
        <v>2.128560051153507</v>
      </c>
    </row>
    <row r="28" spans="1:12">
      <c r="A28" s="181" t="s">
        <v>506</v>
      </c>
      <c r="B28" s="1">
        <v>43034</v>
      </c>
      <c r="C28">
        <f>pyReport!L4</f>
        <v>1000</v>
      </c>
      <c r="D28">
        <f>pyReport!M4</f>
        <v>999.86882918397339</v>
      </c>
      <c r="E28">
        <f>pyReport!N4/1000</f>
        <v>5.0272601580259568E-5</v>
      </c>
      <c r="G28">
        <f>pyReport!O4/1000</f>
        <v>2.1371461707448795E-3</v>
      </c>
      <c r="I28" s="85">
        <f>pyReport!P4</f>
        <v>-2.0103315295774495E-2</v>
      </c>
      <c r="J28" s="82">
        <f>pyReport!Q4</f>
        <v>3.4531216965908079E-2</v>
      </c>
      <c r="K28" s="82">
        <f>pyReport!R4</f>
        <v>2.15004478616975</v>
      </c>
      <c r="L28" s="85" t="e">
        <f>pyReport!#REF!</f>
        <v>#REF!</v>
      </c>
    </row>
    <row r="29" spans="1:12">
      <c r="C29">
        <f>pyReport!L5</f>
        <v>100</v>
      </c>
      <c r="D29">
        <f>pyReport!M5</f>
        <v>100.00028522236404</v>
      </c>
      <c r="E29">
        <f>pyReport!N5</f>
        <v>5.0283380543389624E-3</v>
      </c>
      <c r="G29">
        <f>pyReport!O5</f>
        <v>2.1371469092382602</v>
      </c>
      <c r="I29" s="85">
        <f>pyReport!P5</f>
        <v>0.19769127805612174</v>
      </c>
      <c r="J29" s="82">
        <f>pyReport!Q5</f>
        <v>3.4533981047499884E-2</v>
      </c>
      <c r="K29" s="82">
        <f>pyReport!R5</f>
        <v>2.150046024308164</v>
      </c>
      <c r="L29" s="85" t="e">
        <f>pyReport!#REF!</f>
        <v>#REF!</v>
      </c>
    </row>
    <row r="30" spans="1:12">
      <c r="C30">
        <f>pyReport!L6</f>
        <v>10</v>
      </c>
      <c r="D30">
        <f>pyReport!M6</f>
        <v>9.9987284405236085</v>
      </c>
      <c r="E30">
        <f>pyReport!N6</f>
        <v>5.9597384516450714E-4</v>
      </c>
      <c r="G30">
        <f>pyReport!O6</f>
        <v>2.0955393967720135</v>
      </c>
      <c r="I30" s="85">
        <f>pyReport!P6</f>
        <v>0.19101640726342323</v>
      </c>
      <c r="J30" s="82">
        <f>pyReport!Q6</f>
        <v>4.4020680014484073E-2</v>
      </c>
      <c r="K30" s="82">
        <f>pyReport!R6</f>
        <v>2.0612813342294927</v>
      </c>
      <c r="L30" s="85" t="e">
        <f>pyReport!#REF!</f>
        <v>#REF!</v>
      </c>
    </row>
    <row r="31" spans="1:12">
      <c r="C31">
        <f>pyReport!L7</f>
        <v>1</v>
      </c>
      <c r="D31">
        <f>pyReport!M7</f>
        <v>0.99986284342380105</v>
      </c>
      <c r="E31">
        <f>pyReport!N7</f>
        <v>4.1578284159589628E-4</v>
      </c>
      <c r="G31">
        <f>pyReport!O7</f>
        <v>2.5531887290894928</v>
      </c>
      <c r="I31" s="85">
        <f>pyReport!P7</f>
        <v>0.27002589428582913</v>
      </c>
      <c r="J31" s="82">
        <f>pyReport!Q7</f>
        <v>0.31070996609245055</v>
      </c>
      <c r="K31" s="82">
        <f>pyReport!R7</f>
        <v>2.1827453941864152</v>
      </c>
      <c r="L31" s="85" t="e">
        <f>pyReport!#REF!</f>
        <v>#REF!</v>
      </c>
    </row>
    <row r="32" spans="1:12">
      <c r="C32" t="e">
        <f>pyReport!#REF!</f>
        <v>#REF!</v>
      </c>
      <c r="D32" t="e">
        <f>pyReport!#REF!</f>
        <v>#REF!</v>
      </c>
      <c r="E32" t="e">
        <f>pyReport!#REF!*1000</f>
        <v>#REF!</v>
      </c>
      <c r="G32" t="e">
        <f>pyReport!#REF!*1000</f>
        <v>#REF!</v>
      </c>
      <c r="I32" s="85" t="e">
        <f>pyReport!#REF!</f>
        <v>#REF!</v>
      </c>
      <c r="J32" s="82" t="e">
        <f>pyReport!#REF!</f>
        <v>#REF!</v>
      </c>
      <c r="K32" s="82" t="e">
        <f>pyReport!#REF!</f>
        <v>#REF!</v>
      </c>
      <c r="L32" s="85" t="e">
        <f>pyReport!#REF!</f>
        <v>#REF!</v>
      </c>
    </row>
    <row r="35" spans="2:14">
      <c r="J35" s="181" t="s">
        <v>597</v>
      </c>
    </row>
    <row r="36" spans="2:14">
      <c r="C36">
        <f>C28</f>
        <v>1000</v>
      </c>
      <c r="D36">
        <f>C29</f>
        <v>100</v>
      </c>
      <c r="E36">
        <f>C30</f>
        <v>10</v>
      </c>
      <c r="F36">
        <f>C31</f>
        <v>1</v>
      </c>
      <c r="G36" t="e">
        <f>C32</f>
        <v>#REF!</v>
      </c>
      <c r="J36">
        <v>307348</v>
      </c>
      <c r="K36">
        <v>365390</v>
      </c>
      <c r="L36">
        <v>365385</v>
      </c>
      <c r="M36">
        <v>365392</v>
      </c>
      <c r="N36">
        <v>365394</v>
      </c>
    </row>
    <row r="37" spans="2:14">
      <c r="B37" s="1">
        <f>B3</f>
        <v>36130</v>
      </c>
      <c r="C37" s="347">
        <f>E5</f>
        <v>0.99930714044871838</v>
      </c>
      <c r="D37" s="348">
        <f>E6</f>
        <v>100.16403392360419</v>
      </c>
      <c r="E37" s="349">
        <f>E7</f>
        <v>9.9943515135518126</v>
      </c>
      <c r="F37" s="347">
        <f>E8</f>
        <v>0.98853962736671819</v>
      </c>
      <c r="G37" s="82">
        <f>E9</f>
        <v>490.64981974309615</v>
      </c>
      <c r="I37" s="1">
        <f>B37</f>
        <v>36130</v>
      </c>
      <c r="J37" s="65">
        <f>(C37-C$37)/C$37*100</f>
        <v>0</v>
      </c>
      <c r="K37" s="65">
        <f t="shared" ref="K37:N40" si="0">(D37-D$37)/D$37*100</f>
        <v>0</v>
      </c>
      <c r="L37" s="65">
        <f t="shared" si="0"/>
        <v>0</v>
      </c>
      <c r="M37" s="65">
        <f t="shared" si="0"/>
        <v>0</v>
      </c>
      <c r="N37" s="65">
        <f t="shared" si="0"/>
        <v>0</v>
      </c>
    </row>
    <row r="38" spans="2:14">
      <c r="B38" s="1">
        <f>B11</f>
        <v>37228</v>
      </c>
      <c r="C38" s="347">
        <f>E13</f>
        <v>0.99982965725120443</v>
      </c>
      <c r="D38" s="348">
        <f>E14</f>
        <v>100.09067333674081</v>
      </c>
      <c r="E38" s="349">
        <f>E15</f>
        <v>9.9928000000000008</v>
      </c>
      <c r="F38" s="347">
        <f>E16</f>
        <v>0.98796000000000006</v>
      </c>
      <c r="G38" s="82">
        <f>E17</f>
        <v>490.43</v>
      </c>
      <c r="I38" s="1">
        <f>B38</f>
        <v>37228</v>
      </c>
      <c r="J38" s="65">
        <f t="shared" ref="J38:J40" si="1">(C38-C$37)/C$37*100</f>
        <v>5.2287908425374112E-2</v>
      </c>
      <c r="K38" s="65">
        <f t="shared" si="0"/>
        <v>-7.3240447683386972E-2</v>
      </c>
      <c r="L38" s="65">
        <f t="shared" si="0"/>
        <v>-1.5523904174353408E-2</v>
      </c>
      <c r="M38" s="65">
        <f t="shared" si="0"/>
        <v>-5.8634712324294423E-2</v>
      </c>
      <c r="N38" s="65">
        <f t="shared" si="0"/>
        <v>-4.4801757638724099E-2</v>
      </c>
    </row>
    <row r="39" spans="2:14">
      <c r="B39" s="1">
        <f>B19</f>
        <v>38393</v>
      </c>
      <c r="C39" s="347">
        <f>E22</f>
        <v>0.99933615942048282</v>
      </c>
      <c r="D39" s="348">
        <f>E23</f>
        <v>100.17633249645748</v>
      </c>
      <c r="E39" s="349">
        <f>E24</f>
        <v>9.9949116999293217</v>
      </c>
      <c r="F39" s="350">
        <f>E25</f>
        <v>0.98941929861088262</v>
      </c>
      <c r="G39" s="85">
        <f>E26</f>
        <v>491.65074647239516</v>
      </c>
      <c r="I39" s="1">
        <f>B39</f>
        <v>38393</v>
      </c>
      <c r="J39" s="65">
        <f t="shared" si="1"/>
        <v>2.9039091776536376E-3</v>
      </c>
      <c r="K39" s="65">
        <f t="shared" si="0"/>
        <v>1.2278432059418368E-2</v>
      </c>
      <c r="L39" s="65">
        <f t="shared" si="0"/>
        <v>5.6050297685599163E-3</v>
      </c>
      <c r="M39" s="65">
        <f t="shared" si="0"/>
        <v>8.8986948000022451E-2</v>
      </c>
      <c r="N39" s="65">
        <f t="shared" si="0"/>
        <v>0.20400022358575301</v>
      </c>
    </row>
    <row r="40" spans="2:14">
      <c r="B40" s="1">
        <f>B28</f>
        <v>43034</v>
      </c>
      <c r="C40" s="350">
        <f>E28</f>
        <v>5.0272601580259568E-5</v>
      </c>
      <c r="D40" s="65">
        <f>E29</f>
        <v>5.0283380543389624E-3</v>
      </c>
      <c r="E40" s="350">
        <f>E30</f>
        <v>5.9597384516450714E-4</v>
      </c>
      <c r="F40">
        <f>E31</f>
        <v>4.1578284159589628E-4</v>
      </c>
      <c r="G40" t="e">
        <f>E32</f>
        <v>#REF!</v>
      </c>
      <c r="I40" s="1">
        <f>B40</f>
        <v>43034</v>
      </c>
      <c r="J40" s="65">
        <f t="shared" si="1"/>
        <v>-99.99496925424171</v>
      </c>
      <c r="K40" s="65">
        <f t="shared" si="0"/>
        <v>-99.99497989661819</v>
      </c>
      <c r="L40" s="65">
        <f t="shared" si="0"/>
        <v>-99.994036893295615</v>
      </c>
      <c r="M40" s="65">
        <f t="shared" si="0"/>
        <v>-99.957939689003311</v>
      </c>
      <c r="N40" s="65" t="e">
        <f t="shared" si="0"/>
        <v>#REF!</v>
      </c>
    </row>
  </sheetData>
  <mergeCells count="11">
    <mergeCell ref="K19:K21"/>
    <mergeCell ref="L19:L21"/>
    <mergeCell ref="E3:F3"/>
    <mergeCell ref="G3:H3"/>
    <mergeCell ref="E4:F4"/>
    <mergeCell ref="G4:H4"/>
    <mergeCell ref="D19:D21"/>
    <mergeCell ref="E19:F21"/>
    <mergeCell ref="G19:H21"/>
    <mergeCell ref="I19:I21"/>
    <mergeCell ref="J19:J2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opLeftCell="A31" workbookViewId="0">
      <selection activeCell="O9" sqref="O9"/>
    </sheetView>
  </sheetViews>
  <sheetFormatPr defaultRowHeight="12.75"/>
  <cols>
    <col min="2" max="2" width="13.140625" customWidth="1"/>
    <col min="3" max="3" width="10.140625" bestFit="1" customWidth="1"/>
    <col min="4" max="4" width="10.42578125" customWidth="1"/>
    <col min="5" max="6" width="10" bestFit="1" customWidth="1"/>
    <col min="7" max="7" width="12" customWidth="1"/>
    <col min="8" max="8" width="11.42578125" customWidth="1"/>
    <col min="9" max="9" width="12.42578125" bestFit="1" customWidth="1"/>
    <col min="10" max="10" width="10.140625" bestFit="1" customWidth="1"/>
    <col min="18" max="18" width="13.140625" bestFit="1" customWidth="1"/>
  </cols>
  <sheetData>
    <row r="1" spans="1:21">
      <c r="B1" s="181" t="s">
        <v>417</v>
      </c>
      <c r="I1">
        <f>2*PI()*1591.5</f>
        <v>9999.6894163763118</v>
      </c>
      <c r="J1" s="181"/>
      <c r="M1" s="181" t="s">
        <v>427</v>
      </c>
    </row>
    <row r="2" spans="1:21">
      <c r="C2" s="253" t="s">
        <v>394</v>
      </c>
      <c r="D2" s="181" t="s">
        <v>0</v>
      </c>
      <c r="E2" s="181" t="s">
        <v>143</v>
      </c>
      <c r="F2" s="181" t="s">
        <v>395</v>
      </c>
      <c r="G2" s="181" t="s">
        <v>396</v>
      </c>
      <c r="H2" s="181" t="s">
        <v>397</v>
      </c>
      <c r="J2" s="181" t="s">
        <v>399</v>
      </c>
      <c r="K2" s="181" t="s">
        <v>400</v>
      </c>
      <c r="L2" s="181" t="s">
        <v>401</v>
      </c>
      <c r="M2" s="181" t="s">
        <v>421</v>
      </c>
    </row>
    <row r="3" spans="1:21">
      <c r="C3" s="253"/>
      <c r="D3" s="181" t="s">
        <v>107</v>
      </c>
      <c r="E3" s="181" t="s">
        <v>1</v>
      </c>
      <c r="F3" s="181" t="s">
        <v>398</v>
      </c>
      <c r="G3" s="181" t="s">
        <v>107</v>
      </c>
      <c r="H3" s="181" t="s">
        <v>1</v>
      </c>
      <c r="I3" s="181" t="s">
        <v>246</v>
      </c>
      <c r="J3" s="181" t="s">
        <v>246</v>
      </c>
      <c r="K3" s="181" t="s">
        <v>246</v>
      </c>
      <c r="M3" s="181" t="s">
        <v>246</v>
      </c>
    </row>
    <row r="4" spans="1:21">
      <c r="A4" s="259" t="s">
        <v>373</v>
      </c>
      <c r="C4" s="181">
        <v>10</v>
      </c>
      <c r="D4">
        <v>1034.1413</v>
      </c>
      <c r="E4" s="181">
        <v>2.1623800000000002</v>
      </c>
      <c r="F4" s="181">
        <v>19.420000000000002</v>
      </c>
      <c r="G4" s="255">
        <f>D4-D$14</f>
        <v>984.27937299999996</v>
      </c>
      <c r="H4" s="181">
        <f>E4-E$14</f>
        <v>0.76009250000000028</v>
      </c>
      <c r="I4" s="254">
        <f>(H4*0.000000001)/(I$1*G4*0.000000000001)*1000</f>
        <v>7.7225646377689944E-2</v>
      </c>
      <c r="J4" s="254" t="e">
        <f>Report!#REF!</f>
        <v>#REF!</v>
      </c>
      <c r="K4" s="254" t="e">
        <f>Report!#REF!</f>
        <v>#REF!</v>
      </c>
      <c r="L4" t="e">
        <f>(I4-J4)/K4</f>
        <v>#REF!</v>
      </c>
      <c r="M4" s="254" t="e">
        <f>I4-J4</f>
        <v>#REF!</v>
      </c>
      <c r="N4" s="181"/>
    </row>
    <row r="5" spans="1:21">
      <c r="A5" s="259" t="s">
        <v>372</v>
      </c>
      <c r="C5">
        <v>9</v>
      </c>
      <c r="D5" s="181">
        <v>937.56811000000005</v>
      </c>
      <c r="E5">
        <v>1.85223</v>
      </c>
      <c r="F5">
        <v>19.420000000000002</v>
      </c>
      <c r="G5" s="255">
        <f t="shared" ref="G5:G14" si="0">D5-D$14</f>
        <v>887.70618300000001</v>
      </c>
      <c r="H5" s="181">
        <f t="shared" ref="H5:H14" si="1">E5-E$14</f>
        <v>0.44994250000000013</v>
      </c>
      <c r="I5" s="254">
        <f t="shared" ref="I5:I13" si="2">(H5*0.000000001)/(I$1*G5*0.000000000001)*1000</f>
        <v>5.0687545443315697E-2</v>
      </c>
      <c r="J5" s="93" t="e">
        <f>Report!#REF!</f>
        <v>#REF!</v>
      </c>
      <c r="K5" s="93" t="e">
        <f>Report!#REF!</f>
        <v>#REF!</v>
      </c>
      <c r="L5" t="e">
        <f t="shared" ref="L5:L13" si="3">(I5-J5)/K5</f>
        <v>#REF!</v>
      </c>
      <c r="M5" s="254" t="e">
        <f t="shared" ref="M5:M13" si="4">I5-J5</f>
        <v>#REF!</v>
      </c>
    </row>
    <row r="6" spans="1:21">
      <c r="A6" s="259" t="s">
        <v>371</v>
      </c>
      <c r="C6" s="181">
        <v>8</v>
      </c>
      <c r="D6" s="181">
        <v>837.84025999999994</v>
      </c>
      <c r="E6">
        <v>2.0617100000000002</v>
      </c>
      <c r="F6">
        <v>19.420000000000002</v>
      </c>
      <c r="G6" s="255">
        <f t="shared" si="0"/>
        <v>787.97833299999991</v>
      </c>
      <c r="H6" s="181">
        <f t="shared" si="1"/>
        <v>0.65942250000000024</v>
      </c>
      <c r="I6" s="254">
        <f t="shared" si="2"/>
        <v>8.3687958615363683E-2</v>
      </c>
      <c r="J6" s="93" t="e">
        <f>Report!#REF!</f>
        <v>#REF!</v>
      </c>
      <c r="K6" s="93" t="e">
        <f>Report!#REF!</f>
        <v>#REF!</v>
      </c>
      <c r="L6" t="e">
        <f t="shared" si="3"/>
        <v>#REF!</v>
      </c>
      <c r="M6" s="254" t="e">
        <f t="shared" si="4"/>
        <v>#REF!</v>
      </c>
    </row>
    <row r="7" spans="1:21">
      <c r="A7" s="259" t="s">
        <v>370</v>
      </c>
      <c r="C7">
        <v>7</v>
      </c>
      <c r="D7" s="181">
        <v>741.02656000000002</v>
      </c>
      <c r="E7">
        <v>1.7485900000000001</v>
      </c>
      <c r="F7">
        <v>19.43</v>
      </c>
      <c r="G7" s="255">
        <f t="shared" si="0"/>
        <v>691.16463299999998</v>
      </c>
      <c r="H7" s="181">
        <f t="shared" si="1"/>
        <v>0.34630250000000018</v>
      </c>
      <c r="I7" s="254">
        <f t="shared" si="2"/>
        <v>5.0105754748969604E-2</v>
      </c>
      <c r="J7" s="93" t="e">
        <f>Report!#REF!</f>
        <v>#REF!</v>
      </c>
      <c r="K7" s="93" t="e">
        <f>Report!#REF!</f>
        <v>#REF!</v>
      </c>
      <c r="L7" t="e">
        <f t="shared" si="3"/>
        <v>#REF!</v>
      </c>
      <c r="M7" s="254" t="e">
        <f t="shared" si="4"/>
        <v>#REF!</v>
      </c>
    </row>
    <row r="8" spans="1:21">
      <c r="A8" s="259" t="s">
        <v>369</v>
      </c>
      <c r="C8" s="181">
        <v>6</v>
      </c>
      <c r="D8" s="181">
        <v>641.99019999999996</v>
      </c>
      <c r="E8">
        <v>1.9632719999999999</v>
      </c>
      <c r="F8">
        <v>19.43</v>
      </c>
      <c r="G8" s="255">
        <f t="shared" si="0"/>
        <v>592.12827299999992</v>
      </c>
      <c r="H8" s="181">
        <f t="shared" si="1"/>
        <v>0.5609845</v>
      </c>
      <c r="I8" s="254">
        <f t="shared" si="2"/>
        <v>9.4743309749210233E-2</v>
      </c>
      <c r="J8" s="93" t="e">
        <f>Report!#REF!</f>
        <v>#REF!</v>
      </c>
      <c r="K8" s="93" t="e">
        <f>Report!#REF!</f>
        <v>#REF!</v>
      </c>
      <c r="L8" t="e">
        <f t="shared" si="3"/>
        <v>#REF!</v>
      </c>
      <c r="M8" s="254" t="e">
        <f t="shared" si="4"/>
        <v>#REF!</v>
      </c>
    </row>
    <row r="9" spans="1:21">
      <c r="A9" s="259" t="s">
        <v>368</v>
      </c>
      <c r="C9">
        <v>5</v>
      </c>
      <c r="D9" s="181">
        <v>539.09173999999996</v>
      </c>
      <c r="E9">
        <v>1.913675</v>
      </c>
      <c r="F9">
        <v>19.440000000000001</v>
      </c>
      <c r="G9" s="255">
        <f t="shared" si="0"/>
        <v>489.22981299999998</v>
      </c>
      <c r="H9" s="181">
        <f t="shared" si="1"/>
        <v>0.51138750000000011</v>
      </c>
      <c r="I9" s="254">
        <f t="shared" si="2"/>
        <v>0.10453234242116739</v>
      </c>
      <c r="J9" s="93" t="e">
        <f>Report!#REF!</f>
        <v>#REF!</v>
      </c>
      <c r="K9" s="93" t="e">
        <f>Report!#REF!</f>
        <v>#REF!</v>
      </c>
      <c r="L9" t="e">
        <f t="shared" si="3"/>
        <v>#REF!</v>
      </c>
      <c r="M9" s="254" t="e">
        <f t="shared" si="4"/>
        <v>#REF!</v>
      </c>
    </row>
    <row r="10" spans="1:21">
      <c r="A10" s="259" t="s">
        <v>367</v>
      </c>
      <c r="C10" s="181">
        <v>4</v>
      </c>
      <c r="D10" s="181">
        <v>442.29658999999998</v>
      </c>
      <c r="E10">
        <v>1.597596</v>
      </c>
      <c r="F10">
        <v>19.440000000000001</v>
      </c>
      <c r="G10" s="255">
        <f t="shared" si="0"/>
        <v>392.434663</v>
      </c>
      <c r="H10" s="181">
        <f t="shared" si="1"/>
        <v>0.19530850000000011</v>
      </c>
      <c r="I10" s="254">
        <f t="shared" si="2"/>
        <v>4.9769957795642417E-2</v>
      </c>
      <c r="J10" s="93" t="e">
        <f>Report!#REF!</f>
        <v>#REF!</v>
      </c>
      <c r="K10" s="93" t="e">
        <f>Report!#REF!</f>
        <v>#REF!</v>
      </c>
      <c r="L10" t="e">
        <f t="shared" si="3"/>
        <v>#REF!</v>
      </c>
      <c r="M10" s="254" t="e">
        <f t="shared" si="4"/>
        <v>#REF!</v>
      </c>
    </row>
    <row r="11" spans="1:21">
      <c r="A11" s="259" t="s">
        <v>366</v>
      </c>
      <c r="C11">
        <v>3</v>
      </c>
      <c r="D11" s="181">
        <v>342.59751999999997</v>
      </c>
      <c r="E11">
        <v>1.810192</v>
      </c>
      <c r="F11">
        <v>19.420000000000002</v>
      </c>
      <c r="G11" s="255">
        <f t="shared" si="0"/>
        <v>292.73559299999999</v>
      </c>
      <c r="H11" s="181">
        <f t="shared" si="1"/>
        <v>0.40790450000000011</v>
      </c>
      <c r="I11" s="254">
        <f t="shared" si="2"/>
        <v>0.13934662507516088</v>
      </c>
      <c r="J11" s="93" t="e">
        <f>Report!#REF!</f>
        <v>#REF!</v>
      </c>
      <c r="K11" s="93" t="e">
        <f>Report!#REF!</f>
        <v>#REF!</v>
      </c>
      <c r="L11" t="e">
        <f t="shared" si="3"/>
        <v>#REF!</v>
      </c>
      <c r="M11" s="254" t="e">
        <f t="shared" si="4"/>
        <v>#REF!</v>
      </c>
    </row>
    <row r="12" spans="1:21">
      <c r="A12" s="259" t="s">
        <v>365</v>
      </c>
      <c r="C12" s="181">
        <v>2</v>
      </c>
      <c r="D12" s="181">
        <v>245.77631</v>
      </c>
      <c r="E12">
        <v>1.495633</v>
      </c>
      <c r="F12">
        <v>19.41</v>
      </c>
      <c r="G12" s="255">
        <f t="shared" si="0"/>
        <v>195.91438299999999</v>
      </c>
      <c r="H12" s="181">
        <f t="shared" si="1"/>
        <v>9.3345500000000081E-2</v>
      </c>
      <c r="I12" s="254">
        <f t="shared" si="2"/>
        <v>4.7647547780302842E-2</v>
      </c>
      <c r="J12" s="93" t="e">
        <f>Report!#REF!</f>
        <v>#REF!</v>
      </c>
      <c r="K12" s="93" t="e">
        <f>Report!#REF!</f>
        <v>#REF!</v>
      </c>
      <c r="L12" t="e">
        <f t="shared" si="3"/>
        <v>#REF!</v>
      </c>
      <c r="M12" s="254" t="e">
        <f t="shared" si="4"/>
        <v>#REF!</v>
      </c>
      <c r="N12" s="93"/>
    </row>
    <row r="13" spans="1:21">
      <c r="A13" s="259" t="s">
        <v>364</v>
      </c>
      <c r="C13">
        <v>1</v>
      </c>
      <c r="D13" s="181">
        <v>146.7929</v>
      </c>
      <c r="E13">
        <v>1.7151879999999999</v>
      </c>
      <c r="F13">
        <v>19.399999999999999</v>
      </c>
      <c r="G13" s="256">
        <f t="shared" si="0"/>
        <v>96.930972999999994</v>
      </c>
      <c r="H13" s="181">
        <f t="shared" si="1"/>
        <v>0.31290050000000003</v>
      </c>
      <c r="I13" s="254">
        <f t="shared" si="2"/>
        <v>0.32281757708029457</v>
      </c>
      <c r="J13" s="93" t="e">
        <f>Report!#REF!</f>
        <v>#REF!</v>
      </c>
      <c r="K13" s="93" t="e">
        <f>Report!#REF!</f>
        <v>#REF!</v>
      </c>
      <c r="L13" t="e">
        <f t="shared" si="3"/>
        <v>#REF!</v>
      </c>
      <c r="M13" s="254" t="e">
        <f t="shared" si="4"/>
        <v>#REF!</v>
      </c>
    </row>
    <row r="14" spans="1:21">
      <c r="A14" s="260"/>
      <c r="C14" s="181">
        <v>0</v>
      </c>
      <c r="D14" s="181">
        <v>49.861927000000001</v>
      </c>
      <c r="E14">
        <v>1.4022874999999999</v>
      </c>
      <c r="F14">
        <v>19.41</v>
      </c>
      <c r="G14" s="181">
        <f t="shared" si="0"/>
        <v>0</v>
      </c>
      <c r="H14" s="181">
        <f t="shared" si="1"/>
        <v>0</v>
      </c>
      <c r="I14" s="254"/>
      <c r="J14" s="181"/>
      <c r="M14" s="93" t="e">
        <f>AVERAGE(M4:M13)</f>
        <v>#REF!</v>
      </c>
      <c r="O14" s="181"/>
      <c r="R14" s="181"/>
      <c r="T14" s="181"/>
    </row>
    <row r="15" spans="1:21">
      <c r="A15" s="260"/>
      <c r="J15" s="181"/>
      <c r="K15" s="181"/>
      <c r="L15" s="181"/>
      <c r="M15" s="181"/>
      <c r="O15" s="181"/>
      <c r="P15" s="181"/>
      <c r="R15" s="181"/>
      <c r="S15" s="181"/>
    </row>
    <row r="16" spans="1:21">
      <c r="A16" s="260"/>
      <c r="D16" s="181"/>
      <c r="I16" s="82"/>
      <c r="J16" s="86"/>
      <c r="K16" s="86"/>
      <c r="M16" s="65"/>
      <c r="P16" s="65"/>
      <c r="T16" s="65"/>
      <c r="U16" s="65"/>
    </row>
    <row r="17" spans="1:25">
      <c r="A17" s="260"/>
      <c r="B17" s="181" t="s">
        <v>418</v>
      </c>
      <c r="P17" s="65"/>
      <c r="T17" s="65"/>
      <c r="U17" s="65"/>
    </row>
    <row r="18" spans="1:25">
      <c r="A18" s="260"/>
      <c r="P18" s="65"/>
      <c r="T18" s="65"/>
      <c r="U18" s="65"/>
    </row>
    <row r="19" spans="1:25">
      <c r="A19" s="260"/>
      <c r="C19" s="181" t="s">
        <v>107</v>
      </c>
      <c r="D19" s="181" t="s">
        <v>1</v>
      </c>
      <c r="E19" s="181" t="s">
        <v>246</v>
      </c>
      <c r="P19" s="65"/>
      <c r="T19" s="65"/>
      <c r="U19" s="65"/>
    </row>
    <row r="20" spans="1:25">
      <c r="A20" s="260"/>
      <c r="C20">
        <v>1000.1648</v>
      </c>
      <c r="D20">
        <v>0.49130000000000001</v>
      </c>
      <c r="E20" s="255">
        <f>(D20*0.000000001)/(I$1*C20*0.000000000001)*1000</f>
        <v>4.9123430403406054E-2</v>
      </c>
      <c r="P20" t="s">
        <v>402</v>
      </c>
    </row>
    <row r="21" spans="1:25">
      <c r="A21" s="260"/>
      <c r="O21" s="181"/>
      <c r="P21" t="s">
        <v>403</v>
      </c>
    </row>
    <row r="22" spans="1:25">
      <c r="A22" s="260"/>
      <c r="B22" s="181" t="s">
        <v>402</v>
      </c>
      <c r="O22" s="181"/>
      <c r="P22" s="257">
        <v>1</v>
      </c>
      <c r="Q22" s="2">
        <v>2</v>
      </c>
      <c r="R22" s="257">
        <v>3</v>
      </c>
      <c r="S22" s="2">
        <v>4</v>
      </c>
      <c r="T22" s="257">
        <v>5</v>
      </c>
      <c r="U22" s="257">
        <v>6</v>
      </c>
      <c r="V22" s="2">
        <v>7</v>
      </c>
      <c r="W22" s="257">
        <v>8</v>
      </c>
      <c r="X22" s="2">
        <v>9</v>
      </c>
      <c r="Y22" s="257">
        <v>10</v>
      </c>
    </row>
    <row r="23" spans="1:25">
      <c r="A23" s="260"/>
      <c r="B23" s="181" t="s">
        <v>419</v>
      </c>
      <c r="P23" s="128" t="s">
        <v>406</v>
      </c>
      <c r="Q23" s="128" t="s">
        <v>407</v>
      </c>
      <c r="R23" s="2" t="s">
        <v>404</v>
      </c>
      <c r="S23" s="2" t="s">
        <v>405</v>
      </c>
      <c r="T23" s="2" t="s">
        <v>408</v>
      </c>
      <c r="U23" s="2" t="s">
        <v>409</v>
      </c>
      <c r="V23" s="2" t="s">
        <v>410</v>
      </c>
      <c r="W23" s="2" t="s">
        <v>411</v>
      </c>
      <c r="X23" s="2" t="s">
        <v>412</v>
      </c>
      <c r="Y23" s="2" t="s">
        <v>413</v>
      </c>
    </row>
    <row r="24" spans="1:25">
      <c r="A24" s="260"/>
      <c r="B24" s="181" t="s">
        <v>420</v>
      </c>
      <c r="P24" s="181" t="s">
        <v>414</v>
      </c>
    </row>
    <row r="25" spans="1:25">
      <c r="A25" s="260"/>
      <c r="B25" s="181"/>
      <c r="P25" s="181" t="s">
        <v>415</v>
      </c>
    </row>
    <row r="26" spans="1:25">
      <c r="A26" s="260"/>
      <c r="G26" s="181" t="s">
        <v>396</v>
      </c>
      <c r="H26" s="181" t="s">
        <v>397</v>
      </c>
      <c r="J26" s="181" t="s">
        <v>399</v>
      </c>
      <c r="K26" s="181" t="s">
        <v>400</v>
      </c>
      <c r="L26" s="181" t="s">
        <v>401</v>
      </c>
      <c r="M26" s="181" t="s">
        <v>421</v>
      </c>
      <c r="O26" s="82"/>
      <c r="P26" s="258">
        <f>1/0.00000000025</f>
        <v>3999999999.9999995</v>
      </c>
      <c r="Q26" s="181" t="s">
        <v>416</v>
      </c>
    </row>
    <row r="27" spans="1:25">
      <c r="A27" s="260"/>
      <c r="D27" s="181" t="s">
        <v>107</v>
      </c>
      <c r="E27" s="181" t="s">
        <v>1</v>
      </c>
      <c r="F27" s="181" t="s">
        <v>395</v>
      </c>
      <c r="G27" s="181" t="s">
        <v>107</v>
      </c>
      <c r="H27" s="181" t="s">
        <v>1</v>
      </c>
      <c r="I27" s="181" t="s">
        <v>246</v>
      </c>
      <c r="J27" s="181" t="s">
        <v>246</v>
      </c>
      <c r="K27" s="181" t="s">
        <v>246</v>
      </c>
      <c r="M27" s="181" t="s">
        <v>246</v>
      </c>
    </row>
    <row r="28" spans="1:25">
      <c r="A28" s="260"/>
      <c r="B28" s="181" t="s">
        <v>423</v>
      </c>
      <c r="C28">
        <v>0</v>
      </c>
      <c r="D28">
        <v>49.930540000000001</v>
      </c>
      <c r="E28">
        <v>1.42866</v>
      </c>
      <c r="F28">
        <v>19.399999999999999</v>
      </c>
      <c r="G28" s="255"/>
      <c r="H28" s="181"/>
      <c r="I28" s="254"/>
    </row>
    <row r="29" spans="1:25">
      <c r="A29" s="259" t="s">
        <v>354</v>
      </c>
      <c r="C29">
        <v>10</v>
      </c>
      <c r="D29">
        <v>60.058689999999999</v>
      </c>
      <c r="E29">
        <v>1.43798</v>
      </c>
      <c r="F29">
        <v>19.399999999999999</v>
      </c>
      <c r="G29" s="255">
        <f t="shared" ref="G29:G38" si="5">D29-D$28</f>
        <v>10.128149999999998</v>
      </c>
      <c r="H29" s="181">
        <f t="shared" ref="H29:H38" si="6">E29-E$28</f>
        <v>9.319999999999995E-3</v>
      </c>
      <c r="I29" s="254">
        <f t="shared" ref="I29:I38" si="7">(H29*0.000000001)/(I$1*G29*0.000000000001)*1000</f>
        <v>9.2023612139707944E-2</v>
      </c>
      <c r="J29" s="82">
        <f>Report!Q5</f>
        <v>-2.0103315295774495E-2</v>
      </c>
      <c r="K29" s="82">
        <f>Report!R5</f>
        <v>3.4531216965908079E-2</v>
      </c>
      <c r="L29">
        <f t="shared" ref="L29" si="8">(I29-J29)/K29</f>
        <v>3.2471177469992711</v>
      </c>
      <c r="M29" s="254">
        <f t="shared" ref="M29" si="9">I29-J29</f>
        <v>0.11212692743548244</v>
      </c>
    </row>
    <row r="30" spans="1:25">
      <c r="A30" s="259" t="s">
        <v>355</v>
      </c>
      <c r="C30">
        <v>20</v>
      </c>
      <c r="D30">
        <v>70.955949000000004</v>
      </c>
      <c r="E30">
        <v>1.4565399999999999</v>
      </c>
      <c r="F30">
        <v>19.39</v>
      </c>
      <c r="G30" s="255">
        <f t="shared" si="5"/>
        <v>21.025409000000003</v>
      </c>
      <c r="H30" s="181">
        <f t="shared" si="6"/>
        <v>2.7879999999999905E-2</v>
      </c>
      <c r="I30" s="254">
        <f t="shared" si="7"/>
        <v>0.13260558181787208</v>
      </c>
      <c r="J30" s="82">
        <f>Report!Q6</f>
        <v>0.19769127805612174</v>
      </c>
      <c r="K30" s="82">
        <f>Report!R6</f>
        <v>3.4533981047499884E-2</v>
      </c>
      <c r="L30">
        <f t="shared" ref="L30:L38" si="10">(I30-J30)/K30</f>
        <v>-1.8846855839970296</v>
      </c>
      <c r="M30" s="254">
        <f t="shared" ref="M30:M38" si="11">I30-J30</f>
        <v>-6.5085696238249668E-2</v>
      </c>
    </row>
    <row r="31" spans="1:25">
      <c r="A31" s="259" t="s">
        <v>356</v>
      </c>
      <c r="C31">
        <v>30</v>
      </c>
      <c r="D31">
        <v>81.492323999999996</v>
      </c>
      <c r="E31">
        <v>1.4451400000000001</v>
      </c>
      <c r="F31">
        <v>19.39</v>
      </c>
      <c r="G31" s="255">
        <f t="shared" si="5"/>
        <v>31.561783999999996</v>
      </c>
      <c r="H31" s="181">
        <f t="shared" si="6"/>
        <v>1.648000000000005E-2</v>
      </c>
      <c r="I31" s="254">
        <f t="shared" si="7"/>
        <v>5.2216667656395321E-2</v>
      </c>
      <c r="J31" s="82">
        <f>Report!Q7</f>
        <v>0.19101640726342323</v>
      </c>
      <c r="K31" s="82">
        <f>Report!R7</f>
        <v>4.4020680014484073E-2</v>
      </c>
      <c r="L31">
        <f t="shared" si="10"/>
        <v>-3.1530575984141724</v>
      </c>
      <c r="M31" s="254">
        <f t="shared" si="11"/>
        <v>-0.13879973960702791</v>
      </c>
    </row>
    <row r="32" spans="1:25">
      <c r="A32" s="259" t="s">
        <v>357</v>
      </c>
      <c r="C32">
        <v>40</v>
      </c>
      <c r="D32">
        <v>91.672465000000003</v>
      </c>
      <c r="E32">
        <v>1.4492</v>
      </c>
      <c r="F32">
        <v>19.39</v>
      </c>
      <c r="G32" s="255">
        <f t="shared" si="5"/>
        <v>41.741925000000002</v>
      </c>
      <c r="H32" s="181">
        <f t="shared" si="6"/>
        <v>2.0540000000000003E-2</v>
      </c>
      <c r="I32" s="254">
        <f t="shared" si="7"/>
        <v>4.9208650436167019E-2</v>
      </c>
      <c r="J32" s="82">
        <f>Report!Q8</f>
        <v>0.27002589428582913</v>
      </c>
      <c r="K32" s="82">
        <f>Report!R8</f>
        <v>0.31070996609245055</v>
      </c>
      <c r="L32">
        <f t="shared" si="10"/>
        <v>-0.71068606722437344</v>
      </c>
      <c r="M32" s="254">
        <f t="shared" si="11"/>
        <v>-0.22081724384966211</v>
      </c>
    </row>
    <row r="33" spans="1:13">
      <c r="A33" s="259" t="s">
        <v>358</v>
      </c>
      <c r="C33">
        <v>50</v>
      </c>
      <c r="D33">
        <v>101.31236</v>
      </c>
      <c r="E33">
        <v>1.44834</v>
      </c>
      <c r="F33">
        <v>19.38</v>
      </c>
      <c r="G33" s="255">
        <f t="shared" si="5"/>
        <v>51.381819999999998</v>
      </c>
      <c r="H33" s="181">
        <f t="shared" si="6"/>
        <v>1.967999999999992E-2</v>
      </c>
      <c r="I33" s="254">
        <f t="shared" si="7"/>
        <v>3.8302674462593361E-2</v>
      </c>
      <c r="J33" s="82">
        <f>Report!Q9</f>
        <v>0.17180857195085403</v>
      </c>
      <c r="K33" s="82">
        <f>Report!R9</f>
        <v>3.4533361710514569E-2</v>
      </c>
      <c r="L33">
        <f t="shared" si="10"/>
        <v>-3.8659977156991165</v>
      </c>
      <c r="M33" s="254">
        <f t="shared" si="11"/>
        <v>-0.13350589748826067</v>
      </c>
    </row>
    <row r="34" spans="1:13">
      <c r="A34" s="259" t="s">
        <v>359</v>
      </c>
      <c r="C34">
        <v>60</v>
      </c>
      <c r="D34">
        <v>111.09294</v>
      </c>
      <c r="E34">
        <v>1.4488099999999999</v>
      </c>
      <c r="F34">
        <v>19.399999999999999</v>
      </c>
      <c r="G34" s="255">
        <f t="shared" si="5"/>
        <v>61.162399999999998</v>
      </c>
      <c r="H34" s="181">
        <f t="shared" si="6"/>
        <v>2.014999999999989E-2</v>
      </c>
      <c r="I34" s="254">
        <f t="shared" si="7"/>
        <v>3.2946100619726103E-2</v>
      </c>
      <c r="J34" s="82" t="e">
        <f>Report!#REF!</f>
        <v>#REF!</v>
      </c>
      <c r="K34" s="82" t="e">
        <f>Report!#REF!</f>
        <v>#REF!</v>
      </c>
      <c r="L34" t="e">
        <f t="shared" si="10"/>
        <v>#REF!</v>
      </c>
      <c r="M34" s="254" t="e">
        <f t="shared" si="11"/>
        <v>#REF!</v>
      </c>
    </row>
    <row r="35" spans="1:13">
      <c r="A35" s="259" t="s">
        <v>360</v>
      </c>
      <c r="C35">
        <v>70</v>
      </c>
      <c r="D35">
        <v>120.57935999999999</v>
      </c>
      <c r="E35">
        <v>1.46289</v>
      </c>
      <c r="F35">
        <v>19.399999999999999</v>
      </c>
      <c r="G35" s="255">
        <f t="shared" si="5"/>
        <v>70.648820000000001</v>
      </c>
      <c r="H35" s="181">
        <f t="shared" si="6"/>
        <v>3.4229999999999983E-2</v>
      </c>
      <c r="I35" s="254">
        <f t="shared" si="7"/>
        <v>4.8452420239664153E-2</v>
      </c>
      <c r="J35" s="82" t="e">
        <f>Report!#REF!</f>
        <v>#REF!</v>
      </c>
      <c r="K35" s="82" t="e">
        <f>Report!#REF!</f>
        <v>#REF!</v>
      </c>
      <c r="L35" t="e">
        <f t="shared" si="10"/>
        <v>#REF!</v>
      </c>
      <c r="M35" s="254" t="e">
        <f t="shared" si="11"/>
        <v>#REF!</v>
      </c>
    </row>
    <row r="36" spans="1:13">
      <c r="A36" s="259" t="s">
        <v>361</v>
      </c>
      <c r="C36">
        <v>80</v>
      </c>
      <c r="D36">
        <v>130.28264999999999</v>
      </c>
      <c r="E36">
        <v>1.46722</v>
      </c>
      <c r="F36">
        <v>19.41</v>
      </c>
      <c r="G36" s="255">
        <f t="shared" si="5"/>
        <v>80.352109999999982</v>
      </c>
      <c r="H36" s="181">
        <f t="shared" si="6"/>
        <v>3.8559999999999928E-2</v>
      </c>
      <c r="I36" s="254">
        <f t="shared" si="7"/>
        <v>4.7990273867916919E-2</v>
      </c>
      <c r="J36" s="82" t="e">
        <f>Report!#REF!</f>
        <v>#REF!</v>
      </c>
      <c r="K36" s="82" t="e">
        <f>Report!#REF!</f>
        <v>#REF!</v>
      </c>
      <c r="L36" t="e">
        <f t="shared" si="10"/>
        <v>#REF!</v>
      </c>
      <c r="M36" s="254" t="e">
        <f t="shared" si="11"/>
        <v>#REF!</v>
      </c>
    </row>
    <row r="37" spans="1:13">
      <c r="A37" s="259" t="s">
        <v>362</v>
      </c>
      <c r="C37">
        <v>90</v>
      </c>
      <c r="D37">
        <v>140.26821000000001</v>
      </c>
      <c r="E37">
        <v>1.4661999999999999</v>
      </c>
      <c r="F37">
        <v>19.41</v>
      </c>
      <c r="G37" s="255">
        <f t="shared" si="5"/>
        <v>90.337670000000003</v>
      </c>
      <c r="H37" s="181">
        <f t="shared" si="6"/>
        <v>3.7539999999999907E-2</v>
      </c>
      <c r="I37" s="254">
        <f t="shared" si="7"/>
        <v>4.1556491292210951E-2</v>
      </c>
      <c r="J37" s="82" t="e">
        <f>Report!#REF!</f>
        <v>#REF!</v>
      </c>
      <c r="K37" s="82" t="e">
        <f>Report!#REF!</f>
        <v>#REF!</v>
      </c>
      <c r="L37" t="e">
        <f t="shared" si="10"/>
        <v>#REF!</v>
      </c>
      <c r="M37" s="254" t="e">
        <f t="shared" si="11"/>
        <v>#REF!</v>
      </c>
    </row>
    <row r="38" spans="1:13">
      <c r="A38" s="259" t="s">
        <v>363</v>
      </c>
      <c r="C38">
        <v>100</v>
      </c>
      <c r="D38">
        <v>150.26972000000001</v>
      </c>
      <c r="E38">
        <v>1.4538</v>
      </c>
      <c r="F38">
        <v>19.41</v>
      </c>
      <c r="G38" s="255">
        <f t="shared" si="5"/>
        <v>100.33918</v>
      </c>
      <c r="H38" s="181">
        <f t="shared" si="6"/>
        <v>2.513999999999994E-2</v>
      </c>
      <c r="I38" s="254">
        <f t="shared" si="7"/>
        <v>2.5055796580639025E-2</v>
      </c>
      <c r="J38" s="82" t="e">
        <f>Report!#REF!</f>
        <v>#REF!</v>
      </c>
      <c r="K38" s="82" t="e">
        <f>Report!#REF!</f>
        <v>#REF!</v>
      </c>
      <c r="L38" t="e">
        <f t="shared" si="10"/>
        <v>#REF!</v>
      </c>
      <c r="M38" s="254" t="e">
        <f t="shared" si="11"/>
        <v>#REF!</v>
      </c>
    </row>
    <row r="39" spans="1:13">
      <c r="A39" s="260"/>
    </row>
    <row r="40" spans="1:13">
      <c r="A40" s="260"/>
      <c r="B40" s="181" t="s">
        <v>424</v>
      </c>
      <c r="C40">
        <v>1</v>
      </c>
      <c r="D40">
        <v>1045.5838000000001</v>
      </c>
      <c r="E40">
        <v>1.97946</v>
      </c>
      <c r="F40">
        <v>19.43</v>
      </c>
      <c r="G40" s="255">
        <f>D40-D$42</f>
        <v>995.65090400000008</v>
      </c>
      <c r="H40" s="181">
        <f>E40-E$42</f>
        <v>0.52967999999999993</v>
      </c>
      <c r="I40" s="254">
        <f>(H40*0.000000001)/(I$1*G40*0.000000000001)*1000</f>
        <v>5.3201021500236215E-2</v>
      </c>
      <c r="J40" s="82" t="e">
        <f>Report!#REF!</f>
        <v>#REF!</v>
      </c>
      <c r="K40" s="82" t="e">
        <f>Report!#REF!</f>
        <v>#REF!</v>
      </c>
      <c r="L40" t="e">
        <f t="shared" ref="L40:L42" si="12">(I40-J40)/K40</f>
        <v>#REF!</v>
      </c>
      <c r="M40" s="254" t="e">
        <f t="shared" ref="M40:M42" si="13">I40-J40</f>
        <v>#REF!</v>
      </c>
    </row>
    <row r="41" spans="1:13">
      <c r="A41" s="260"/>
      <c r="B41" s="181" t="s">
        <v>425</v>
      </c>
      <c r="C41">
        <v>1</v>
      </c>
      <c r="D41">
        <v>146.87622999999999</v>
      </c>
      <c r="E41">
        <v>1.7224701</v>
      </c>
      <c r="F41">
        <v>19.41</v>
      </c>
      <c r="G41" s="255">
        <f>D41-D$42</f>
        <v>96.943333999999993</v>
      </c>
      <c r="H41" s="181">
        <f>E41-E$42</f>
        <v>0.27269009999999994</v>
      </c>
      <c r="I41" s="254">
        <f>(H41*0.000000001)/(I$1*G41*0.000000000001)*1000</f>
        <v>0.28129687552420179</v>
      </c>
      <c r="J41" s="82" t="e">
        <f>Report!#REF!</f>
        <v>#REF!</v>
      </c>
      <c r="K41" s="82" t="e">
        <f>Report!#REF!</f>
        <v>#REF!</v>
      </c>
      <c r="L41" t="e">
        <f t="shared" si="12"/>
        <v>#REF!</v>
      </c>
      <c r="M41" s="254" t="e">
        <f t="shared" si="13"/>
        <v>#REF!</v>
      </c>
    </row>
    <row r="42" spans="1:13">
      <c r="A42" s="260" t="s">
        <v>353</v>
      </c>
      <c r="C42">
        <v>0</v>
      </c>
      <c r="D42">
        <v>49.932896</v>
      </c>
      <c r="E42">
        <v>1.4497800000000001</v>
      </c>
      <c r="F42">
        <v>19.46</v>
      </c>
      <c r="G42" s="255">
        <f>D42-D$43</f>
        <v>49.042311900000001</v>
      </c>
      <c r="H42" s="181">
        <f>E42-E$43</f>
        <v>1.4497439000000001</v>
      </c>
      <c r="I42" s="254">
        <f>(H42*0.000000001)/(I$1*G42*0.000000000001)*1000</f>
        <v>2.9562002114135382</v>
      </c>
      <c r="J42" s="82" t="e">
        <f>Report!#REF!</f>
        <v>#REF!</v>
      </c>
      <c r="K42" s="82" t="e">
        <f>Report!#REF!</f>
        <v>#REF!</v>
      </c>
      <c r="L42" t="e">
        <f t="shared" si="12"/>
        <v>#REF!</v>
      </c>
      <c r="M42" s="254" t="e">
        <f t="shared" si="13"/>
        <v>#REF!</v>
      </c>
    </row>
    <row r="43" spans="1:13">
      <c r="A43" s="259"/>
      <c r="B43" s="181" t="s">
        <v>426</v>
      </c>
      <c r="D43">
        <v>0.89058409999999999</v>
      </c>
      <c r="E43">
        <v>3.6100000000000003E-5</v>
      </c>
      <c r="G43" s="255"/>
      <c r="H43" s="181"/>
      <c r="I43" s="254"/>
    </row>
  </sheetData>
  <pageMargins left="0.7" right="0.7" top="0.75" bottom="0.75" header="0.3" footer="0.3"/>
  <pageSetup paperSize="9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workbookViewId="0">
      <selection activeCell="B26" sqref="B26"/>
    </sheetView>
  </sheetViews>
  <sheetFormatPr defaultRowHeight="12.75"/>
  <cols>
    <col min="1" max="1" width="17.42578125" customWidth="1"/>
    <col min="2" max="2" width="12.140625" customWidth="1"/>
    <col min="4" max="4" width="12" bestFit="1" customWidth="1"/>
  </cols>
  <sheetData>
    <row r="2" spans="1:5">
      <c r="A2" s="189" t="s">
        <v>277</v>
      </c>
      <c r="B2" s="181" t="s">
        <v>261</v>
      </c>
    </row>
    <row r="4" spans="1:5">
      <c r="B4" s="181" t="s">
        <v>262</v>
      </c>
    </row>
    <row r="5" spans="1:5">
      <c r="A5">
        <v>1</v>
      </c>
      <c r="B5" s="181" t="s">
        <v>264</v>
      </c>
    </row>
    <row r="6" spans="1:5">
      <c r="B6" s="181" t="s">
        <v>263</v>
      </c>
    </row>
    <row r="7" spans="1:5">
      <c r="A7">
        <v>2</v>
      </c>
      <c r="B7" s="181" t="s">
        <v>265</v>
      </c>
    </row>
    <row r="8" spans="1:5">
      <c r="A8">
        <v>3</v>
      </c>
      <c r="B8" s="181" t="s">
        <v>266</v>
      </c>
    </row>
    <row r="9" spans="1:5">
      <c r="A9">
        <v>4</v>
      </c>
      <c r="B9" s="181" t="s">
        <v>267</v>
      </c>
      <c r="D9" s="82">
        <f>0.000000000005353/(10000*0.0000000001)*1000000</f>
        <v>5.3530000000000006</v>
      </c>
      <c r="E9" s="181" t="s">
        <v>268</v>
      </c>
    </row>
    <row r="10" spans="1:5">
      <c r="A10">
        <v>5</v>
      </c>
      <c r="B10" s="181" t="s">
        <v>269</v>
      </c>
      <c r="D10">
        <v>-0.02</v>
      </c>
      <c r="E10" s="181" t="s">
        <v>270</v>
      </c>
    </row>
    <row r="12" spans="1:5">
      <c r="B12" s="181" t="s">
        <v>271</v>
      </c>
    </row>
    <row r="13" spans="1:5">
      <c r="B13" s="181" t="s">
        <v>272</v>
      </c>
    </row>
    <row r="14" spans="1:5">
      <c r="B14" s="181" t="s">
        <v>273</v>
      </c>
    </row>
    <row r="16" spans="1:5">
      <c r="B16" s="181" t="s">
        <v>275</v>
      </c>
    </row>
    <row r="17" spans="1:3">
      <c r="B17" s="181" t="s">
        <v>276</v>
      </c>
    </row>
    <row r="19" spans="1:3">
      <c r="A19" s="189" t="s">
        <v>274</v>
      </c>
      <c r="B19" s="181" t="s">
        <v>278</v>
      </c>
    </row>
    <row r="20" spans="1:3">
      <c r="B20" s="181" t="s">
        <v>279</v>
      </c>
    </row>
    <row r="21" spans="1:3">
      <c r="C21" s="181" t="s">
        <v>284</v>
      </c>
    </row>
    <row r="22" spans="1:3">
      <c r="B22" s="181" t="s">
        <v>185</v>
      </c>
      <c r="C22" s="181" t="s">
        <v>281</v>
      </c>
    </row>
    <row r="23" spans="1:3">
      <c r="B23" s="181" t="s">
        <v>184</v>
      </c>
      <c r="C23" s="181" t="s">
        <v>282</v>
      </c>
    </row>
    <row r="24" spans="1:3">
      <c r="B24" s="181" t="s">
        <v>280</v>
      </c>
      <c r="C24" s="181" t="s">
        <v>283</v>
      </c>
    </row>
    <row r="26" spans="1:3">
      <c r="B26" s="181" t="s">
        <v>285</v>
      </c>
    </row>
    <row r="27" spans="1:3">
      <c r="B27" s="181" t="s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75"/>
  <sheetViews>
    <sheetView workbookViewId="0">
      <selection activeCell="G67" sqref="G67"/>
    </sheetView>
  </sheetViews>
  <sheetFormatPr defaultRowHeight="12.75"/>
  <cols>
    <col min="2" max="2" width="10.140625" bestFit="1" customWidth="1"/>
    <col min="3" max="3" width="11" customWidth="1"/>
    <col min="11" max="11" width="11.7109375" customWidth="1"/>
    <col min="12" max="12" width="10.140625" bestFit="1" customWidth="1"/>
    <col min="30" max="30" width="10.28515625" customWidth="1"/>
    <col min="31" max="31" width="11.140625" customWidth="1"/>
    <col min="32" max="32" width="14.5703125" customWidth="1"/>
    <col min="33" max="33" width="12.28515625" customWidth="1"/>
    <col min="34" max="34" width="6.5703125" customWidth="1"/>
    <col min="35" max="35" width="12.85546875" customWidth="1"/>
    <col min="36" max="36" width="12.5703125" customWidth="1"/>
  </cols>
  <sheetData>
    <row r="2" spans="2:37" ht="13.5" thickBot="1">
      <c r="B2" s="181" t="s">
        <v>441</v>
      </c>
      <c r="C2" s="1">
        <v>36426</v>
      </c>
      <c r="D2" s="181" t="s">
        <v>439</v>
      </c>
      <c r="E2" s="181" t="s">
        <v>440</v>
      </c>
      <c r="K2" s="181" t="s">
        <v>431</v>
      </c>
      <c r="L2" s="1">
        <v>38240</v>
      </c>
      <c r="M2" s="181" t="s">
        <v>437</v>
      </c>
      <c r="N2" s="181" t="s">
        <v>438</v>
      </c>
      <c r="T2" s="181" t="s">
        <v>434</v>
      </c>
      <c r="U2" s="1">
        <v>40148</v>
      </c>
      <c r="V2" s="181" t="s">
        <v>435</v>
      </c>
      <c r="W2" s="181" t="s">
        <v>436</v>
      </c>
      <c r="AC2" t="s">
        <v>444</v>
      </c>
      <c r="AD2" s="1">
        <v>42124</v>
      </c>
      <c r="AE2" t="s">
        <v>292</v>
      </c>
      <c r="AF2" t="s">
        <v>445</v>
      </c>
    </row>
    <row r="3" spans="2:37" ht="15.75" thickTop="1">
      <c r="C3" s="261" t="s">
        <v>340</v>
      </c>
      <c r="D3" s="262" t="s">
        <v>341</v>
      </c>
      <c r="E3" s="262" t="s">
        <v>34</v>
      </c>
      <c r="F3" s="262" t="s">
        <v>131</v>
      </c>
      <c r="G3" s="263" t="s">
        <v>17</v>
      </c>
      <c r="H3" s="262" t="s">
        <v>109</v>
      </c>
      <c r="I3" s="262" t="s">
        <v>131</v>
      </c>
      <c r="J3" s="264" t="s">
        <v>17</v>
      </c>
      <c r="L3" s="194" t="s">
        <v>340</v>
      </c>
      <c r="M3" s="199" t="s">
        <v>341</v>
      </c>
      <c r="N3" s="199" t="s">
        <v>34</v>
      </c>
      <c r="O3" s="199" t="s">
        <v>131</v>
      </c>
      <c r="P3" s="213" t="s">
        <v>17</v>
      </c>
      <c r="Q3" s="199" t="s">
        <v>109</v>
      </c>
      <c r="R3" s="199" t="s">
        <v>131</v>
      </c>
      <c r="S3" s="219" t="s">
        <v>17</v>
      </c>
      <c r="U3" s="194" t="s">
        <v>340</v>
      </c>
      <c r="V3" s="199" t="s">
        <v>341</v>
      </c>
      <c r="W3" s="199" t="s">
        <v>34</v>
      </c>
      <c r="X3" s="199" t="s">
        <v>131</v>
      </c>
      <c r="Y3" s="213" t="s">
        <v>17</v>
      </c>
      <c r="Z3" s="199" t="s">
        <v>109</v>
      </c>
      <c r="AA3" s="199" t="s">
        <v>131</v>
      </c>
      <c r="AB3" s="219" t="s">
        <v>17</v>
      </c>
      <c r="AD3" s="224" t="s">
        <v>340</v>
      </c>
      <c r="AE3" s="225" t="s">
        <v>341</v>
      </c>
      <c r="AF3" s="225" t="s">
        <v>34</v>
      </c>
      <c r="AG3" s="225" t="s">
        <v>131</v>
      </c>
      <c r="AH3" s="251" t="s">
        <v>17</v>
      </c>
      <c r="AI3" s="225" t="s">
        <v>109</v>
      </c>
      <c r="AJ3" s="225" t="s">
        <v>131</v>
      </c>
      <c r="AK3" s="252" t="s">
        <v>17</v>
      </c>
    </row>
    <row r="4" spans="2:37" ht="15">
      <c r="C4" s="265"/>
      <c r="D4" s="266"/>
      <c r="E4" s="266" t="s">
        <v>134</v>
      </c>
      <c r="F4" s="266" t="s">
        <v>132</v>
      </c>
      <c r="G4" s="267"/>
      <c r="H4" s="266"/>
      <c r="I4" s="266" t="s">
        <v>132</v>
      </c>
      <c r="J4" s="268"/>
      <c r="L4" s="195"/>
      <c r="M4" s="200"/>
      <c r="N4" s="200" t="s">
        <v>134</v>
      </c>
      <c r="O4" s="200" t="s">
        <v>132</v>
      </c>
      <c r="P4" s="205"/>
      <c r="Q4" s="200"/>
      <c r="R4" s="200" t="s">
        <v>132</v>
      </c>
      <c r="S4" s="220"/>
      <c r="U4" s="195"/>
      <c r="V4" s="200"/>
      <c r="W4" s="200" t="s">
        <v>134</v>
      </c>
      <c r="X4" s="200" t="s">
        <v>132</v>
      </c>
      <c r="Y4" s="205"/>
      <c r="Z4" s="200"/>
      <c r="AA4" s="200" t="s">
        <v>132</v>
      </c>
      <c r="AB4" s="220"/>
      <c r="AD4" s="226"/>
      <c r="AE4" s="175"/>
      <c r="AF4" s="175" t="s">
        <v>134</v>
      </c>
      <c r="AG4" s="175" t="s">
        <v>132</v>
      </c>
      <c r="AH4" s="176"/>
      <c r="AI4" s="175"/>
      <c r="AJ4" s="175" t="s">
        <v>132</v>
      </c>
      <c r="AK4" s="227"/>
    </row>
    <row r="5" spans="2:37" ht="15">
      <c r="C5" s="269"/>
      <c r="D5" s="270"/>
      <c r="E5" s="270"/>
      <c r="F5" s="270"/>
      <c r="G5" s="271"/>
      <c r="H5" s="270" t="s">
        <v>135</v>
      </c>
      <c r="I5" s="270" t="s">
        <v>135</v>
      </c>
      <c r="J5" s="272"/>
      <c r="L5" s="196"/>
      <c r="M5" s="201"/>
      <c r="N5" s="201"/>
      <c r="O5" s="201"/>
      <c r="P5" s="214"/>
      <c r="Q5" s="201" t="s">
        <v>135</v>
      </c>
      <c r="R5" s="201" t="s">
        <v>135</v>
      </c>
      <c r="S5" s="221"/>
      <c r="U5" s="196"/>
      <c r="V5" s="201"/>
      <c r="W5" s="201"/>
      <c r="X5" s="201"/>
      <c r="Y5" s="214"/>
      <c r="Z5" s="201" t="s">
        <v>135</v>
      </c>
      <c r="AA5" s="201" t="s">
        <v>135</v>
      </c>
      <c r="AB5" s="221"/>
      <c r="AD5" s="228"/>
      <c r="AE5" s="177"/>
      <c r="AF5" s="177"/>
      <c r="AG5" s="177"/>
      <c r="AH5" s="178"/>
      <c r="AI5" s="177" t="s">
        <v>135</v>
      </c>
      <c r="AJ5" s="177" t="s">
        <v>135</v>
      </c>
      <c r="AK5" s="229"/>
    </row>
    <row r="6" spans="2:37" ht="15">
      <c r="B6" t="s">
        <v>2</v>
      </c>
      <c r="C6" s="265" t="s">
        <v>342</v>
      </c>
      <c r="D6" s="266">
        <v>10</v>
      </c>
      <c r="E6" s="267">
        <v>10.199999999999999</v>
      </c>
      <c r="F6" s="267">
        <v>1.2</v>
      </c>
      <c r="G6" s="267">
        <v>2.469610312893018</v>
      </c>
      <c r="H6" s="273">
        <v>8.8527248114708787E-2</v>
      </c>
      <c r="I6" s="273">
        <v>3.4599540478940323E-2</v>
      </c>
      <c r="J6" s="268">
        <v>2.1476896791993485</v>
      </c>
      <c r="L6" s="195" t="s">
        <v>342</v>
      </c>
      <c r="M6" s="200">
        <v>10</v>
      </c>
      <c r="N6" s="205">
        <v>10.6</v>
      </c>
      <c r="O6" s="205">
        <v>1.2</v>
      </c>
      <c r="P6" s="205">
        <v>2.4696100574368529</v>
      </c>
      <c r="Q6" s="206">
        <v>9.4467260736983846E-2</v>
      </c>
      <c r="R6" s="206">
        <v>3.4598958356785288E-2</v>
      </c>
      <c r="S6" s="220">
        <v>2.1477105772792346</v>
      </c>
      <c r="U6" s="195" t="s">
        <v>342</v>
      </c>
      <c r="V6" s="200">
        <v>10</v>
      </c>
      <c r="W6" s="205">
        <v>10.3</v>
      </c>
      <c r="X6" s="205">
        <v>1.2</v>
      </c>
      <c r="Y6" s="205">
        <v>2.4696100868213162</v>
      </c>
      <c r="Z6" s="207">
        <v>0.21829371087479849</v>
      </c>
      <c r="AA6" s="207">
        <v>0.20369517920224095</v>
      </c>
      <c r="AB6" s="220">
        <v>2.1403870158886953</v>
      </c>
      <c r="AD6" s="226" t="s">
        <v>342</v>
      </c>
      <c r="AE6" s="175">
        <v>10</v>
      </c>
      <c r="AF6" s="176">
        <v>10.325593878760797</v>
      </c>
      <c r="AG6" s="176">
        <v>1.234805057211908</v>
      </c>
      <c r="AH6" s="176">
        <v>2.4695030191085343</v>
      </c>
      <c r="AI6" s="230">
        <v>9.2023612139707944E-2</v>
      </c>
      <c r="AJ6" s="230">
        <v>0.34495167113807446</v>
      </c>
      <c r="AK6" s="227">
        <v>2.0819794831418976</v>
      </c>
    </row>
    <row r="7" spans="2:37" ht="15">
      <c r="B7" t="s">
        <v>3</v>
      </c>
      <c r="C7" s="265" t="s">
        <v>343</v>
      </c>
      <c r="D7" s="266">
        <v>20</v>
      </c>
      <c r="E7" s="267">
        <v>20.464660075237305</v>
      </c>
      <c r="F7" s="267">
        <v>1.2348063242519718</v>
      </c>
      <c r="G7" s="267">
        <v>2.4696023876676239</v>
      </c>
      <c r="H7" s="273">
        <v>0.13192651218431348</v>
      </c>
      <c r="I7" s="273">
        <v>3.455936087726575E-2</v>
      </c>
      <c r="J7" s="268">
        <v>2.1491471974019514</v>
      </c>
      <c r="L7" s="195" t="s">
        <v>343</v>
      </c>
      <c r="M7" s="200">
        <v>20</v>
      </c>
      <c r="N7" s="205">
        <v>20.997394473489596</v>
      </c>
      <c r="O7" s="205">
        <v>1.2348063153197701</v>
      </c>
      <c r="P7" s="205">
        <v>2.4696016903127509</v>
      </c>
      <c r="Q7" s="206">
        <v>0.17620107583686923</v>
      </c>
      <c r="R7" s="206">
        <v>3.4558653283961661E-2</v>
      </c>
      <c r="S7" s="220">
        <v>2.1491731812021393</v>
      </c>
      <c r="U7" s="195" t="s">
        <v>343</v>
      </c>
      <c r="V7" s="200">
        <v>20</v>
      </c>
      <c r="W7" s="205">
        <v>21.016783150833682</v>
      </c>
      <c r="X7" s="205">
        <v>1.2348063085685228</v>
      </c>
      <c r="Y7" s="205">
        <v>2.4696011632552595</v>
      </c>
      <c r="Z7" s="207">
        <v>0.29117794196833929</v>
      </c>
      <c r="AA7" s="207">
        <v>0.11728770772950052</v>
      </c>
      <c r="AB7" s="220">
        <v>2.1437641648384163</v>
      </c>
      <c r="AD7" s="226" t="s">
        <v>343</v>
      </c>
      <c r="AE7" s="175">
        <v>20</v>
      </c>
      <c r="AF7" s="176">
        <v>21.066251827619013</v>
      </c>
      <c r="AG7" s="176">
        <v>1.2348045805253904</v>
      </c>
      <c r="AH7" s="176">
        <v>2.4694653919921175</v>
      </c>
      <c r="AI7" s="230">
        <v>0.13260558181787208</v>
      </c>
      <c r="AJ7" s="230">
        <v>0.17817364412761788</v>
      </c>
      <c r="AK7" s="227">
        <v>2.070230476118041</v>
      </c>
    </row>
    <row r="8" spans="2:37" ht="15">
      <c r="B8" t="s">
        <v>4</v>
      </c>
      <c r="C8" s="265"/>
      <c r="D8" s="266">
        <v>30</v>
      </c>
      <c r="E8" s="267">
        <v>31.034110870470162</v>
      </c>
      <c r="F8" s="267">
        <v>1.2348061496016891</v>
      </c>
      <c r="G8" s="267">
        <v>2.4695887441349131</v>
      </c>
      <c r="H8" s="273">
        <v>0.12888237662969812</v>
      </c>
      <c r="I8" s="273">
        <v>3.45330615461572E-2</v>
      </c>
      <c r="J8" s="268">
        <v>2.1501197979519073</v>
      </c>
      <c r="L8" s="195"/>
      <c r="M8" s="200">
        <v>30</v>
      </c>
      <c r="N8" s="205">
        <v>31.491791506569193</v>
      </c>
      <c r="O8" s="205">
        <v>1.2348061363189979</v>
      </c>
      <c r="P8" s="205">
        <v>2.4695877059297286</v>
      </c>
      <c r="Q8" s="206">
        <v>0.16511183922055836</v>
      </c>
      <c r="R8" s="206">
        <v>3.4532742563910222E-2</v>
      </c>
      <c r="S8" s="220">
        <v>2.1501316946940205</v>
      </c>
      <c r="U8" s="195"/>
      <c r="V8" s="200">
        <v>30</v>
      </c>
      <c r="W8" s="205">
        <v>31.698184465924587</v>
      </c>
      <c r="X8" s="205">
        <v>1.2348061171292968</v>
      </c>
      <c r="Y8" s="205">
        <v>2.4695862060719711</v>
      </c>
      <c r="Z8" s="207">
        <v>0.27444679119813609</v>
      </c>
      <c r="AA8" s="207">
        <v>8.9296431685813679E-2</v>
      </c>
      <c r="AB8" s="220">
        <v>2.1459764178796372</v>
      </c>
      <c r="AD8" s="226"/>
      <c r="AE8" s="175">
        <v>30</v>
      </c>
      <c r="AF8" s="176">
        <v>31.701893565970654</v>
      </c>
      <c r="AG8" s="176">
        <v>1.2348040337479795</v>
      </c>
      <c r="AH8" s="176">
        <v>2.4694220654283998</v>
      </c>
      <c r="AI8" s="230">
        <v>5.2216667656395321E-2</v>
      </c>
      <c r="AJ8" s="230">
        <v>0.12525498684301165</v>
      </c>
      <c r="AK8" s="227">
        <v>2.0637140692388911</v>
      </c>
    </row>
    <row r="9" spans="2:37" ht="15">
      <c r="B9" t="s">
        <v>329</v>
      </c>
      <c r="C9" s="265"/>
      <c r="D9" s="266">
        <v>40</v>
      </c>
      <c r="E9" s="267">
        <v>41.548858297439899</v>
      </c>
      <c r="F9" s="267">
        <v>1.2348059054159055</v>
      </c>
      <c r="G9" s="267">
        <v>2.4695696407781367</v>
      </c>
      <c r="H9" s="273">
        <v>0.15402589161675023</v>
      </c>
      <c r="I9" s="273">
        <v>3.4515427384264101E-2</v>
      </c>
      <c r="J9" s="268">
        <v>2.1507803992398369</v>
      </c>
      <c r="L9" s="195"/>
      <c r="M9" s="200">
        <v>40</v>
      </c>
      <c r="N9" s="205">
        <v>41.495765312343195</v>
      </c>
      <c r="O9" s="205">
        <v>1.234805899699249</v>
      </c>
      <c r="P9" s="205">
        <v>2.4695691934726924</v>
      </c>
      <c r="Q9" s="206">
        <v>0.18313951196700715</v>
      </c>
      <c r="R9" s="206">
        <v>3.4515919388080983E-2</v>
      </c>
      <c r="S9" s="220">
        <v>2.1507618796470278</v>
      </c>
      <c r="U9" s="195"/>
      <c r="V9" s="200">
        <v>40</v>
      </c>
      <c r="W9" s="205">
        <v>41.812553859655992</v>
      </c>
      <c r="X9" s="205">
        <v>1.2348058649260472</v>
      </c>
      <c r="Y9" s="205">
        <v>2.4695664714567451</v>
      </c>
      <c r="Z9" s="207">
        <v>0.29797830198877456</v>
      </c>
      <c r="AA9" s="207">
        <v>7.5986823895112132E-2</v>
      </c>
      <c r="AB9" s="220">
        <v>2.1474286186744638</v>
      </c>
      <c r="AD9" s="226"/>
      <c r="AE9" s="175">
        <v>40</v>
      </c>
      <c r="AF9" s="176">
        <v>41.895467065808894</v>
      </c>
      <c r="AG9" s="176">
        <v>1.2348034407971593</v>
      </c>
      <c r="AH9" s="176">
        <v>2.4693748760708152</v>
      </c>
      <c r="AI9" s="230">
        <v>4.9208650436167019E-2</v>
      </c>
      <c r="AJ9" s="230">
        <v>0.10027982340329335</v>
      </c>
      <c r="AK9" s="227">
        <v>2.0612499105141193</v>
      </c>
    </row>
    <row r="10" spans="2:37" ht="15">
      <c r="B10" t="s">
        <v>330</v>
      </c>
      <c r="C10" s="265"/>
      <c r="D10" s="266">
        <v>50</v>
      </c>
      <c r="E10" s="267">
        <v>51.465457972948656</v>
      </c>
      <c r="F10" s="267">
        <v>1.2348053169859514</v>
      </c>
      <c r="G10" s="267">
        <v>2.4695234926087268</v>
      </c>
      <c r="H10" s="273">
        <v>2.3317095861165187E-2</v>
      </c>
      <c r="I10" s="273">
        <v>4.0484495052466769E-2</v>
      </c>
      <c r="J10" s="268">
        <v>2.0754696695179602</v>
      </c>
      <c r="L10" s="195"/>
      <c r="M10" s="200">
        <v>50</v>
      </c>
      <c r="N10" s="205">
        <v>51.150512676959998</v>
      </c>
      <c r="O10" s="205">
        <v>1.2348053167123532</v>
      </c>
      <c r="P10" s="205">
        <v>2.4695234718219696</v>
      </c>
      <c r="Q10" s="206">
        <v>1.9550460076824257E-2</v>
      </c>
      <c r="R10" s="206">
        <v>4.0557833967752956E-2</v>
      </c>
      <c r="S10" s="220">
        <v>2.0752886578376684</v>
      </c>
      <c r="U10" s="195"/>
      <c r="V10" s="200">
        <v>50</v>
      </c>
      <c r="W10" s="205">
        <v>51.556955522625849</v>
      </c>
      <c r="X10" s="205">
        <v>1.2348053753541812</v>
      </c>
      <c r="Y10" s="205">
        <v>2.4695280761768985</v>
      </c>
      <c r="Z10" s="207">
        <v>3.1034171856253935E-2</v>
      </c>
      <c r="AA10" s="207">
        <v>9.5175931670200636E-2</v>
      </c>
      <c r="AB10" s="220">
        <v>2.0671691684039026</v>
      </c>
      <c r="AD10" s="226"/>
      <c r="AE10" s="175">
        <v>50</v>
      </c>
      <c r="AF10" s="176">
        <v>51.635970628890206</v>
      </c>
      <c r="AG10" s="176">
        <v>1.2348028121084194</v>
      </c>
      <c r="AH10" s="176">
        <v>2.4693246074661128</v>
      </c>
      <c r="AI10" s="230">
        <v>3.8302674462593361E-2</v>
      </c>
      <c r="AJ10" s="230">
        <v>8.5958829536314854E-2</v>
      </c>
      <c r="AK10" s="227">
        <v>2.0614388563081398</v>
      </c>
    </row>
    <row r="11" spans="2:37" ht="15">
      <c r="B11" t="s">
        <v>331</v>
      </c>
      <c r="C11" s="265"/>
      <c r="D11" s="266">
        <v>60</v>
      </c>
      <c r="E11" s="267">
        <v>61.30088324610302</v>
      </c>
      <c r="F11" s="267">
        <v>1.2348049120574982</v>
      </c>
      <c r="G11" s="267">
        <v>2.4694916244641778</v>
      </c>
      <c r="H11" s="273">
        <v>1.4681986868072153E-2</v>
      </c>
      <c r="I11" s="273">
        <v>3.9422208799307315E-2</v>
      </c>
      <c r="J11" s="268">
        <v>2.0789902799542106</v>
      </c>
      <c r="L11" s="195"/>
      <c r="M11" s="200">
        <v>60</v>
      </c>
      <c r="N11" s="205">
        <v>60.889752713879993</v>
      </c>
      <c r="O11" s="205">
        <v>1.2348049131801193</v>
      </c>
      <c r="P11" s="205">
        <v>2.4694917143828876</v>
      </c>
      <c r="Q11" s="206">
        <v>8.2116941802922033E-3</v>
      </c>
      <c r="R11" s="206">
        <v>3.9491297106357473E-2</v>
      </c>
      <c r="S11" s="220">
        <v>2.0786434801312446</v>
      </c>
      <c r="U11" s="195"/>
      <c r="V11" s="200">
        <v>60</v>
      </c>
      <c r="W11" s="205">
        <v>61.695323284659949</v>
      </c>
      <c r="X11" s="205">
        <v>1.2348049551069349</v>
      </c>
      <c r="Y11" s="205">
        <v>2.4694950125196962</v>
      </c>
      <c r="Z11" s="207">
        <v>2.2692546473181609E-2</v>
      </c>
      <c r="AA11" s="207">
        <v>8.3241045819243534E-2</v>
      </c>
      <c r="AB11" s="220">
        <v>2.0645766098571277</v>
      </c>
      <c r="AD11" s="226"/>
      <c r="AE11" s="175">
        <v>60</v>
      </c>
      <c r="AF11" s="176">
        <v>61.118434360441071</v>
      </c>
      <c r="AG11" s="176">
        <v>1.2348021427059599</v>
      </c>
      <c r="AH11" s="176">
        <v>2.4692708135176198</v>
      </c>
      <c r="AI11" s="230">
        <v>3.2946100619726103E-2</v>
      </c>
      <c r="AJ11" s="230">
        <v>7.6622970178303565E-2</v>
      </c>
      <c r="AK11" s="227">
        <v>2.0632917137285234</v>
      </c>
    </row>
    <row r="12" spans="2:37" ht="15">
      <c r="B12" t="s">
        <v>332</v>
      </c>
      <c r="C12" s="265"/>
      <c r="D12" s="266">
        <v>70</v>
      </c>
      <c r="E12" s="267">
        <v>70.428205906547049</v>
      </c>
      <c r="F12" s="267">
        <v>1.2348044873608577</v>
      </c>
      <c r="G12" s="267">
        <v>2.469458104651109</v>
      </c>
      <c r="H12" s="273">
        <v>1.2779237398362332E-2</v>
      </c>
      <c r="I12" s="273">
        <v>3.8661559076044946E-2</v>
      </c>
      <c r="J12" s="268">
        <v>2.0828613212641853</v>
      </c>
      <c r="L12" s="195"/>
      <c r="M12" s="200">
        <v>70</v>
      </c>
      <c r="N12" s="205">
        <v>70.214940032039991</v>
      </c>
      <c r="O12" s="205">
        <v>1.2348044758907344</v>
      </c>
      <c r="P12" s="205">
        <v>2.4694572005481348</v>
      </c>
      <c r="Q12" s="206">
        <v>0</v>
      </c>
      <c r="R12" s="206">
        <v>3.8693925109861145E-2</v>
      </c>
      <c r="S12" s="220">
        <v>2.0827088099173281</v>
      </c>
      <c r="U12" s="195"/>
      <c r="V12" s="200">
        <v>70</v>
      </c>
      <c r="W12" s="205">
        <v>70.424500933573199</v>
      </c>
      <c r="X12" s="205">
        <v>1.2348045418067435</v>
      </c>
      <c r="Y12" s="205">
        <v>2.4694624022620526</v>
      </c>
      <c r="Z12" s="207">
        <v>1.4199846971436223E-2</v>
      </c>
      <c r="AA12" s="207">
        <v>7.5890683705522183E-2</v>
      </c>
      <c r="AB12" s="220">
        <v>2.0639216163060348</v>
      </c>
      <c r="AD12" s="226"/>
      <c r="AE12" s="175">
        <v>70</v>
      </c>
      <c r="AF12" s="176">
        <v>70.650905811280779</v>
      </c>
      <c r="AG12" s="176">
        <v>1.2348014137132861</v>
      </c>
      <c r="AH12" s="176">
        <v>2.4692119089699229</v>
      </c>
      <c r="AI12" s="230">
        <v>4.8452420239664153E-2</v>
      </c>
      <c r="AJ12" s="230">
        <v>6.9923354278962555E-2</v>
      </c>
      <c r="AK12" s="227">
        <v>2.0662552927213116</v>
      </c>
    </row>
    <row r="13" spans="2:37" ht="15">
      <c r="B13" t="s">
        <v>333</v>
      </c>
      <c r="C13" s="265"/>
      <c r="D13" s="266">
        <v>80</v>
      </c>
      <c r="E13" s="267">
        <v>80.482662920073679</v>
      </c>
      <c r="F13" s="267">
        <v>1.2348039651074114</v>
      </c>
      <c r="G13" s="267">
        <v>2.4694167484047278</v>
      </c>
      <c r="H13" s="273">
        <v>7.4551771372534095E-3</v>
      </c>
      <c r="I13" s="273">
        <v>3.801172670677621E-2</v>
      </c>
      <c r="J13" s="268">
        <v>2.0872593418543195</v>
      </c>
      <c r="L13" s="195"/>
      <c r="M13" s="200">
        <v>80</v>
      </c>
      <c r="N13" s="205">
        <v>80.305224765299997</v>
      </c>
      <c r="O13" s="205">
        <v>1.2348039467187297</v>
      </c>
      <c r="P13" s="205">
        <v>2.4694152938871374</v>
      </c>
      <c r="Q13" s="206">
        <v>0</v>
      </c>
      <c r="R13" s="206">
        <v>3.8026138357724663E-2</v>
      </c>
      <c r="S13" s="220">
        <v>2.0872706312281362</v>
      </c>
      <c r="U13" s="195"/>
      <c r="V13" s="200">
        <v>80</v>
      </c>
      <c r="W13" s="205">
        <v>80.28483118570837</v>
      </c>
      <c r="X13" s="205">
        <v>1.2348040179716695</v>
      </c>
      <c r="Y13" s="205">
        <v>2.46942093613128</v>
      </c>
      <c r="Z13" s="207">
        <v>6.2279332317667097E-3</v>
      </c>
      <c r="AA13" s="207">
        <v>6.9657284780941561E-2</v>
      </c>
      <c r="AB13" s="220">
        <v>2.0645210451722864</v>
      </c>
      <c r="AD13" s="226"/>
      <c r="AE13" s="175">
        <v>80</v>
      </c>
      <c r="AF13" s="176">
        <v>80.203380349836024</v>
      </c>
      <c r="AG13" s="176">
        <v>1.2348006278811119</v>
      </c>
      <c r="AH13" s="176">
        <v>2.4691480291297583</v>
      </c>
      <c r="AI13" s="230">
        <v>4.7990273867916919E-2</v>
      </c>
      <c r="AJ13" s="230">
        <v>6.4925909082736835E-2</v>
      </c>
      <c r="AK13" s="227">
        <v>2.06990880959561</v>
      </c>
    </row>
    <row r="14" spans="2:37" ht="15">
      <c r="B14" t="s">
        <v>334</v>
      </c>
      <c r="C14" s="265"/>
      <c r="D14" s="266">
        <v>90</v>
      </c>
      <c r="E14" s="267">
        <v>90.48511239707355</v>
      </c>
      <c r="F14" s="267">
        <v>1.2348033890747041</v>
      </c>
      <c r="G14" s="267">
        <v>2.4693709560966495</v>
      </c>
      <c r="H14" s="273">
        <v>2.2103544353019684E-3</v>
      </c>
      <c r="I14" s="273">
        <v>3.7627993896216697E-2</v>
      </c>
      <c r="J14" s="268">
        <v>2.0892589675511455</v>
      </c>
      <c r="L14" s="195"/>
      <c r="M14" s="200">
        <v>90</v>
      </c>
      <c r="N14" s="205">
        <v>90.053465948279992</v>
      </c>
      <c r="O14" s="205">
        <v>1.2348033803229113</v>
      </c>
      <c r="P14" s="205">
        <v>2.4693702659431365</v>
      </c>
      <c r="Q14" s="206">
        <v>0</v>
      </c>
      <c r="R14" s="206">
        <v>3.7517072183823351E-2</v>
      </c>
      <c r="S14" s="220">
        <v>2.0916951736915652</v>
      </c>
      <c r="U14" s="195"/>
      <c r="V14" s="200">
        <v>90</v>
      </c>
      <c r="W14" s="205">
        <v>90.423198947742492</v>
      </c>
      <c r="X14" s="205">
        <v>1.2348034167308324</v>
      </c>
      <c r="Y14" s="205">
        <v>2.4693731549645732</v>
      </c>
      <c r="Z14" s="207">
        <v>0</v>
      </c>
      <c r="AA14" s="207">
        <v>6.4791011201062385E-2</v>
      </c>
      <c r="AB14" s="220">
        <v>2.0662292410902494</v>
      </c>
      <c r="AD14" s="226"/>
      <c r="AE14" s="175">
        <v>90</v>
      </c>
      <c r="AF14" s="176">
        <v>90.322942425126783</v>
      </c>
      <c r="AG14" s="176">
        <v>1.2347997363011229</v>
      </c>
      <c r="AH14" s="176">
        <v>2.4690750630306866</v>
      </c>
      <c r="AI14" s="230">
        <v>4.1556491292210951E-2</v>
      </c>
      <c r="AJ14" s="230">
        <v>6.0881065081670342E-2</v>
      </c>
      <c r="AK14" s="227">
        <v>2.0741819857134889</v>
      </c>
    </row>
    <row r="15" spans="2:37" ht="15">
      <c r="B15" t="s">
        <v>335</v>
      </c>
      <c r="C15" s="265"/>
      <c r="D15" s="266" t="s">
        <v>344</v>
      </c>
      <c r="E15" s="267">
        <v>100.26352940903514</v>
      </c>
      <c r="F15" s="267">
        <v>1.2348027717104675</v>
      </c>
      <c r="G15" s="267">
        <v>2.4693216683035963</v>
      </c>
      <c r="H15" s="273">
        <v>0</v>
      </c>
      <c r="I15" s="273">
        <v>3.7080271158589369E-2</v>
      </c>
      <c r="J15" s="268">
        <v>2.0962929632162539</v>
      </c>
      <c r="L15" s="195"/>
      <c r="M15" s="200" t="s">
        <v>344</v>
      </c>
      <c r="N15" s="205">
        <v>99.80570764062</v>
      </c>
      <c r="O15" s="205">
        <v>1.2348027596728699</v>
      </c>
      <c r="P15" s="205">
        <v>2.4693207157584216</v>
      </c>
      <c r="Q15" s="206">
        <v>-1.0019627931509222E-2</v>
      </c>
      <c r="R15" s="206">
        <v>3.7114343644909842E-2</v>
      </c>
      <c r="S15" s="220">
        <v>2.0958380351306021</v>
      </c>
      <c r="U15" s="195"/>
      <c r="V15" s="200" t="s">
        <v>344</v>
      </c>
      <c r="W15" s="205">
        <v>100.26852717596226</v>
      </c>
      <c r="X15" s="205">
        <v>1.2348027725885997</v>
      </c>
      <c r="Y15" s="205">
        <v>2.4693217385776922</v>
      </c>
      <c r="Z15" s="207">
        <v>-1.0970729110199485E-2</v>
      </c>
      <c r="AA15" s="207">
        <v>6.1101744594989099E-2</v>
      </c>
      <c r="AB15" s="220">
        <v>2.0686282846512829</v>
      </c>
      <c r="AD15" s="226"/>
      <c r="AE15" s="175" t="s">
        <v>344</v>
      </c>
      <c r="AF15" s="176">
        <v>100.16246127240001</v>
      </c>
      <c r="AG15" s="176">
        <v>1.2347988124898768</v>
      </c>
      <c r="AH15" s="176">
        <v>2.4689988976491599</v>
      </c>
      <c r="AI15" s="230">
        <v>2.5055796580639025E-2</v>
      </c>
      <c r="AJ15" s="230">
        <v>5.7803466754986529E-2</v>
      </c>
      <c r="AK15" s="227">
        <v>2.0784941689553644</v>
      </c>
    </row>
    <row r="16" spans="2:37" ht="15">
      <c r="B16" s="83"/>
      <c r="C16" s="265"/>
      <c r="D16" s="274"/>
      <c r="E16" s="274"/>
      <c r="F16" s="274"/>
      <c r="G16" s="275"/>
      <c r="H16" s="274"/>
      <c r="I16" s="274"/>
      <c r="J16" s="276"/>
      <c r="L16" s="195"/>
      <c r="M16" s="202"/>
      <c r="N16" s="202"/>
      <c r="O16" s="202"/>
      <c r="P16" s="215"/>
      <c r="Q16" s="202"/>
      <c r="R16" s="202"/>
      <c r="S16" s="222"/>
      <c r="U16" s="195"/>
      <c r="V16" s="202"/>
      <c r="W16" s="202"/>
      <c r="X16" s="202"/>
      <c r="Y16" s="215"/>
      <c r="Z16" s="202"/>
      <c r="AA16" s="202"/>
      <c r="AB16" s="222"/>
      <c r="AD16" s="226"/>
      <c r="AE16" s="231"/>
      <c r="AF16" s="231"/>
      <c r="AG16" s="231"/>
      <c r="AH16" s="232"/>
      <c r="AI16" s="231"/>
      <c r="AJ16" s="231"/>
      <c r="AK16" s="233"/>
    </row>
    <row r="17" spans="2:37" ht="15">
      <c r="B17" s="181" t="s">
        <v>5</v>
      </c>
      <c r="C17" s="265" t="s">
        <v>345</v>
      </c>
      <c r="D17" s="266">
        <v>1</v>
      </c>
      <c r="E17" s="273">
        <v>97.49</v>
      </c>
      <c r="F17" s="273">
        <v>1.6E-2</v>
      </c>
      <c r="G17" s="267">
        <v>2.1075358315943968</v>
      </c>
      <c r="H17" s="273">
        <v>7.4880937935269704E-2</v>
      </c>
      <c r="I17" s="273">
        <v>3.7186656280500482E-2</v>
      </c>
      <c r="J17" s="268">
        <v>2.0950954323305075</v>
      </c>
      <c r="L17" s="195" t="s">
        <v>345</v>
      </c>
      <c r="M17" s="200">
        <v>1</v>
      </c>
      <c r="N17" s="206">
        <v>97.144999999999996</v>
      </c>
      <c r="O17" s="206">
        <v>1.6E-2</v>
      </c>
      <c r="P17" s="205">
        <v>2.1039197834560452</v>
      </c>
      <c r="Q17" s="206">
        <v>5.1470083811325708E-2</v>
      </c>
      <c r="R17" s="206">
        <v>3.721111967726709E-2</v>
      </c>
      <c r="S17" s="220">
        <v>2.0948263771403299</v>
      </c>
      <c r="U17" s="195" t="s">
        <v>345</v>
      </c>
      <c r="V17" s="200">
        <v>1</v>
      </c>
      <c r="W17" s="206">
        <v>96.977000000000004</v>
      </c>
      <c r="X17" s="206">
        <v>1.4999999999999999E-2</v>
      </c>
      <c r="Y17" s="205">
        <v>2.1078899662362414</v>
      </c>
      <c r="Z17" s="207">
        <v>3.5060430296589624E-2</v>
      </c>
      <c r="AA17" s="207">
        <v>6.2242066293902276E-2</v>
      </c>
      <c r="AB17" s="220">
        <v>2.0677604743544173</v>
      </c>
      <c r="AD17" s="226" t="s">
        <v>345</v>
      </c>
      <c r="AE17" s="175">
        <v>1</v>
      </c>
      <c r="AF17" s="179">
        <v>96.959966929142354</v>
      </c>
      <c r="AG17" s="179">
        <v>2.4080429429392564E-2</v>
      </c>
      <c r="AH17" s="176">
        <v>2.2337942649327687</v>
      </c>
      <c r="AI17" s="230">
        <v>0.32281757708029457</v>
      </c>
      <c r="AJ17" s="230">
        <v>5.8728539677740443E-2</v>
      </c>
      <c r="AK17" s="227">
        <v>2.0770722466574383</v>
      </c>
    </row>
    <row r="18" spans="2:37" ht="15">
      <c r="B18" s="181" t="s">
        <v>319</v>
      </c>
      <c r="C18" s="265" t="s">
        <v>346</v>
      </c>
      <c r="D18" s="266">
        <v>2</v>
      </c>
      <c r="E18" s="273">
        <v>195.97639937197994</v>
      </c>
      <c r="F18" s="273">
        <v>3.0255754993742355E-2</v>
      </c>
      <c r="G18" s="267">
        <v>2.1365728821379615</v>
      </c>
      <c r="H18" s="273">
        <v>2.3982979576520468E-2</v>
      </c>
      <c r="I18" s="273">
        <v>3.538288466910719E-2</v>
      </c>
      <c r="J18" s="268">
        <v>2.1247521319708529</v>
      </c>
      <c r="L18" s="195" t="s">
        <v>346</v>
      </c>
      <c r="M18" s="200">
        <v>2</v>
      </c>
      <c r="N18" s="206">
        <v>195.84693597347999</v>
      </c>
      <c r="O18" s="206">
        <v>3.0358583710593454E-2</v>
      </c>
      <c r="P18" s="205">
        <v>2.1320808027933933</v>
      </c>
      <c r="Q18" s="206">
        <v>2.0424441179624348E-2</v>
      </c>
      <c r="R18" s="206">
        <v>3.538657393856065E-2</v>
      </c>
      <c r="S18" s="220">
        <v>2.1246610292025649</v>
      </c>
      <c r="U18" s="195" t="s">
        <v>346</v>
      </c>
      <c r="V18" s="200">
        <v>2</v>
      </c>
      <c r="W18" s="206">
        <v>195.83942059654578</v>
      </c>
      <c r="X18" s="206">
        <v>3.0609080776182476E-2</v>
      </c>
      <c r="Y18" s="205">
        <v>2.1248714774906956</v>
      </c>
      <c r="Z18" s="206">
        <v>-1.0212623518292263E-3</v>
      </c>
      <c r="AA18" s="206">
        <v>4.6049262462747542E-2</v>
      </c>
      <c r="AB18" s="220">
        <v>2.0992751371596077</v>
      </c>
      <c r="AD18" s="226" t="s">
        <v>346</v>
      </c>
      <c r="AE18" s="175">
        <v>2</v>
      </c>
      <c r="AF18" s="179">
        <v>195.93924556316827</v>
      </c>
      <c r="AG18" s="179">
        <v>4.0182518091219609E-2</v>
      </c>
      <c r="AH18" s="176">
        <v>2.2424488430538321</v>
      </c>
      <c r="AI18" s="179">
        <v>4.7647547780302842E-2</v>
      </c>
      <c r="AJ18" s="179">
        <v>4.5047724160050234E-2</v>
      </c>
      <c r="AK18" s="227">
        <v>2.1123206051247916</v>
      </c>
    </row>
    <row r="19" spans="2:37" ht="15">
      <c r="B19" s="181" t="s">
        <v>320</v>
      </c>
      <c r="C19" s="265"/>
      <c r="D19" s="266">
        <v>3</v>
      </c>
      <c r="E19" s="277">
        <v>293.33550789498292</v>
      </c>
      <c r="F19" s="277">
        <v>4.4873349204521205E-2</v>
      </c>
      <c r="G19" s="267">
        <v>2.1469567858959517</v>
      </c>
      <c r="H19" s="273">
        <v>3.2045885050512847E-2</v>
      </c>
      <c r="I19" s="273">
        <v>3.4919142097813494E-2</v>
      </c>
      <c r="J19" s="268">
        <v>2.1371908731100779</v>
      </c>
      <c r="L19" s="195"/>
      <c r="M19" s="200">
        <v>3</v>
      </c>
      <c r="N19" s="207">
        <v>292.83828527934003</v>
      </c>
      <c r="O19" s="207">
        <v>4.497786793909983E-2</v>
      </c>
      <c r="P19" s="205">
        <v>2.1420624005158597</v>
      </c>
      <c r="Q19" s="206">
        <v>2.0489453181562218E-2</v>
      </c>
      <c r="R19" s="206">
        <v>3.4922881240593097E-2</v>
      </c>
      <c r="S19" s="220">
        <v>2.1370731523710167</v>
      </c>
      <c r="U19" s="195"/>
      <c r="V19" s="200">
        <v>3</v>
      </c>
      <c r="W19" s="207">
        <v>292.67648483558992</v>
      </c>
      <c r="X19" s="207">
        <v>4.5488012185065776E-2</v>
      </c>
      <c r="Y19" s="205">
        <v>2.1304495614354257</v>
      </c>
      <c r="Z19" s="206">
        <v>6.1502407559147565E-3</v>
      </c>
      <c r="AA19" s="206">
        <v>4.1629830253542603E-2</v>
      </c>
      <c r="AB19" s="220">
        <v>2.1198569873137667</v>
      </c>
      <c r="AD19" s="226"/>
      <c r="AE19" s="175">
        <v>3</v>
      </c>
      <c r="AF19" s="230">
        <v>292.77619350286005</v>
      </c>
      <c r="AG19" s="230">
        <v>5.5966023789375881E-2</v>
      </c>
      <c r="AH19" s="176">
        <v>2.244899107800411</v>
      </c>
      <c r="AI19" s="179">
        <v>0.13934662507516088</v>
      </c>
      <c r="AJ19" s="179">
        <v>4.1170160055634626E-2</v>
      </c>
      <c r="AK19" s="227">
        <v>2.1293383582675753</v>
      </c>
    </row>
    <row r="20" spans="2:37" ht="15">
      <c r="B20" s="181" t="s">
        <v>321</v>
      </c>
      <c r="C20" s="265"/>
      <c r="D20" s="266">
        <v>4</v>
      </c>
      <c r="E20" s="277">
        <v>392.64089845800606</v>
      </c>
      <c r="F20" s="277">
        <v>5.9837009422528981E-2</v>
      </c>
      <c r="G20" s="267">
        <v>2.1517152263970107</v>
      </c>
      <c r="H20" s="273">
        <v>1.6045530061910701E-2</v>
      </c>
      <c r="I20" s="273">
        <v>3.4734566462926622E-2</v>
      </c>
      <c r="J20" s="268">
        <v>2.1430186671167415</v>
      </c>
      <c r="L20" s="195"/>
      <c r="M20" s="200">
        <v>4</v>
      </c>
      <c r="N20" s="207">
        <v>392.22994020119995</v>
      </c>
      <c r="O20" s="207">
        <v>6.0013212061829108E-2</v>
      </c>
      <c r="P20" s="205">
        <v>2.146655459881158</v>
      </c>
      <c r="Q20" s="206">
        <v>1.2747829187733947E-2</v>
      </c>
      <c r="R20" s="206">
        <v>3.4737973457877033E-2</v>
      </c>
      <c r="S20" s="220">
        <v>2.1429001546829261</v>
      </c>
      <c r="U20" s="195"/>
      <c r="V20" s="200">
        <v>4</v>
      </c>
      <c r="W20" s="207">
        <v>392.24891810187717</v>
      </c>
      <c r="X20" s="207">
        <v>6.0820211107660734E-2</v>
      </c>
      <c r="Y20" s="205">
        <v>2.1329603293559556</v>
      </c>
      <c r="Z20" s="206">
        <v>-8.6681138086021209E-3</v>
      </c>
      <c r="AA20" s="206">
        <v>3.9571525280563E-2</v>
      </c>
      <c r="AB20" s="220">
        <v>2.1314530064351911</v>
      </c>
      <c r="AD20" s="226"/>
      <c r="AE20" s="175">
        <v>4</v>
      </c>
      <c r="AF20" s="230">
        <v>392.49358607358937</v>
      </c>
      <c r="AG20" s="230">
        <v>7.2228570399291966E-2</v>
      </c>
      <c r="AH20" s="176">
        <v>2.2459543791987522</v>
      </c>
      <c r="AI20" s="179">
        <v>4.9769957795642417E-2</v>
      </c>
      <c r="AJ20" s="179">
        <v>3.9310818528632968E-2</v>
      </c>
      <c r="AK20" s="227">
        <v>2.1380651299009945</v>
      </c>
    </row>
    <row r="21" spans="2:37" ht="15">
      <c r="B21" s="181" t="s">
        <v>322</v>
      </c>
      <c r="C21" s="265"/>
      <c r="D21" s="266">
        <v>5</v>
      </c>
      <c r="E21" s="277">
        <v>489.94299871981627</v>
      </c>
      <c r="F21" s="277">
        <v>7.4526152955221622E-2</v>
      </c>
      <c r="G21" s="267">
        <v>2.1541663271514411</v>
      </c>
      <c r="H21" s="273">
        <v>2.2860278689853315E-2</v>
      </c>
      <c r="I21" s="273">
        <v>3.4640062317612776E-2</v>
      </c>
      <c r="J21" s="268">
        <v>2.1462497572800356</v>
      </c>
      <c r="L21" s="195"/>
      <c r="M21" s="200">
        <v>5</v>
      </c>
      <c r="N21" s="207">
        <v>489.19928670557999</v>
      </c>
      <c r="O21" s="207">
        <v>7.4709640678352451E-2</v>
      </c>
      <c r="P21" s="205">
        <v>2.1490094183852664</v>
      </c>
      <c r="Q21" s="206">
        <v>1.0220947609453997E-2</v>
      </c>
      <c r="R21" s="206">
        <v>3.4650799605733335E-2</v>
      </c>
      <c r="S21" s="220">
        <v>2.1458600598340154</v>
      </c>
      <c r="U21" s="195"/>
      <c r="V21" s="200">
        <v>5</v>
      </c>
      <c r="W21" s="207">
        <v>489.04397667395813</v>
      </c>
      <c r="X21" s="207">
        <v>7.5741589716227881E-2</v>
      </c>
      <c r="Y21" s="205">
        <v>2.1342269948080235</v>
      </c>
      <c r="Z21" s="206">
        <v>-5.9300386746063754E-3</v>
      </c>
      <c r="AA21" s="206">
        <v>3.8444850616812833E-2</v>
      </c>
      <c r="AB21" s="220">
        <v>2.1379387412258706</v>
      </c>
      <c r="AD21" s="226"/>
      <c r="AE21" s="175">
        <v>5</v>
      </c>
      <c r="AF21" s="230">
        <v>489.30953077117977</v>
      </c>
      <c r="AG21" s="230">
        <v>8.8022048141629866E-2</v>
      </c>
      <c r="AH21" s="176">
        <v>2.246475255874341</v>
      </c>
      <c r="AI21" s="179">
        <v>0.10453234242116739</v>
      </c>
      <c r="AJ21" s="179">
        <v>3.8275665633810046E-2</v>
      </c>
      <c r="AK21" s="227">
        <v>2.1427290130100083</v>
      </c>
    </row>
    <row r="22" spans="2:37" ht="15">
      <c r="B22" s="181" t="s">
        <v>323</v>
      </c>
      <c r="C22" s="265"/>
      <c r="D22" s="266">
        <v>6</v>
      </c>
      <c r="E22" s="277">
        <v>592.96692814450182</v>
      </c>
      <c r="F22" s="277">
        <v>9.0096003180293913E-2</v>
      </c>
      <c r="G22" s="267">
        <v>2.1556786490744106</v>
      </c>
      <c r="H22" s="273">
        <v>1.7876580431728968E-2</v>
      </c>
      <c r="I22" s="273">
        <v>3.4587004431087101E-2</v>
      </c>
      <c r="J22" s="268">
        <v>2.1481358148252623</v>
      </c>
      <c r="L22" s="195"/>
      <c r="M22" s="200">
        <v>6</v>
      </c>
      <c r="N22" s="207">
        <v>592.32641724233997</v>
      </c>
      <c r="O22" s="207">
        <v>9.0356434201146418E-2</v>
      </c>
      <c r="P22" s="205">
        <v>2.1504678413344829</v>
      </c>
      <c r="Q22" s="206">
        <v>3.3765708463779714E-3</v>
      </c>
      <c r="R22" s="206">
        <v>3.4701163459882917E-2</v>
      </c>
      <c r="S22" s="220">
        <v>2.1440587825018613</v>
      </c>
      <c r="U22" s="195"/>
      <c r="V22" s="200">
        <v>6</v>
      </c>
      <c r="W22" s="207">
        <v>592.009867749911</v>
      </c>
      <c r="X22" s="207">
        <v>9.1624752575172094E-2</v>
      </c>
      <c r="Y22" s="205">
        <v>2.1350075316785193</v>
      </c>
      <c r="Z22" s="206">
        <v>-1.064189687008632E-2</v>
      </c>
      <c r="AA22" s="206">
        <v>3.7683034725429082E-2</v>
      </c>
      <c r="AB22" s="220">
        <v>2.1421643348321564</v>
      </c>
      <c r="AD22" s="226"/>
      <c r="AE22" s="175">
        <v>6</v>
      </c>
      <c r="AF22" s="230">
        <v>592.13040240097473</v>
      </c>
      <c r="AG22" s="230">
        <v>0.10479744259151502</v>
      </c>
      <c r="AH22" s="176">
        <v>2.2467924442376193</v>
      </c>
      <c r="AI22" s="179">
        <v>9.4743309749210233E-2</v>
      </c>
      <c r="AJ22" s="179">
        <v>3.7567577511245877E-2</v>
      </c>
      <c r="AK22" s="227">
        <v>2.145692674472881</v>
      </c>
    </row>
    <row r="23" spans="2:37" ht="15">
      <c r="B23" s="181" t="s">
        <v>324</v>
      </c>
      <c r="C23" s="265"/>
      <c r="D23" s="266">
        <v>7</v>
      </c>
      <c r="E23" s="277">
        <v>691.49520609442334</v>
      </c>
      <c r="F23" s="277">
        <v>0.10499660456508784</v>
      </c>
      <c r="G23" s="267">
        <v>2.1565877517036731</v>
      </c>
      <c r="H23" s="273">
        <v>2.3283365530393622E-2</v>
      </c>
      <c r="I23" s="273">
        <v>3.4552703737386066E-2</v>
      </c>
      <c r="J23" s="268">
        <v>2.1493895416330142</v>
      </c>
      <c r="L23" s="195"/>
      <c r="M23" s="200">
        <v>7</v>
      </c>
      <c r="N23" s="207">
        <v>691.04198608235993</v>
      </c>
      <c r="O23" s="207">
        <v>0.10534421610247872</v>
      </c>
      <c r="P23" s="205">
        <v>2.1513440956852179</v>
      </c>
      <c r="Q23" s="206">
        <v>1.3458153785306447E-2</v>
      </c>
      <c r="R23" s="206">
        <v>3.4558058897599608E-2</v>
      </c>
      <c r="S23" s="220">
        <v>2.1491884372238728</v>
      </c>
      <c r="U23" s="195"/>
      <c r="V23" s="200">
        <v>7</v>
      </c>
      <c r="W23" s="207">
        <v>690.89620845580021</v>
      </c>
      <c r="X23" s="207">
        <v>0.10688502859971501</v>
      </c>
      <c r="Y23" s="205">
        <v>2.1354761395475177</v>
      </c>
      <c r="Z23" s="206">
        <v>-4.1975186138909016E-3</v>
      </c>
      <c r="AA23" s="206">
        <v>3.7180687253343322E-2</v>
      </c>
      <c r="AB23" s="220">
        <v>2.1447883425351537</v>
      </c>
      <c r="AD23" s="226"/>
      <c r="AE23" s="175">
        <v>7</v>
      </c>
      <c r="AF23" s="230">
        <v>691.16668983499005</v>
      </c>
      <c r="AG23" s="230">
        <v>0.12095672612610965</v>
      </c>
      <c r="AH23" s="176">
        <v>2.2469822333284308</v>
      </c>
      <c r="AI23" s="179">
        <v>5.0105754748969604E-2</v>
      </c>
      <c r="AJ23" s="179">
        <v>3.7094766593034234E-2</v>
      </c>
      <c r="AK23" s="227">
        <v>2.1475123001630574</v>
      </c>
    </row>
    <row r="24" spans="2:37" ht="15">
      <c r="B24" s="181" t="s">
        <v>325</v>
      </c>
      <c r="C24" s="265"/>
      <c r="D24" s="266">
        <v>8</v>
      </c>
      <c r="E24" s="277">
        <v>788.85931534209249</v>
      </c>
      <c r="F24" s="277">
        <v>0.11972764446506644</v>
      </c>
      <c r="G24" s="267">
        <v>2.1571950093067525</v>
      </c>
      <c r="H24" s="273">
        <v>3.359350893807219E-2</v>
      </c>
      <c r="I24" s="273">
        <v>3.4529772592225054E-2</v>
      </c>
      <c r="J24" s="268">
        <v>2.1502414573388746</v>
      </c>
      <c r="L24" s="195"/>
      <c r="M24" s="200">
        <v>8</v>
      </c>
      <c r="N24" s="207">
        <v>788.03533564290001</v>
      </c>
      <c r="O24" s="207">
        <v>0.12007705872519479</v>
      </c>
      <c r="P24" s="205">
        <v>2.1519259330843954</v>
      </c>
      <c r="Q24" s="206">
        <v>2.5760679779972623E-2</v>
      </c>
      <c r="R24" s="206">
        <v>3.4530867130742507E-2</v>
      </c>
      <c r="S24" s="220">
        <v>2.1502000224164926</v>
      </c>
      <c r="U24" s="195"/>
      <c r="V24" s="200">
        <v>8</v>
      </c>
      <c r="W24" s="207">
        <v>787.72327134556747</v>
      </c>
      <c r="X24" s="207">
        <v>0.12183157209622629</v>
      </c>
      <c r="Y24" s="205">
        <v>2.1357854052283822</v>
      </c>
      <c r="Z24" s="206">
        <v>7.4900683003448626E-3</v>
      </c>
      <c r="AA24" s="206">
        <v>3.6819149895865981E-2</v>
      </c>
      <c r="AB24" s="220">
        <v>2.1465566934566822</v>
      </c>
      <c r="AD24" s="226"/>
      <c r="AE24" s="175">
        <v>8</v>
      </c>
      <c r="AF24" s="230">
        <v>787.99863700275284</v>
      </c>
      <c r="AG24" s="230">
        <v>0.13675715850784195</v>
      </c>
      <c r="AH24" s="176">
        <v>2.2471067736267698</v>
      </c>
      <c r="AI24" s="179">
        <v>8.3687958615363683E-2</v>
      </c>
      <c r="AJ24" s="179">
        <v>3.6752675286357554E-2</v>
      </c>
      <c r="AK24" s="227">
        <v>2.1487253918711398</v>
      </c>
    </row>
    <row r="25" spans="2:37" ht="15">
      <c r="B25" s="181" t="s">
        <v>326</v>
      </c>
      <c r="C25" s="265"/>
      <c r="D25" s="266">
        <v>9</v>
      </c>
      <c r="E25" s="277">
        <v>888.18070822404684</v>
      </c>
      <c r="F25" s="277">
        <v>0.13475949087623623</v>
      </c>
      <c r="G25" s="267">
        <v>2.1576325060947275</v>
      </c>
      <c r="H25" s="273">
        <v>4.3573122499660805E-2</v>
      </c>
      <c r="I25" s="273">
        <v>3.4513865265687969E-2</v>
      </c>
      <c r="J25" s="268">
        <v>2.1508386863411837</v>
      </c>
      <c r="L25" s="195"/>
      <c r="M25" s="200">
        <v>9</v>
      </c>
      <c r="N25" s="207">
        <v>887.48599807782</v>
      </c>
      <c r="O25" s="207">
        <v>0.13518788223156361</v>
      </c>
      <c r="P25" s="205">
        <v>2.1523472886872184</v>
      </c>
      <c r="Q25" s="206">
        <v>3.8311078684780127E-2</v>
      </c>
      <c r="R25" s="206">
        <v>3.4514199365382012E-2</v>
      </c>
      <c r="S25" s="220">
        <v>2.1508259847462865</v>
      </c>
      <c r="U25" s="195"/>
      <c r="V25" s="200">
        <v>9</v>
      </c>
      <c r="W25" s="207">
        <v>887.34571135823933</v>
      </c>
      <c r="X25" s="207">
        <v>0.13721256521806771</v>
      </c>
      <c r="Y25" s="205">
        <v>2.1360097468191461</v>
      </c>
      <c r="Z25" s="206">
        <v>2.3215701325896489E-2</v>
      </c>
      <c r="AA25" s="206">
        <v>3.6534558198688949E-2</v>
      </c>
      <c r="AB25" s="220">
        <v>2.1478578024816706</v>
      </c>
      <c r="AD25" s="226"/>
      <c r="AE25" s="175">
        <v>9</v>
      </c>
      <c r="AF25" s="230">
        <v>887.7340323524262</v>
      </c>
      <c r="AG25" s="230">
        <v>0.15303193644190988</v>
      </c>
      <c r="AH25" s="176">
        <v>2.2471969591830452</v>
      </c>
      <c r="AI25" s="179">
        <v>5.0687545443315697E-2</v>
      </c>
      <c r="AJ25" s="179">
        <v>3.6481627995017862E-2</v>
      </c>
      <c r="AK25" s="227">
        <v>2.1496134100965452</v>
      </c>
    </row>
    <row r="26" spans="2:37" ht="15">
      <c r="B26" s="181" t="s">
        <v>327</v>
      </c>
      <c r="C26" s="265"/>
      <c r="D26" s="266" t="s">
        <v>347</v>
      </c>
      <c r="E26" s="277">
        <v>985.32878616614312</v>
      </c>
      <c r="F26" s="277">
        <v>0.14946574763555182</v>
      </c>
      <c r="G26" s="267">
        <v>2.1579457144192014</v>
      </c>
      <c r="H26" s="273">
        <v>5.0136594570211114E-2</v>
      </c>
      <c r="I26" s="273">
        <v>3.4502760582382143E-2</v>
      </c>
      <c r="J26" s="268">
        <v>2.1512587754148904</v>
      </c>
      <c r="L26" s="195"/>
      <c r="M26" s="200" t="s">
        <v>347</v>
      </c>
      <c r="N26" s="207">
        <v>984.25431898685986</v>
      </c>
      <c r="O26" s="207">
        <v>0.14989449706071573</v>
      </c>
      <c r="P26" s="205">
        <v>2.1526473564398581</v>
      </c>
      <c r="Q26" s="206">
        <v>4.2672583235634956E-2</v>
      </c>
      <c r="R26" s="206">
        <v>3.4503123651581723E-2</v>
      </c>
      <c r="S26" s="220">
        <v>2.1512449007161365</v>
      </c>
      <c r="U26" s="195"/>
      <c r="V26" s="200" t="s">
        <v>347</v>
      </c>
      <c r="W26" s="207">
        <v>983.95474483376927</v>
      </c>
      <c r="X26" s="207">
        <v>0.1521303961941462</v>
      </c>
      <c r="Y26" s="205">
        <v>2.136168757054195</v>
      </c>
      <c r="Z26" s="206">
        <v>2.5916270142961714E-2</v>
      </c>
      <c r="AA26" s="206">
        <v>3.6316721525046385E-2</v>
      </c>
      <c r="AB26" s="220">
        <v>2.1487896085713123</v>
      </c>
      <c r="AD26" s="226"/>
      <c r="AE26" s="175" t="s">
        <v>347</v>
      </c>
      <c r="AF26" s="230">
        <v>984.3529466360186</v>
      </c>
      <c r="AG26" s="230">
        <v>0.16879856909167018</v>
      </c>
      <c r="AH26" s="176">
        <v>2.2472606833655924</v>
      </c>
      <c r="AI26" s="179">
        <v>7.7225646377689944E-2</v>
      </c>
      <c r="AJ26" s="179">
        <v>3.6273469505851155E-2</v>
      </c>
      <c r="AK26" s="227">
        <v>2.1502455468824437</v>
      </c>
    </row>
    <row r="27" spans="2:37" ht="15">
      <c r="B27" s="83"/>
      <c r="C27" s="265"/>
      <c r="D27" s="274"/>
      <c r="E27" s="274"/>
      <c r="F27" s="274"/>
      <c r="G27" s="275"/>
      <c r="H27" s="274"/>
      <c r="I27" s="274"/>
      <c r="J27" s="276"/>
      <c r="L27" s="195"/>
      <c r="M27" s="202"/>
      <c r="N27" s="202"/>
      <c r="O27" s="202"/>
      <c r="P27" s="215"/>
      <c r="Q27" s="202"/>
      <c r="R27" s="202"/>
      <c r="S27" s="222"/>
      <c r="U27" s="195"/>
      <c r="V27" s="202"/>
      <c r="W27" s="202"/>
      <c r="X27" s="202"/>
      <c r="Y27" s="215"/>
      <c r="Z27" s="202"/>
      <c r="AA27" s="202"/>
      <c r="AB27" s="222"/>
      <c r="AD27" s="226"/>
      <c r="AE27" s="231"/>
      <c r="AF27" s="231"/>
      <c r="AG27" s="231"/>
      <c r="AH27" s="232"/>
      <c r="AI27" s="231"/>
      <c r="AJ27" s="231"/>
      <c r="AK27" s="233"/>
    </row>
    <row r="28" spans="2:37" ht="15">
      <c r="B28" s="181" t="s">
        <v>41</v>
      </c>
      <c r="C28" s="265" t="s">
        <v>348</v>
      </c>
      <c r="D28" s="266">
        <v>1</v>
      </c>
      <c r="E28" s="277">
        <v>0.99504999999999999</v>
      </c>
      <c r="F28" s="278">
        <v>1.7000000000000001E-4</v>
      </c>
      <c r="G28" s="267">
        <v>2.080448301344854</v>
      </c>
      <c r="H28" s="273">
        <v>2.0098614529959855E-2</v>
      </c>
      <c r="I28" s="273">
        <v>4.0169085267383796E-2</v>
      </c>
      <c r="J28" s="268">
        <v>2.0761952257075111</v>
      </c>
      <c r="L28" s="195" t="s">
        <v>348</v>
      </c>
      <c r="M28" s="200">
        <v>1</v>
      </c>
      <c r="N28" s="207">
        <v>0.99470999999999998</v>
      </c>
      <c r="O28" s="208">
        <v>1.7000000000000001E-4</v>
      </c>
      <c r="P28" s="205">
        <v>2.0780413039482668</v>
      </c>
      <c r="Q28" s="206">
        <v>2.312113872290246E-2</v>
      </c>
      <c r="R28" s="206">
        <v>4.0171607896663533E-2</v>
      </c>
      <c r="S28" s="220">
        <v>2.0762705643307036</v>
      </c>
      <c r="U28" s="195" t="s">
        <v>348</v>
      </c>
      <c r="V28" s="200">
        <v>1</v>
      </c>
      <c r="W28" s="207">
        <v>0.99519999999999997</v>
      </c>
      <c r="X28" s="208">
        <v>1.6000000000000001E-4</v>
      </c>
      <c r="Y28" s="205">
        <v>2.0905603200437128</v>
      </c>
      <c r="Z28" s="207">
        <v>4.2200569882662402E-2</v>
      </c>
      <c r="AA28" s="207">
        <v>4.9981346365802572E-2</v>
      </c>
      <c r="AB28" s="220">
        <v>2.0661795420783564</v>
      </c>
      <c r="AD28" s="226" t="s">
        <v>348</v>
      </c>
      <c r="AE28" s="175">
        <v>1</v>
      </c>
      <c r="AF28" s="234">
        <v>0.99596003160883473</v>
      </c>
      <c r="AG28" s="234">
        <v>1.7246721837312919E-4</v>
      </c>
      <c r="AH28" s="176">
        <v>2.2219726789872971</v>
      </c>
      <c r="AI28" s="230">
        <v>2.4096663691863713E-2</v>
      </c>
      <c r="AJ28" s="230">
        <v>4.5354081522708464E-2</v>
      </c>
      <c r="AK28" s="227">
        <v>2.0618897455233425</v>
      </c>
    </row>
    <row r="29" spans="2:37" ht="15">
      <c r="B29" s="181" t="s">
        <v>311</v>
      </c>
      <c r="C29" s="265" t="s">
        <v>346</v>
      </c>
      <c r="D29" s="266">
        <v>2</v>
      </c>
      <c r="E29" s="278">
        <v>1.9976401979060725</v>
      </c>
      <c r="F29" s="278">
        <v>3.1105121456655085E-4</v>
      </c>
      <c r="G29" s="267">
        <v>2.1280742928276086</v>
      </c>
      <c r="H29" s="273">
        <v>1.0011423700418106E-2</v>
      </c>
      <c r="I29" s="273">
        <v>3.5870302459244621E-2</v>
      </c>
      <c r="J29" s="268">
        <v>2.1140096135857145</v>
      </c>
      <c r="L29" s="195" t="s">
        <v>346</v>
      </c>
      <c r="M29" s="200">
        <v>2</v>
      </c>
      <c r="N29" s="208">
        <v>1.9966969499068798</v>
      </c>
      <c r="O29" s="208">
        <v>3.1215929932989616E-4</v>
      </c>
      <c r="P29" s="205">
        <v>2.1239427371393473</v>
      </c>
      <c r="Q29" s="206">
        <v>1.0516868020947959E-2</v>
      </c>
      <c r="R29" s="206">
        <v>3.5846636599414956E-2</v>
      </c>
      <c r="S29" s="220">
        <v>2.1146351065871931</v>
      </c>
      <c r="U29" s="195" t="s">
        <v>346</v>
      </c>
      <c r="V29" s="200">
        <v>2</v>
      </c>
      <c r="W29" s="208">
        <v>1.9971396875419236</v>
      </c>
      <c r="X29" s="208">
        <v>3.1376431838192842E-4</v>
      </c>
      <c r="Y29" s="205">
        <v>2.1202022721691143</v>
      </c>
      <c r="Z29" s="206">
        <v>1.9526993718983476E-2</v>
      </c>
      <c r="AA29" s="206">
        <v>3.8708001482755466E-2</v>
      </c>
      <c r="AB29" s="220">
        <v>2.0865914848478955</v>
      </c>
      <c r="AD29" s="226" t="s">
        <v>346</v>
      </c>
      <c r="AE29" s="175">
        <v>2</v>
      </c>
      <c r="AF29" s="234">
        <v>1.9991407159416352</v>
      </c>
      <c r="AG29" s="234">
        <v>3.3526220333219333E-4</v>
      </c>
      <c r="AH29" s="176">
        <v>2.2402788220182446</v>
      </c>
      <c r="AI29" s="179">
        <v>1.0004012282560397E-2</v>
      </c>
      <c r="AJ29" s="179">
        <v>3.7509828367562961E-2</v>
      </c>
      <c r="AK29" s="227">
        <v>2.1003669119069301</v>
      </c>
    </row>
    <row r="30" spans="2:37" ht="15">
      <c r="B30" s="181" t="s">
        <v>312</v>
      </c>
      <c r="C30" s="265"/>
      <c r="D30" s="266">
        <v>3</v>
      </c>
      <c r="E30" s="279">
        <v>2.99240495134578</v>
      </c>
      <c r="F30" s="279">
        <v>4.5898182185751256E-4</v>
      </c>
      <c r="G30" s="267">
        <v>2.1438022441930769</v>
      </c>
      <c r="H30" s="273">
        <v>1.0024991310031659E-2</v>
      </c>
      <c r="I30" s="273">
        <v>3.5104989249754907E-2</v>
      </c>
      <c r="J30" s="268">
        <v>2.1316565875768618</v>
      </c>
      <c r="L30" s="195"/>
      <c r="M30" s="200">
        <v>3</v>
      </c>
      <c r="N30" s="209">
        <v>2.9909101619404797</v>
      </c>
      <c r="O30" s="209">
        <v>4.6059161325964553E-4</v>
      </c>
      <c r="P30" s="205">
        <v>2.1390674596775363</v>
      </c>
      <c r="Q30" s="206">
        <v>8.0239304762098635E-3</v>
      </c>
      <c r="R30" s="206">
        <v>3.5094528767183039E-2</v>
      </c>
      <c r="S30" s="220">
        <v>2.1319846310305781</v>
      </c>
      <c r="U30" s="195"/>
      <c r="V30" s="200">
        <v>3</v>
      </c>
      <c r="W30" s="209">
        <v>2.9919992718032309</v>
      </c>
      <c r="X30" s="209">
        <v>4.6575832498174186E-4</v>
      </c>
      <c r="Y30" s="205">
        <v>2.1288157559174028</v>
      </c>
      <c r="Z30" s="206">
        <v>1.5373599742862626E-2</v>
      </c>
      <c r="AA30" s="206">
        <v>3.6484457300433717E-2</v>
      </c>
      <c r="AB30" s="220">
        <v>2.1131226473024194</v>
      </c>
      <c r="AD30" s="226"/>
      <c r="AE30" s="175">
        <v>3</v>
      </c>
      <c r="AF30" s="235">
        <v>2.9947107122925276</v>
      </c>
      <c r="AG30" s="235">
        <v>4.9746345512619288E-4</v>
      </c>
      <c r="AH30" s="176">
        <v>2.2442019825261053</v>
      </c>
      <c r="AI30" s="179">
        <v>8.3478131104425743E-3</v>
      </c>
      <c r="AJ30" s="179">
        <v>3.5975656748749432E-2</v>
      </c>
      <c r="AK30" s="227">
        <v>2.1240365712234421</v>
      </c>
    </row>
    <row r="31" spans="2:37" ht="15">
      <c r="B31" s="181" t="s">
        <v>313</v>
      </c>
      <c r="C31" s="265"/>
      <c r="D31" s="266">
        <v>4</v>
      </c>
      <c r="E31" s="279">
        <v>3.9948503591732476</v>
      </c>
      <c r="F31" s="279">
        <v>6.094944348109285E-4</v>
      </c>
      <c r="G31" s="267">
        <v>2.1502566880753924</v>
      </c>
      <c r="H31" s="273">
        <v>-2.5031253519047585E-3</v>
      </c>
      <c r="I31" s="273">
        <v>3.5404139370542161E-2</v>
      </c>
      <c r="J31" s="268">
        <v>2.1236496118807544</v>
      </c>
      <c r="L31" s="195"/>
      <c r="M31" s="200">
        <v>4</v>
      </c>
      <c r="N31" s="209">
        <v>3.9926838546691199</v>
      </c>
      <c r="O31" s="209">
        <v>6.1159453493404153E-4</v>
      </c>
      <c r="P31" s="205">
        <v>2.1452675091545306</v>
      </c>
      <c r="Q31" s="206">
        <v>1.0017846004317487E-3</v>
      </c>
      <c r="R31" s="206">
        <v>3.7183004103493754E-2</v>
      </c>
      <c r="S31" s="220">
        <v>2.0973934381430017</v>
      </c>
      <c r="U31" s="195"/>
      <c r="V31" s="200">
        <v>4</v>
      </c>
      <c r="W31" s="209">
        <v>3.9942893757833344</v>
      </c>
      <c r="X31" s="209">
        <v>6.1976165231914882E-4</v>
      </c>
      <c r="Y31" s="205">
        <v>2.1322151744142714</v>
      </c>
      <c r="Z31" s="206">
        <v>6.2586361629119744E-3</v>
      </c>
      <c r="AA31" s="206">
        <v>3.568362095816191E-2</v>
      </c>
      <c r="AB31" s="220">
        <v>2.127798821946044</v>
      </c>
      <c r="AD31" s="226"/>
      <c r="AE31" s="175">
        <v>4</v>
      </c>
      <c r="AF31" s="235">
        <v>3.9982214264589713</v>
      </c>
      <c r="AG31" s="235">
        <v>6.611055828082544E-4</v>
      </c>
      <c r="AH31" s="176">
        <v>2.2456465252310345</v>
      </c>
      <c r="AI31" s="179">
        <v>7.5031218173023562E-4</v>
      </c>
      <c r="AJ31" s="179">
        <v>3.540694155156008E-2</v>
      </c>
      <c r="AK31" s="227">
        <v>2.1353686860843459</v>
      </c>
    </row>
    <row r="32" spans="2:37" ht="15">
      <c r="B32" s="181" t="s">
        <v>314</v>
      </c>
      <c r="C32" s="265"/>
      <c r="D32" s="266">
        <v>5</v>
      </c>
      <c r="E32" s="279">
        <v>4.9985458735091388</v>
      </c>
      <c r="F32" s="279">
        <v>7.607600128930141E-4</v>
      </c>
      <c r="G32" s="267">
        <v>2.1534305897300579</v>
      </c>
      <c r="H32" s="273">
        <v>-4.0010080788124638E-3</v>
      </c>
      <c r="I32" s="273">
        <v>3.4875705967351817E-2</v>
      </c>
      <c r="J32" s="268">
        <v>2.1382795682376323</v>
      </c>
      <c r="L32" s="195"/>
      <c r="M32" s="200">
        <v>5</v>
      </c>
      <c r="N32" s="209">
        <v>4.9959176402303997</v>
      </c>
      <c r="O32" s="209">
        <v>7.6338539829167774E-4</v>
      </c>
      <c r="P32" s="205">
        <v>2.1483155538402428</v>
      </c>
      <c r="Q32" s="206">
        <v>-3.2024620804721972E-3</v>
      </c>
      <c r="R32" s="206">
        <v>3.4820463625662913E-2</v>
      </c>
      <c r="S32" s="220">
        <v>2.1400453283892951</v>
      </c>
      <c r="U32" s="195"/>
      <c r="V32" s="200">
        <v>5</v>
      </c>
      <c r="W32" s="209">
        <v>4.9973495336239324</v>
      </c>
      <c r="X32" s="209">
        <v>7.7423011203899472E-4</v>
      </c>
      <c r="Y32" s="205">
        <v>2.1338595951357573</v>
      </c>
      <c r="Z32" s="206">
        <v>2.0009650126901781E-4</v>
      </c>
      <c r="AA32" s="206">
        <v>3.5302605812836209E-2</v>
      </c>
      <c r="AB32" s="220">
        <v>2.1359306136092173</v>
      </c>
      <c r="AD32" s="226"/>
      <c r="AE32" s="175">
        <v>5</v>
      </c>
      <c r="AF32" s="235">
        <v>5.0023721984846041</v>
      </c>
      <c r="AG32" s="235">
        <v>8.2490977980313838E-4</v>
      </c>
      <c r="AH32" s="176">
        <v>2.2463262490997358</v>
      </c>
      <c r="AI32" s="179">
        <v>-4.7975866209008372E-3</v>
      </c>
      <c r="AJ32" s="179">
        <v>3.512909782078158E-2</v>
      </c>
      <c r="AK32" s="227">
        <v>2.1412804407843291</v>
      </c>
    </row>
    <row r="33" spans="2:37" ht="15">
      <c r="B33" s="181" t="s">
        <v>315</v>
      </c>
      <c r="C33" s="265"/>
      <c r="D33" s="266">
        <v>6</v>
      </c>
      <c r="E33" s="279">
        <v>5.9926805732686006</v>
      </c>
      <c r="F33" s="279">
        <v>9.1085991498276195E-4</v>
      </c>
      <c r="G33" s="267">
        <v>2.1551939971167138</v>
      </c>
      <c r="H33" s="273">
        <v>-6.6745497870968791E-3</v>
      </c>
      <c r="I33" s="273">
        <v>3.4658707748653227E-2</v>
      </c>
      <c r="J33" s="268">
        <v>2.1455419141174596</v>
      </c>
      <c r="L33" s="195"/>
      <c r="M33" s="200">
        <v>6</v>
      </c>
      <c r="N33" s="209">
        <v>5.9896208198361593</v>
      </c>
      <c r="O33" s="209">
        <v>9.1401122345331754E-4</v>
      </c>
      <c r="P33" s="205">
        <v>2.1500085478345943</v>
      </c>
      <c r="Q33" s="206">
        <v>-6.6779005221058538E-3</v>
      </c>
      <c r="R33" s="206">
        <v>3.4622652147999707E-2</v>
      </c>
      <c r="S33" s="220">
        <v>2.1468404312534979</v>
      </c>
      <c r="U33" s="195"/>
      <c r="V33" s="200">
        <v>6</v>
      </c>
      <c r="W33" s="209">
        <v>5.9916090759160232</v>
      </c>
      <c r="X33" s="209">
        <v>9.2751369784962914E-4</v>
      </c>
      <c r="Y33" s="205">
        <v>2.1347665993283402</v>
      </c>
      <c r="Z33" s="206">
        <v>-1.1682446255066143E-3</v>
      </c>
      <c r="AA33" s="206">
        <v>3.5090094683835907E-2</v>
      </c>
      <c r="AB33" s="220">
        <v>2.1407161894182249</v>
      </c>
      <c r="AD33" s="226"/>
      <c r="AE33" s="175">
        <v>6</v>
      </c>
      <c r="AF33" s="235">
        <v>5.9974221478249055</v>
      </c>
      <c r="AG33" s="235">
        <v>9.8725756350970164E-4</v>
      </c>
      <c r="AH33" s="176">
        <v>2.2466960447621105</v>
      </c>
      <c r="AI33" s="179">
        <v>-6.1691409075789114E-3</v>
      </c>
      <c r="AJ33" s="179">
        <v>3.4970775368034598E-2</v>
      </c>
      <c r="AK33" s="227">
        <v>2.1446495311637563</v>
      </c>
    </row>
    <row r="34" spans="2:37" ht="15">
      <c r="B34" s="181" t="s">
        <v>316</v>
      </c>
      <c r="C34" s="265"/>
      <c r="D34" s="266">
        <v>7</v>
      </c>
      <c r="E34" s="279">
        <v>6.9954760109184271</v>
      </c>
      <c r="F34" s="279">
        <v>1.0624250695576382E-3</v>
      </c>
      <c r="G34" s="267">
        <v>2.1562878731526141</v>
      </c>
      <c r="H34" s="273">
        <v>0</v>
      </c>
      <c r="I34" s="273">
        <v>3.4560056732901606E-2</v>
      </c>
      <c r="J34" s="268">
        <v>2.1491220083377258</v>
      </c>
      <c r="L34" s="195"/>
      <c r="M34" s="200">
        <v>7</v>
      </c>
      <c r="N34" s="209">
        <v>6.9916345278249592</v>
      </c>
      <c r="O34" s="209">
        <v>1.0660554277853447E-3</v>
      </c>
      <c r="P34" s="205">
        <v>2.1510582450010882</v>
      </c>
      <c r="Q34" s="206">
        <v>5.7208499444325316E-4</v>
      </c>
      <c r="R34" s="206">
        <v>4.2668066599234819E-2</v>
      </c>
      <c r="S34" s="220">
        <v>2.0950468428192695</v>
      </c>
      <c r="U34" s="195"/>
      <c r="V34" s="200">
        <v>7</v>
      </c>
      <c r="W34" s="209">
        <v>6.9936991659063876</v>
      </c>
      <c r="X34" s="209">
        <v>1.0821025153710995E-3</v>
      </c>
      <c r="Y34" s="205">
        <v>2.1353261653384323</v>
      </c>
      <c r="Z34" s="206">
        <v>3.5744751581937412E-3</v>
      </c>
      <c r="AA34" s="206">
        <v>3.4956095453931135E-2</v>
      </c>
      <c r="AB34" s="220">
        <v>2.1437645736839239</v>
      </c>
      <c r="AD34" s="226"/>
      <c r="AE34" s="175">
        <v>7</v>
      </c>
      <c r="AF34" s="235">
        <v>7.0007328439103542</v>
      </c>
      <c r="AG34" s="235">
        <v>1.1509692915366554E-3</v>
      </c>
      <c r="AH34" s="176">
        <v>2.2469225469949592</v>
      </c>
      <c r="AI34" s="179">
        <v>-2.8567621023052424E-4</v>
      </c>
      <c r="AJ34" s="179">
        <v>3.4869145051625632E-2</v>
      </c>
      <c r="AK34" s="227">
        <v>2.1467522632439726</v>
      </c>
    </row>
    <row r="35" spans="2:37" ht="15">
      <c r="B35" s="181" t="s">
        <v>317</v>
      </c>
      <c r="C35" s="265"/>
      <c r="D35" s="266">
        <v>8</v>
      </c>
      <c r="E35" s="279">
        <v>7.9895507055654837</v>
      </c>
      <c r="F35" s="279">
        <v>1.2127696474019361E-3</v>
      </c>
      <c r="G35" s="267">
        <v>2.1570005109385626</v>
      </c>
      <c r="H35" s="273">
        <v>8.7611032281235679E-3</v>
      </c>
      <c r="I35" s="273">
        <v>3.4633179128241015E-2</v>
      </c>
      <c r="J35" s="268">
        <v>2.1464509929573063</v>
      </c>
      <c r="L35" s="195"/>
      <c r="M35" s="200">
        <v>8</v>
      </c>
      <c r="N35" s="209">
        <v>7.98518769789312</v>
      </c>
      <c r="O35" s="209">
        <v>1.2169140749488327E-3</v>
      </c>
      <c r="P35" s="205">
        <v>2.1517422389969507</v>
      </c>
      <c r="Q35" s="206">
        <v>1.0518975430240945E-2</v>
      </c>
      <c r="R35" s="206">
        <v>3.4581629149244515E-2</v>
      </c>
      <c r="S35" s="220">
        <v>2.1483081594436024</v>
      </c>
      <c r="U35" s="195"/>
      <c r="V35" s="200">
        <v>8</v>
      </c>
      <c r="W35" s="209">
        <v>7.9878386998046347</v>
      </c>
      <c r="X35" s="209">
        <v>1.2355257045789326E-3</v>
      </c>
      <c r="Y35" s="205">
        <v>2.1356899444743953</v>
      </c>
      <c r="Z35" s="206">
        <v>1.3394722258643391E-2</v>
      </c>
      <c r="AA35" s="206">
        <v>3.4866764657006492E-2</v>
      </c>
      <c r="AB35" s="220">
        <v>2.1457716940280727</v>
      </c>
      <c r="AD35" s="226"/>
      <c r="AE35" s="175">
        <v>8</v>
      </c>
      <c r="AF35" s="235">
        <v>7.9956327796899078</v>
      </c>
      <c r="AG35" s="235">
        <v>1.3133186304642333E-3</v>
      </c>
      <c r="AH35" s="176">
        <v>2.2470690297242397</v>
      </c>
      <c r="AI35" s="179">
        <v>9.7550465896618019E-3</v>
      </c>
      <c r="AJ35" s="179">
        <v>3.4800461607960041E-2</v>
      </c>
      <c r="AK35" s="227">
        <v>2.1481129701335027</v>
      </c>
    </row>
    <row r="36" spans="2:37" ht="15">
      <c r="B36" s="181" t="s">
        <v>318</v>
      </c>
      <c r="C36" s="265"/>
      <c r="D36" s="266">
        <v>9</v>
      </c>
      <c r="E36" s="279">
        <v>8.9917460920912671</v>
      </c>
      <c r="F36" s="279">
        <v>1.3644078268093714E-3</v>
      </c>
      <c r="G36" s="267">
        <v>2.1574975331450812</v>
      </c>
      <c r="H36" s="273">
        <v>2.1129668372002208E-2</v>
      </c>
      <c r="I36" s="273">
        <v>3.4552389007754272E-2</v>
      </c>
      <c r="J36" s="268">
        <v>2.1493871656913162</v>
      </c>
      <c r="L36" s="195"/>
      <c r="M36" s="200">
        <v>9</v>
      </c>
      <c r="N36" s="209">
        <v>8.9867213753615989</v>
      </c>
      <c r="O36" s="209">
        <v>1.3690504001406109E-3</v>
      </c>
      <c r="P36" s="205">
        <v>2.1522191904309667</v>
      </c>
      <c r="Q36" s="206">
        <v>2.2253995828590258E-2</v>
      </c>
      <c r="R36" s="206">
        <v>3.4541387376746398E-2</v>
      </c>
      <c r="S36" s="220">
        <v>2.1497983621787911</v>
      </c>
      <c r="U36" s="195"/>
      <c r="V36" s="200">
        <v>9</v>
      </c>
      <c r="W36" s="209">
        <v>8.9898887869970512</v>
      </c>
      <c r="X36" s="209">
        <v>1.3902106545487232E-3</v>
      </c>
      <c r="Y36" s="205">
        <v>2.1359430911851756</v>
      </c>
      <c r="Z36" s="206">
        <v>2.4248305563683716E-2</v>
      </c>
      <c r="AA36" s="206">
        <v>3.480305507695701E-2</v>
      </c>
      <c r="AB36" s="220">
        <v>2.1471660173676579</v>
      </c>
      <c r="AD36" s="226"/>
      <c r="AE36" s="175">
        <v>9</v>
      </c>
      <c r="AF36" s="235">
        <v>8.9988334658308098</v>
      </c>
      <c r="AG36" s="235">
        <v>1.4770292190093837E-3</v>
      </c>
      <c r="AH36" s="176">
        <v>2.247170682097114</v>
      </c>
      <c r="AI36" s="179">
        <v>2.2002222920624166E-2</v>
      </c>
      <c r="AJ36" s="179">
        <v>3.4750900213838747E-2</v>
      </c>
      <c r="AK36" s="227">
        <v>2.1490430200971198</v>
      </c>
    </row>
    <row r="37" spans="2:37" ht="15">
      <c r="B37" s="181" t="s">
        <v>43</v>
      </c>
      <c r="C37" s="265"/>
      <c r="D37" s="266" t="s">
        <v>347</v>
      </c>
      <c r="E37" s="279">
        <v>9.9858907927027953</v>
      </c>
      <c r="F37" s="279">
        <v>1.5148733399660119E-3</v>
      </c>
      <c r="G37" s="267">
        <v>2.157852436736174</v>
      </c>
      <c r="H37" s="273">
        <v>3.4046715334226062E-2</v>
      </c>
      <c r="I37" s="273">
        <v>3.4530786952490691E-2</v>
      </c>
      <c r="J37" s="268">
        <v>2.1501945422902744</v>
      </c>
      <c r="L37" s="195"/>
      <c r="M37" s="200" t="s">
        <v>347</v>
      </c>
      <c r="N37" s="209">
        <v>9.9802945467014403</v>
      </c>
      <c r="O37" s="209">
        <v>1.5200233216949724E-3</v>
      </c>
      <c r="P37" s="205">
        <v>2.1525597803080769</v>
      </c>
      <c r="Q37" s="206">
        <v>3.6069359107139452E-2</v>
      </c>
      <c r="R37" s="206">
        <v>3.452471916655539E-2</v>
      </c>
      <c r="S37" s="220">
        <v>2.1504234571835488</v>
      </c>
      <c r="U37" s="195"/>
      <c r="V37" s="200" t="s">
        <v>347</v>
      </c>
      <c r="W37" s="209">
        <v>9.9840383215947863</v>
      </c>
      <c r="X37" s="209">
        <v>1.543704499888891E-3</v>
      </c>
      <c r="Y37" s="205">
        <v>2.1361236235959833</v>
      </c>
      <c r="Z37" s="206">
        <v>3.9461101538710006E-2</v>
      </c>
      <c r="AA37" s="206">
        <v>3.4756622523482834E-2</v>
      </c>
      <c r="AB37" s="220">
        <v>2.1481457202437229</v>
      </c>
      <c r="AD37" s="226"/>
      <c r="AE37" s="175" t="s">
        <v>347</v>
      </c>
      <c r="AF37" s="235">
        <v>9.9937734052265625</v>
      </c>
      <c r="AG37" s="235">
        <v>1.6393964182611523E-3</v>
      </c>
      <c r="AH37" s="176">
        <v>2.2472429893631318</v>
      </c>
      <c r="AI37" s="179">
        <v>3.632157829743575E-2</v>
      </c>
      <c r="AJ37" s="179">
        <v>3.4714468823970369E-2</v>
      </c>
      <c r="AK37" s="227">
        <v>2.1496838409970422</v>
      </c>
    </row>
    <row r="38" spans="2:37" ht="15">
      <c r="B38" s="83"/>
      <c r="C38" s="265"/>
      <c r="D38" s="274"/>
      <c r="E38" s="274"/>
      <c r="F38" s="274"/>
      <c r="G38" s="275"/>
      <c r="H38" s="274"/>
      <c r="I38" s="274"/>
      <c r="J38" s="276"/>
      <c r="L38" s="195"/>
      <c r="M38" s="202"/>
      <c r="N38" s="202"/>
      <c r="O38" s="202"/>
      <c r="P38" s="215"/>
      <c r="Q38" s="202"/>
      <c r="R38" s="202"/>
      <c r="S38" s="222"/>
      <c r="U38" s="195"/>
      <c r="V38" s="202"/>
      <c r="W38" s="202"/>
      <c r="X38" s="202"/>
      <c r="Y38" s="215"/>
      <c r="Z38" s="202"/>
      <c r="AA38" s="202"/>
      <c r="AB38" s="222"/>
      <c r="AD38" s="226"/>
      <c r="AE38" s="231"/>
      <c r="AF38" s="231"/>
      <c r="AG38" s="231"/>
      <c r="AH38" s="232"/>
      <c r="AI38" s="231"/>
      <c r="AJ38" s="231"/>
      <c r="AK38" s="233"/>
    </row>
    <row r="39" spans="2:37" ht="15">
      <c r="B39" s="181" t="s">
        <v>302</v>
      </c>
      <c r="C39" s="265" t="s">
        <v>430</v>
      </c>
      <c r="D39" s="266">
        <v>1</v>
      </c>
      <c r="E39" s="278">
        <f>0.01001*1000</f>
        <v>10.01</v>
      </c>
      <c r="F39" s="280">
        <f>0.000009*1000</f>
        <v>9.0000000000000011E-3</v>
      </c>
      <c r="G39" s="267">
        <v>2.1351585277221945</v>
      </c>
      <c r="H39" s="277">
        <v>2.99693053734751E-2</v>
      </c>
      <c r="I39" s="277">
        <v>0.256395978363955</v>
      </c>
      <c r="J39" s="268">
        <v>2.2484967486200942</v>
      </c>
      <c r="L39" s="195" t="s">
        <v>432</v>
      </c>
      <c r="M39" s="200">
        <v>1</v>
      </c>
      <c r="N39" s="208">
        <v>10.005836</v>
      </c>
      <c r="O39" s="210">
        <v>1.7080000000000001E-3</v>
      </c>
      <c r="P39" s="205">
        <v>2.0752028533136793</v>
      </c>
      <c r="Q39" s="207">
        <v>3.6976654893246488E-2</v>
      </c>
      <c r="R39" s="207">
        <v>4.0658022413615186E-2</v>
      </c>
      <c r="S39" s="220">
        <v>2.0748616621658509</v>
      </c>
      <c r="U39" s="195" t="s">
        <v>349</v>
      </c>
      <c r="V39" s="200">
        <v>1</v>
      </c>
      <c r="W39" s="208">
        <v>10.0116</v>
      </c>
      <c r="X39" s="210">
        <v>1.6999999999999999E-3</v>
      </c>
      <c r="Y39" s="205">
        <v>2.0885054293286829</v>
      </c>
      <c r="Z39" s="207">
        <v>4.0950534807552334E-2</v>
      </c>
      <c r="AA39" s="207">
        <v>4.8840005989845496E-2</v>
      </c>
      <c r="AB39" s="220">
        <v>2.0674174985618916</v>
      </c>
      <c r="AD39" s="226" t="s">
        <v>442</v>
      </c>
      <c r="AE39" s="175">
        <v>1</v>
      </c>
      <c r="AF39" s="235">
        <v>10.021205885035201</v>
      </c>
      <c r="AG39" s="235">
        <v>1.6624077829409626E-3</v>
      </c>
      <c r="AH39" s="176">
        <v>2.220221936632067</v>
      </c>
      <c r="AI39" s="179">
        <v>4.0912070301598963E-2</v>
      </c>
      <c r="AJ39" s="179">
        <v>4.4109422790355936E-2</v>
      </c>
      <c r="AK39" s="227">
        <v>2.0612371722288789</v>
      </c>
    </row>
    <row r="40" spans="2:37" ht="15">
      <c r="B40" s="181" t="s">
        <v>303</v>
      </c>
      <c r="C40" s="265" t="s">
        <v>346</v>
      </c>
      <c r="D40" s="266">
        <v>2</v>
      </c>
      <c r="E40" s="280">
        <f>0.0200017041347912*1000</f>
        <v>20.001704134791201</v>
      </c>
      <c r="F40" s="280">
        <f>9.41146875959135E-06*1000</f>
        <v>9.4114687595913491E-3</v>
      </c>
      <c r="G40" s="267">
        <v>2.110718107230027</v>
      </c>
      <c r="H40" s="277">
        <v>3.9995036997748312E-2</v>
      </c>
      <c r="I40" s="277">
        <v>0.13040621939903219</v>
      </c>
      <c r="J40" s="268">
        <v>2.2151769651875965</v>
      </c>
      <c r="L40" s="195" t="s">
        <v>346</v>
      </c>
      <c r="M40" s="200">
        <v>2</v>
      </c>
      <c r="N40" s="210">
        <v>19.994771266703999</v>
      </c>
      <c r="O40" s="210">
        <v>3.1296410120622113E-3</v>
      </c>
      <c r="P40" s="205">
        <v>2.1228856445451076</v>
      </c>
      <c r="Q40" s="207">
        <v>2.6505665502787351E-2</v>
      </c>
      <c r="R40" s="207">
        <v>3.59449051017545E-2</v>
      </c>
      <c r="S40" s="220">
        <v>2.1125235406433358</v>
      </c>
      <c r="U40" s="195" t="s">
        <v>346</v>
      </c>
      <c r="V40" s="200">
        <v>2</v>
      </c>
      <c r="W40" s="209">
        <v>20.000498910926233</v>
      </c>
      <c r="X40" s="209">
        <v>3.1444756079831537E-3</v>
      </c>
      <c r="Y40" s="205">
        <v>2.1195846280131776</v>
      </c>
      <c r="Z40" s="207">
        <v>2.9497852800193833E-2</v>
      </c>
      <c r="AA40" s="207">
        <v>3.8050550586521951E-2</v>
      </c>
      <c r="AB40" s="220">
        <v>2.0844080100876687</v>
      </c>
      <c r="AD40" s="226" t="s">
        <v>346</v>
      </c>
      <c r="AE40" s="175">
        <v>2</v>
      </c>
      <c r="AF40" s="235">
        <v>20.020709808282309</v>
      </c>
      <c r="AG40" s="235">
        <v>3.2844668216827802E-3</v>
      </c>
      <c r="AH40" s="176">
        <v>2.2399821129277853</v>
      </c>
      <c r="AI40" s="179">
        <v>2.946864221182155E-2</v>
      </c>
      <c r="AJ40" s="179">
        <v>3.6828452785982208E-2</v>
      </c>
      <c r="AK40" s="227">
        <v>2.097996701581426</v>
      </c>
    </row>
    <row r="41" spans="2:37" ht="15">
      <c r="B41" s="181" t="s">
        <v>304</v>
      </c>
      <c r="C41" s="265"/>
      <c r="D41" s="266">
        <v>3</v>
      </c>
      <c r="E41" s="280">
        <f>0.0300115569690475*1000</f>
        <v>30.011556969047501</v>
      </c>
      <c r="F41" s="280">
        <f>9.86066487979601E-06*1000</f>
        <v>9.8606648797960102E-3</v>
      </c>
      <c r="G41" s="267">
        <v>2.0844930430551152</v>
      </c>
      <c r="H41" s="277">
        <v>2.6655361390081848E-2</v>
      </c>
      <c r="I41" s="277">
        <v>8.9258707498885259E-2</v>
      </c>
      <c r="J41" s="268">
        <v>2.1739002231017399</v>
      </c>
      <c r="L41" s="195"/>
      <c r="M41" s="200">
        <v>3</v>
      </c>
      <c r="N41" s="210">
        <v>30.000407424623997</v>
      </c>
      <c r="O41" s="210">
        <v>4.6213425936250958E-3</v>
      </c>
      <c r="P41" s="205">
        <v>2.1387381791265323</v>
      </c>
      <c r="Q41" s="207">
        <v>1.7998896960205783E-2</v>
      </c>
      <c r="R41" s="207">
        <v>3.5201613133966053E-2</v>
      </c>
      <c r="S41" s="220">
        <v>2.1287924629251882</v>
      </c>
      <c r="U41" s="195"/>
      <c r="V41" s="200">
        <v>3</v>
      </c>
      <c r="W41" s="209">
        <v>30.011899146317283</v>
      </c>
      <c r="X41" s="209">
        <v>4.6727309106092754E-3</v>
      </c>
      <c r="Y41" s="205">
        <v>2.1286336389821199</v>
      </c>
      <c r="Z41" s="207">
        <v>2.0990669601597071E-2</v>
      </c>
      <c r="AA41" s="207">
        <v>3.6078865515880978E-2</v>
      </c>
      <c r="AB41" s="220">
        <v>2.1100020208670807</v>
      </c>
      <c r="AD41" s="226"/>
      <c r="AE41" s="175">
        <v>3</v>
      </c>
      <c r="AF41" s="235">
        <v>30.041615666196012</v>
      </c>
      <c r="AG41" s="235">
        <v>4.9170021569003262E-3</v>
      </c>
      <c r="AH41" s="176">
        <v>2.2441238967691435</v>
      </c>
      <c r="AI41" s="179">
        <v>2.063744784804886E-2</v>
      </c>
      <c r="AJ41" s="179">
        <v>3.5565494415031283E-2</v>
      </c>
      <c r="AK41" s="227">
        <v>2.1207634693028763</v>
      </c>
    </row>
    <row r="42" spans="2:37" ht="15">
      <c r="B42" s="181" t="s">
        <v>305</v>
      </c>
      <c r="C42" s="265"/>
      <c r="D42" s="266">
        <v>4</v>
      </c>
      <c r="E42" s="280">
        <f>0.0400154092920633*1000</f>
        <v>40.015409292063296</v>
      </c>
      <c r="F42" s="280">
        <f>0.0000104987403955649*1000</f>
        <v>1.0498740395564901E-2</v>
      </c>
      <c r="G42" s="267">
        <v>2.0652358619948092</v>
      </c>
      <c r="H42" s="277">
        <v>4.2481982215442957E-2</v>
      </c>
      <c r="I42" s="277">
        <v>6.9652616691876987E-2</v>
      </c>
      <c r="J42" s="268">
        <v>2.1356288357311652</v>
      </c>
      <c r="L42" s="195"/>
      <c r="M42" s="200">
        <v>4</v>
      </c>
      <c r="N42" s="210">
        <v>40.001043264623995</v>
      </c>
      <c r="O42" s="210">
        <v>6.1281071079481737E-3</v>
      </c>
      <c r="P42" s="205">
        <v>2.1451102946026119</v>
      </c>
      <c r="Q42" s="207">
        <v>1.1749133088627149E-2</v>
      </c>
      <c r="R42" s="207">
        <v>3.504448937566737E-2</v>
      </c>
      <c r="S42" s="220">
        <v>2.133083192919051</v>
      </c>
      <c r="U42" s="195"/>
      <c r="V42" s="200">
        <v>4</v>
      </c>
      <c r="W42" s="206">
        <v>40.012898654241923</v>
      </c>
      <c r="X42" s="206">
        <v>6.2089767369026376E-3</v>
      </c>
      <c r="Y42" s="205">
        <v>2.1321289565259476</v>
      </c>
      <c r="Z42" s="207">
        <v>1.549426205986976E-2</v>
      </c>
      <c r="AA42" s="207">
        <v>3.5474519452757529E-2</v>
      </c>
      <c r="AB42" s="220">
        <v>2.1224974908288043</v>
      </c>
      <c r="AD42" s="226"/>
      <c r="AE42" s="175">
        <v>4</v>
      </c>
      <c r="AF42" s="179">
        <v>40.053020665262395</v>
      </c>
      <c r="AG42" s="179">
        <v>6.5495271887414481E-3</v>
      </c>
      <c r="AH42" s="176">
        <v>2.2456107484703618</v>
      </c>
      <c r="AI42" s="179">
        <v>1.5229377268238262E-2</v>
      </c>
      <c r="AJ42" s="179">
        <v>3.5195614552460765E-2</v>
      </c>
      <c r="AK42" s="227">
        <v>2.129803351023869</v>
      </c>
    </row>
    <row r="43" spans="2:37" ht="15">
      <c r="B43" s="181" t="s">
        <v>306</v>
      </c>
      <c r="C43" s="265"/>
      <c r="D43" s="266">
        <v>5</v>
      </c>
      <c r="E43" s="280">
        <f>0.0500142611890455*1000</f>
        <v>50.014261189045499</v>
      </c>
      <c r="F43" s="280">
        <f>0.0000113105078928091*1000</f>
        <v>1.13105078928091E-2</v>
      </c>
      <c r="G43" s="267">
        <v>2.0552782299028385</v>
      </c>
      <c r="H43" s="277">
        <v>3.3988983651355796E-2</v>
      </c>
      <c r="I43" s="277">
        <v>5.8700099579989271E-2</v>
      </c>
      <c r="J43" s="268">
        <v>2.1058737982825098</v>
      </c>
      <c r="L43" s="195"/>
      <c r="M43" s="200">
        <v>5</v>
      </c>
      <c r="N43" s="210">
        <v>49.995778729478396</v>
      </c>
      <c r="O43" s="210">
        <v>7.6400034366144488E-3</v>
      </c>
      <c r="P43" s="205">
        <v>2.1482236841073363</v>
      </c>
      <c r="Q43" s="207">
        <v>8.6003158651967622E-3</v>
      </c>
      <c r="R43" s="207">
        <v>3.5078205094771553E-2</v>
      </c>
      <c r="S43" s="220">
        <v>2.132314390329265</v>
      </c>
      <c r="U43" s="195"/>
      <c r="V43" s="200">
        <v>5</v>
      </c>
      <c r="W43" s="206">
        <v>50.023598840668896</v>
      </c>
      <c r="X43" s="206">
        <v>7.7503979173590863E-3</v>
      </c>
      <c r="Y43" s="205">
        <v>2.1338119030085054</v>
      </c>
      <c r="Z43" s="207">
        <v>1.15939729382377E-2</v>
      </c>
      <c r="AA43" s="207">
        <v>3.5264630964172858E-2</v>
      </c>
      <c r="AB43" s="220">
        <v>2.1276217195816929</v>
      </c>
      <c r="AD43" s="226"/>
      <c r="AE43" s="175">
        <v>5</v>
      </c>
      <c r="AF43" s="179">
        <v>50.069326107313188</v>
      </c>
      <c r="AG43" s="179">
        <v>8.1834428707813905E-3</v>
      </c>
      <c r="AH43" s="176">
        <v>2.2463065400605888</v>
      </c>
      <c r="AI43" s="179">
        <v>1.0784737991430447E-2</v>
      </c>
      <c r="AJ43" s="179">
        <v>3.5089765968379337E-2</v>
      </c>
      <c r="AK43" s="227">
        <v>2.1326330483656957</v>
      </c>
    </row>
    <row r="44" spans="2:37" ht="15">
      <c r="B44" s="181" t="s">
        <v>307</v>
      </c>
      <c r="C44" s="265"/>
      <c r="D44" s="266">
        <v>6</v>
      </c>
      <c r="E44" s="280">
        <f>0.0600241140233018*1000</f>
        <v>60.024114023301799</v>
      </c>
      <c r="F44" s="280">
        <f>0.0000122697963127539*1000</f>
        <v>1.22697963127539E-2</v>
      </c>
      <c r="G44" s="267">
        <v>2.0531101311035003</v>
      </c>
      <c r="H44" s="277">
        <v>2.8320849604363676E-2</v>
      </c>
      <c r="I44" s="277">
        <v>5.2033096406282175E-2</v>
      </c>
      <c r="J44" s="268">
        <v>2.08551098624711</v>
      </c>
      <c r="L44" s="195"/>
      <c r="M44" s="200">
        <v>6</v>
      </c>
      <c r="N44" s="210">
        <v>60.001314881039995</v>
      </c>
      <c r="O44" s="210">
        <v>9.1564734010971625E-3</v>
      </c>
      <c r="P44" s="205">
        <v>2.1499632124902361</v>
      </c>
      <c r="Q44" s="207">
        <v>0</v>
      </c>
      <c r="R44" s="207">
        <v>3.4601307027454509E-2</v>
      </c>
      <c r="S44" s="220">
        <v>2.1476269843891016</v>
      </c>
      <c r="U44" s="195"/>
      <c r="V44" s="200">
        <v>6</v>
      </c>
      <c r="W44" s="206">
        <v>60.034799062070206</v>
      </c>
      <c r="X44" s="206">
        <v>9.2937056073533874E-3</v>
      </c>
      <c r="Y44" s="205">
        <v>2.134743364471122</v>
      </c>
      <c r="Z44" s="207">
        <v>5.4965489526611951E-3</v>
      </c>
      <c r="AA44" s="207">
        <v>3.5220410834392327E-2</v>
      </c>
      <c r="AB44" s="220">
        <v>2.1288151860648461</v>
      </c>
      <c r="AD44" s="226"/>
      <c r="AE44" s="175">
        <v>6</v>
      </c>
      <c r="AF44" s="179">
        <v>60.090131956186404</v>
      </c>
      <c r="AG44" s="179">
        <v>9.8183838004512903E-3</v>
      </c>
      <c r="AH44" s="176">
        <v>2.2466865645868932</v>
      </c>
      <c r="AI44" s="179">
        <v>4.8259456348959144E-3</v>
      </c>
      <c r="AJ44" s="179">
        <v>3.5100549639919813E-2</v>
      </c>
      <c r="AK44" s="227">
        <v>2.1323600945813834</v>
      </c>
    </row>
    <row r="45" spans="2:37" ht="15">
      <c r="B45" s="181" t="s">
        <v>308</v>
      </c>
      <c r="C45" s="265"/>
      <c r="D45" s="266">
        <v>7</v>
      </c>
      <c r="E45" s="280">
        <f>0.0700159653238367*1000</f>
        <v>70.01596532383671</v>
      </c>
      <c r="F45" s="280">
        <f>0.0000133440543031849*1000</f>
        <v>1.33440543031849E-2</v>
      </c>
      <c r="G45" s="267">
        <v>2.0561477387954339</v>
      </c>
      <c r="H45" s="273">
        <v>3.2848373480510326E-2</v>
      </c>
      <c r="I45" s="273">
        <v>4.7773418769283094E-2</v>
      </c>
      <c r="J45" s="268">
        <v>2.0730963564171927</v>
      </c>
      <c r="L45" s="195"/>
      <c r="M45" s="200">
        <v>7</v>
      </c>
      <c r="N45" s="210">
        <v>69.989949958031985</v>
      </c>
      <c r="O45" s="210">
        <v>1.0672034956781354E-2</v>
      </c>
      <c r="P45" s="205">
        <v>2.1510266839481553</v>
      </c>
      <c r="Q45" s="206">
        <v>1.1572538107052175E-2</v>
      </c>
      <c r="R45" s="206">
        <v>3.5239241749614909E-2</v>
      </c>
      <c r="S45" s="220">
        <v>2.1286152885260328</v>
      </c>
      <c r="U45" s="195"/>
      <c r="V45" s="200">
        <v>7</v>
      </c>
      <c r="W45" s="206">
        <v>70.02339770263103</v>
      </c>
      <c r="X45" s="206">
        <v>1.0834549366309686E-2</v>
      </c>
      <c r="Y45" s="205">
        <v>2.1353099509051012</v>
      </c>
      <c r="Z45" s="206">
        <v>1.5851085937199787E-2</v>
      </c>
      <c r="AA45" s="206">
        <v>3.5266401899229707E-2</v>
      </c>
      <c r="AB45" s="220">
        <v>2.1277828489650479</v>
      </c>
      <c r="AD45" s="226"/>
      <c r="AE45" s="175">
        <v>7</v>
      </c>
      <c r="AF45" s="179">
        <v>70.089335852312004</v>
      </c>
      <c r="AG45" s="179">
        <v>1.1449964695501379E-2</v>
      </c>
      <c r="AH45" s="176">
        <v>2.2469159449117</v>
      </c>
      <c r="AI45" s="179">
        <v>1.4980452757419259E-2</v>
      </c>
      <c r="AJ45" s="179">
        <v>3.5179227273623652E-2</v>
      </c>
      <c r="AK45" s="227">
        <v>2.1303650500211537</v>
      </c>
    </row>
    <row r="46" spans="2:37" ht="15">
      <c r="B46" s="181" t="s">
        <v>309</v>
      </c>
      <c r="C46" s="265"/>
      <c r="D46" s="266">
        <v>8</v>
      </c>
      <c r="E46" s="280">
        <f>0.0800248180728863*1000</f>
        <v>80.024818072886305</v>
      </c>
      <c r="F46" s="280">
        <f>0.0000145107410366389*1000</f>
        <v>1.4510741036638901E-2</v>
      </c>
      <c r="G46" s="267">
        <v>2.0621232965672465</v>
      </c>
      <c r="H46" s="273">
        <v>2.4991275086698191E-2</v>
      </c>
      <c r="I46" s="273">
        <v>4.495094985730376E-2</v>
      </c>
      <c r="J46" s="268">
        <v>2.0663909133612317</v>
      </c>
      <c r="L46" s="195"/>
      <c r="M46" s="200">
        <v>8</v>
      </c>
      <c r="N46" s="210">
        <v>79.995186090518388</v>
      </c>
      <c r="O46" s="210">
        <v>1.2191141288725459E-2</v>
      </c>
      <c r="P46" s="205">
        <v>2.1517248561478035</v>
      </c>
      <c r="Q46" s="206">
        <v>2.1250265085657277E-2</v>
      </c>
      <c r="R46" s="206">
        <v>3.532721379145843E-2</v>
      </c>
      <c r="S46" s="220">
        <v>2.1267153928579097</v>
      </c>
      <c r="U46" s="195"/>
      <c r="V46" s="200">
        <v>8</v>
      </c>
      <c r="W46" s="206">
        <v>80.034497917037484</v>
      </c>
      <c r="X46" s="206">
        <v>1.2379499576817006E-2</v>
      </c>
      <c r="Y46" s="205">
        <v>2.1356811070939781</v>
      </c>
      <c r="Z46" s="206">
        <v>2.5362848923174041E-2</v>
      </c>
      <c r="AA46" s="206">
        <v>3.5372798865902416E-2</v>
      </c>
      <c r="AB46" s="220">
        <v>2.1254192375250547</v>
      </c>
      <c r="AD46" s="226"/>
      <c r="AE46" s="175">
        <v>8</v>
      </c>
      <c r="AF46" s="179">
        <v>80.109941683104225</v>
      </c>
      <c r="AG46" s="179">
        <v>1.3085140229055166E-2</v>
      </c>
      <c r="AH46" s="176">
        <v>2.247065459453256</v>
      </c>
      <c r="AI46" s="179">
        <v>2.434085228405317E-2</v>
      </c>
      <c r="AJ46" s="179">
        <v>3.5306838250745425E-2</v>
      </c>
      <c r="AK46" s="227">
        <v>2.1273440883020731</v>
      </c>
    </row>
    <row r="47" spans="2:37" ht="15">
      <c r="B47" s="181" t="s">
        <v>310</v>
      </c>
      <c r="C47" s="265"/>
      <c r="D47" s="266">
        <v>9</v>
      </c>
      <c r="E47" s="280">
        <f>0.0900276703106953*1000</f>
        <v>90.027670310695314</v>
      </c>
      <c r="F47" s="280">
        <f>0.0000157461269271074*1000</f>
        <v>1.57461269271074E-2</v>
      </c>
      <c r="G47" s="267">
        <v>2.0694298882468956</v>
      </c>
      <c r="H47" s="273">
        <v>2.7768160546092758E-2</v>
      </c>
      <c r="I47" s="273">
        <v>4.3048324240730663E-2</v>
      </c>
      <c r="J47" s="268">
        <v>2.0634096315816302</v>
      </c>
      <c r="L47" s="195"/>
      <c r="M47" s="200">
        <v>9</v>
      </c>
      <c r="N47" s="210">
        <v>89.995721924159994</v>
      </c>
      <c r="O47" s="210">
        <v>1.3710214169463702E-2</v>
      </c>
      <c r="P47" s="205">
        <v>2.1522063189502747</v>
      </c>
      <c r="Q47" s="206">
        <v>3.3222216712918563E-2</v>
      </c>
      <c r="R47" s="206">
        <v>3.5481823377305426E-2</v>
      </c>
      <c r="S47" s="220">
        <v>2.1234915021042906</v>
      </c>
      <c r="U47" s="195"/>
      <c r="V47" s="200">
        <v>9</v>
      </c>
      <c r="W47" s="206">
        <v>90.03519740397752</v>
      </c>
      <c r="X47" s="206">
        <v>1.3923266569799021E-2</v>
      </c>
      <c r="Y47" s="205">
        <v>2.1359364374481884</v>
      </c>
      <c r="Z47" s="206">
        <v>3.8649701535925257E-2</v>
      </c>
      <c r="AA47" s="206">
        <v>3.5525826975780765E-2</v>
      </c>
      <c r="AB47" s="220">
        <v>2.122260627769518</v>
      </c>
      <c r="AD47" s="226"/>
      <c r="AE47" s="175">
        <v>9</v>
      </c>
      <c r="AF47" s="179">
        <v>90.120946646008619</v>
      </c>
      <c r="AG47" s="179">
        <v>1.471881715333536E-2</v>
      </c>
      <c r="AH47" s="176">
        <v>2.2471679918637188</v>
      </c>
      <c r="AI47" s="179">
        <v>3.7947917355706691E-2</v>
      </c>
      <c r="AJ47" s="179">
        <v>3.5474510160420067E-2</v>
      </c>
      <c r="AK47" s="227">
        <v>2.1237234174391766</v>
      </c>
    </row>
    <row r="48" spans="2:37" ht="15">
      <c r="B48" s="181" t="s">
        <v>40</v>
      </c>
      <c r="C48" s="265"/>
      <c r="D48" s="266" t="s">
        <v>347</v>
      </c>
      <c r="E48" s="280">
        <f>0.100037523144952*1000</f>
        <v>100.037523144952</v>
      </c>
      <c r="F48" s="280">
        <f>0.0000170354935857927*1000</f>
        <v>1.7035493585792701E-2</v>
      </c>
      <c r="G48" s="267">
        <v>2.0770870650467534</v>
      </c>
      <c r="H48" s="273">
        <v>3.9983441799626422E-2</v>
      </c>
      <c r="I48" s="273">
        <v>4.1754374106286428E-2</v>
      </c>
      <c r="J48" s="268">
        <v>2.0626214825518496</v>
      </c>
      <c r="L48" s="195"/>
      <c r="M48" s="200" t="s">
        <v>347</v>
      </c>
      <c r="N48" s="210">
        <v>100.00115806936319</v>
      </c>
      <c r="O48" s="210">
        <v>1.5230505854501588E-2</v>
      </c>
      <c r="P48" s="205">
        <v>2.1525524003221514</v>
      </c>
      <c r="Q48" s="206">
        <v>4.8897101207651415E-2</v>
      </c>
      <c r="R48" s="206">
        <v>3.5678811925941717E-2</v>
      </c>
      <c r="S48" s="220">
        <v>2.1197540302271665</v>
      </c>
      <c r="U48" s="195"/>
      <c r="V48" s="200" t="s">
        <v>347</v>
      </c>
      <c r="W48" s="206">
        <v>100.04569757641474</v>
      </c>
      <c r="X48" s="206">
        <v>1.5468841246457379E-2</v>
      </c>
      <c r="Y48" s="205">
        <v>2.1361198288869407</v>
      </c>
      <c r="Z48" s="206">
        <v>5.4672399042788582E-2</v>
      </c>
      <c r="AA48" s="206">
        <v>3.5719193315832086E-2</v>
      </c>
      <c r="AB48" s="220">
        <v>2.1186497287357486</v>
      </c>
      <c r="AD48" s="226"/>
      <c r="AE48" s="175" t="s">
        <v>347</v>
      </c>
      <c r="AF48" s="179">
        <v>100.14175249488183</v>
      </c>
      <c r="AG48" s="179">
        <v>1.6354141053257699E-2</v>
      </c>
      <c r="AH48" s="176">
        <v>2.2472414688707678</v>
      </c>
      <c r="AI48" s="179">
        <v>5.3322886976548432E-2</v>
      </c>
      <c r="AJ48" s="179">
        <v>3.5678539259417753E-2</v>
      </c>
      <c r="AK48" s="227">
        <v>2.1197785286802198</v>
      </c>
    </row>
    <row r="49" spans="2:37" ht="15">
      <c r="B49" s="181"/>
      <c r="C49" s="265"/>
      <c r="D49" s="274"/>
      <c r="E49" s="274"/>
      <c r="F49" s="274"/>
      <c r="G49" s="275"/>
      <c r="H49" s="275"/>
      <c r="I49" s="281"/>
      <c r="J49" s="276"/>
      <c r="L49" s="195"/>
      <c r="M49" s="202"/>
      <c r="N49" s="202"/>
      <c r="O49" s="202"/>
      <c r="P49" s="215"/>
      <c r="Q49" s="215"/>
      <c r="R49" s="218"/>
      <c r="S49" s="222"/>
      <c r="U49" s="195"/>
      <c r="V49" s="202"/>
      <c r="W49" s="202"/>
      <c r="X49" s="202"/>
      <c r="Y49" s="215"/>
      <c r="Z49" s="215"/>
      <c r="AA49" s="218"/>
      <c r="AB49" s="222"/>
      <c r="AD49" s="226"/>
      <c r="AE49" s="231"/>
      <c r="AF49" s="231"/>
      <c r="AG49" s="231"/>
      <c r="AH49" s="232"/>
      <c r="AI49" s="232"/>
      <c r="AJ49" s="236"/>
      <c r="AK49" s="233"/>
    </row>
    <row r="50" spans="2:37" ht="15">
      <c r="B50" s="181" t="s">
        <v>39</v>
      </c>
      <c r="C50" s="265" t="s">
        <v>350</v>
      </c>
      <c r="D50" s="266">
        <v>1</v>
      </c>
      <c r="E50" s="278">
        <v>0.10003099999999999</v>
      </c>
      <c r="F50" s="280">
        <v>1.7E-5</v>
      </c>
      <c r="G50" s="267">
        <v>2.0770817378838871</v>
      </c>
      <c r="H50" s="273">
        <v>4.2985208026813534E-2</v>
      </c>
      <c r="I50" s="273">
        <v>4.175511477679994E-2</v>
      </c>
      <c r="J50" s="268">
        <v>2.0626215326420176</v>
      </c>
      <c r="L50" s="195" t="s">
        <v>433</v>
      </c>
      <c r="M50" s="200">
        <v>1</v>
      </c>
      <c r="N50" s="208">
        <v>9.9994E-2</v>
      </c>
      <c r="O50" s="210">
        <v>1.7E-5</v>
      </c>
      <c r="P50" s="205">
        <v>2.0748250584861565</v>
      </c>
      <c r="Q50" s="206">
        <v>3.9000340240770738E-2</v>
      </c>
      <c r="R50" s="206">
        <v>4.1758789903761896E-2</v>
      </c>
      <c r="S50" s="220">
        <v>2.062622068688317</v>
      </c>
      <c r="U50" s="195" t="s">
        <v>350</v>
      </c>
      <c r="V50" s="200">
        <v>1</v>
      </c>
      <c r="W50" s="208">
        <v>9.9981E-2</v>
      </c>
      <c r="X50" s="210">
        <v>1.7E-5</v>
      </c>
      <c r="Y50" s="205">
        <v>2.0881915613746327</v>
      </c>
      <c r="Z50" s="206">
        <v>3.9005547899263818E-2</v>
      </c>
      <c r="AA50" s="206">
        <v>4.964963940078021E-2</v>
      </c>
      <c r="AB50" s="220">
        <v>2.0592383811123183</v>
      </c>
      <c r="AD50" s="226" t="s">
        <v>443</v>
      </c>
      <c r="AE50" s="175">
        <v>1</v>
      </c>
      <c r="AF50" s="180">
        <v>0.10003304266786034</v>
      </c>
      <c r="AG50" s="180">
        <v>1.6523113553257367E-5</v>
      </c>
      <c r="AH50" s="176">
        <v>2.2199219251574065</v>
      </c>
      <c r="AI50" s="179">
        <v>4.298456754733454E-2</v>
      </c>
      <c r="AJ50" s="179">
        <v>4.5008724513850844E-2</v>
      </c>
      <c r="AK50" s="227">
        <v>2.0519567509165895</v>
      </c>
    </row>
    <row r="51" spans="2:37" ht="15">
      <c r="B51" s="181" t="s">
        <v>293</v>
      </c>
      <c r="C51" s="265" t="s">
        <v>346</v>
      </c>
      <c r="D51" s="266">
        <v>2</v>
      </c>
      <c r="E51" s="280">
        <v>0.20037507185192513</v>
      </c>
      <c r="F51" s="280">
        <v>3.1238653932896224E-5</v>
      </c>
      <c r="G51" s="267">
        <v>2.1269326330621334</v>
      </c>
      <c r="H51" s="273">
        <v>4.4914020525725795E-2</v>
      </c>
      <c r="I51" s="273">
        <v>4.0858385140654631E-2</v>
      </c>
      <c r="J51" s="268">
        <v>2.0730210554282027</v>
      </c>
      <c r="L51" s="195" t="s">
        <v>346</v>
      </c>
      <c r="M51" s="200">
        <v>2</v>
      </c>
      <c r="N51" s="210">
        <v>0.20036073892723194</v>
      </c>
      <c r="O51" s="210">
        <v>3.1361404034273391E-5</v>
      </c>
      <c r="P51" s="205">
        <v>2.1228758738872657</v>
      </c>
      <c r="Q51" s="206">
        <v>4.1922381425487792E-2</v>
      </c>
      <c r="R51" s="206">
        <v>4.0857698612836058E-2</v>
      </c>
      <c r="S51" s="220">
        <v>2.0730193083715056</v>
      </c>
      <c r="U51" s="195" t="s">
        <v>346</v>
      </c>
      <c r="V51" s="200">
        <v>2</v>
      </c>
      <c r="W51" s="210">
        <v>0.20036301415089477</v>
      </c>
      <c r="X51" s="210">
        <v>3.1501552040748945E-5</v>
      </c>
      <c r="Y51" s="205">
        <v>2.1195708802496487</v>
      </c>
      <c r="Z51" s="206">
        <v>4.6413531470703248E-2</v>
      </c>
      <c r="AA51" s="206">
        <v>4.2708603880885654E-2</v>
      </c>
      <c r="AB51" s="220">
        <v>2.0567623591744084</v>
      </c>
      <c r="AD51" s="226" t="s">
        <v>346</v>
      </c>
      <c r="AE51" s="175">
        <v>2</v>
      </c>
      <c r="AF51" s="180">
        <v>0.20048612330581286</v>
      </c>
      <c r="AG51" s="180">
        <v>3.2817160479577246E-5</v>
      </c>
      <c r="AH51" s="176">
        <v>2.2399697623814343</v>
      </c>
      <c r="AI51" s="179">
        <v>5.1373658150221845E-2</v>
      </c>
      <c r="AJ51" s="179">
        <v>4.1620416647742603E-2</v>
      </c>
      <c r="AK51" s="227">
        <v>2.0646937981207052</v>
      </c>
    </row>
    <row r="52" spans="2:37" ht="15">
      <c r="B52" s="181" t="s">
        <v>294</v>
      </c>
      <c r="C52" s="265"/>
      <c r="D52" s="266">
        <v>3</v>
      </c>
      <c r="E52" s="278">
        <v>0.30040459431522282</v>
      </c>
      <c r="F52" s="278">
        <v>4.6091257672671655E-5</v>
      </c>
      <c r="G52" s="267">
        <v>2.1434358164215848</v>
      </c>
      <c r="H52" s="277">
        <v>3.6615859212464207E-2</v>
      </c>
      <c r="I52" s="277">
        <v>4.6827083328710453E-2</v>
      </c>
      <c r="J52" s="268">
        <v>2.1028545766039777</v>
      </c>
      <c r="L52" s="195"/>
      <c r="M52" s="200">
        <v>3</v>
      </c>
      <c r="N52" s="208">
        <v>0.30035409650063999</v>
      </c>
      <c r="O52" s="208">
        <v>4.6267737733319125E-5</v>
      </c>
      <c r="P52" s="205">
        <v>2.138728726783079</v>
      </c>
      <c r="Q52" s="207">
        <v>3.6621692289708983E-2</v>
      </c>
      <c r="R52" s="207">
        <v>4.6823000195974213E-2</v>
      </c>
      <c r="S52" s="220">
        <v>2.1028320171159476</v>
      </c>
      <c r="U52" s="195"/>
      <c r="V52" s="200">
        <v>3</v>
      </c>
      <c r="W52" s="208">
        <v>0.30034400720162896</v>
      </c>
      <c r="X52" s="208">
        <v>4.6762881447597106E-5</v>
      </c>
      <c r="Y52" s="205">
        <v>2.1286220088372647</v>
      </c>
      <c r="Z52" s="207">
        <v>4.6610985624737193E-2</v>
      </c>
      <c r="AA52" s="207">
        <v>4.7485736700465152E-2</v>
      </c>
      <c r="AB52" s="220">
        <v>2.0928315562884361</v>
      </c>
      <c r="AD52" s="226"/>
      <c r="AE52" s="175">
        <v>3</v>
      </c>
      <c r="AF52" s="234">
        <v>0.30051916597367323</v>
      </c>
      <c r="AG52" s="234">
        <v>4.9113775852261081E-5</v>
      </c>
      <c r="AH52" s="176">
        <v>2.2441161308784237</v>
      </c>
      <c r="AI52" s="230">
        <v>5.0910438880720291E-2</v>
      </c>
      <c r="AJ52" s="230">
        <v>4.7110464922039207E-2</v>
      </c>
      <c r="AK52" s="227">
        <v>2.0984769996259338</v>
      </c>
    </row>
    <row r="53" spans="2:37" ht="15">
      <c r="B53" s="181" t="s">
        <v>295</v>
      </c>
      <c r="C53" s="265"/>
      <c r="D53" s="266">
        <v>4</v>
      </c>
      <c r="E53" s="278">
        <v>0.40072814182930194</v>
      </c>
      <c r="F53" s="278">
        <v>6.1146992371421271E-5</v>
      </c>
      <c r="G53" s="267">
        <v>2.1500932643427624</v>
      </c>
      <c r="H53" s="277">
        <v>3.9925765794095555E-2</v>
      </c>
      <c r="I53" s="277">
        <v>5.5545573571299141E-2</v>
      </c>
      <c r="J53" s="268">
        <v>2.153175703255362</v>
      </c>
      <c r="L53" s="195"/>
      <c r="M53" s="200">
        <v>4</v>
      </c>
      <c r="N53" s="208">
        <v>0.40069747632844793</v>
      </c>
      <c r="O53" s="208">
        <v>6.1385816871732036E-5</v>
      </c>
      <c r="P53" s="205">
        <v>2.145120318657233</v>
      </c>
      <c r="Q53" s="207">
        <v>4.666639825470853E-2</v>
      </c>
      <c r="R53" s="207">
        <v>5.5542226682316995E-2</v>
      </c>
      <c r="S53" s="220">
        <v>2.1531572566218093</v>
      </c>
      <c r="U53" s="195"/>
      <c r="V53" s="200">
        <v>4</v>
      </c>
      <c r="W53" s="208">
        <v>0.40071702767225126</v>
      </c>
      <c r="X53" s="208">
        <v>6.2180830702092404E-5</v>
      </c>
      <c r="Y53" s="205">
        <v>2.1321321616363855</v>
      </c>
      <c r="Z53" s="207">
        <v>5.8642069275098962E-2</v>
      </c>
      <c r="AA53" s="207">
        <v>5.5824254183319814E-2</v>
      </c>
      <c r="AB53" s="220">
        <v>2.1468540544182182</v>
      </c>
      <c r="AD53" s="226"/>
      <c r="AE53" s="175">
        <v>4</v>
      </c>
      <c r="AF53" s="234">
        <v>0.40096624606919584</v>
      </c>
      <c r="AG53" s="234">
        <v>6.5493314469221406E-5</v>
      </c>
      <c r="AH53" s="176">
        <v>2.2456106329535284</v>
      </c>
      <c r="AI53" s="230">
        <v>6.0601872587986751E-2</v>
      </c>
      <c r="AJ53" s="230">
        <v>5.5685362864611371E-2</v>
      </c>
      <c r="AK53" s="227">
        <v>2.1506170344361513</v>
      </c>
    </row>
    <row r="54" spans="2:37" ht="15">
      <c r="B54" s="181" t="s">
        <v>296</v>
      </c>
      <c r="C54" s="265"/>
      <c r="D54" s="266">
        <v>5</v>
      </c>
      <c r="E54" s="278">
        <v>0.50054964656959788</v>
      </c>
      <c r="F54" s="278">
        <v>7.6187535650553936E-5</v>
      </c>
      <c r="G54" s="267">
        <v>2.1533310058635422</v>
      </c>
      <c r="H54" s="277">
        <v>5.9931784666970161E-2</v>
      </c>
      <c r="I54" s="277">
        <v>6.571783697146949E-2</v>
      </c>
      <c r="J54" s="268">
        <v>2.2059037396122703</v>
      </c>
      <c r="L54" s="195"/>
      <c r="M54" s="200">
        <v>5</v>
      </c>
      <c r="N54" s="208">
        <v>0.50049182124863989</v>
      </c>
      <c r="O54" s="208">
        <v>7.6481528147475883E-5</v>
      </c>
      <c r="P54" s="205">
        <v>2.1482255550439282</v>
      </c>
      <c r="Q54" s="207">
        <v>6.7330555823926094E-2</v>
      </c>
      <c r="R54" s="207">
        <v>6.5711070559812845E-2</v>
      </c>
      <c r="S54" s="220">
        <v>2.2058720617548113</v>
      </c>
      <c r="U54" s="195"/>
      <c r="V54" s="200">
        <v>5</v>
      </c>
      <c r="W54" s="208">
        <v>0.50055101044052752</v>
      </c>
      <c r="X54" s="208">
        <v>7.7552900905977036E-5</v>
      </c>
      <c r="Y54" s="205">
        <v>2.1338102808419137</v>
      </c>
      <c r="Z54" s="207">
        <v>7.5912706566760538E-2</v>
      </c>
      <c r="AA54" s="207">
        <v>6.5847801049193605E-2</v>
      </c>
      <c r="AB54" s="220">
        <v>2.2018274614459363</v>
      </c>
      <c r="AD54" s="226"/>
      <c r="AE54" s="175">
        <v>5</v>
      </c>
      <c r="AF54" s="234">
        <v>0.50087127716521862</v>
      </c>
      <c r="AG54" s="234">
        <v>8.1790376113661525E-5</v>
      </c>
      <c r="AH54" s="176">
        <v>2.2463052005324595</v>
      </c>
      <c r="AI54" s="230">
        <v>7.9658908848047286E-2</v>
      </c>
      <c r="AJ54" s="230">
        <v>6.5806972459635751E-2</v>
      </c>
      <c r="AK54" s="227">
        <v>2.2043537030312321</v>
      </c>
    </row>
    <row r="55" spans="2:37" ht="15">
      <c r="B55" s="181" t="s">
        <v>297</v>
      </c>
      <c r="C55" s="265"/>
      <c r="D55" s="266">
        <v>6</v>
      </c>
      <c r="E55" s="278">
        <v>0.60058216928851582</v>
      </c>
      <c r="F55" s="278">
        <v>9.1289142239347429E-5</v>
      </c>
      <c r="G55" s="267">
        <v>2.1551435485835611</v>
      </c>
      <c r="H55" s="277">
        <v>6.3269481755081569E-2</v>
      </c>
      <c r="I55" s="277">
        <v>7.6759982213294498E-2</v>
      </c>
      <c r="J55" s="268">
        <v>2.2523973306357106</v>
      </c>
      <c r="L55" s="195"/>
      <c r="M55" s="200">
        <v>6</v>
      </c>
      <c r="N55" s="208">
        <v>0.60048817901279983</v>
      </c>
      <c r="O55" s="208">
        <v>9.1637203091624237E-5</v>
      </c>
      <c r="P55" s="205">
        <v>2.149963531592102</v>
      </c>
      <c r="Q55" s="207">
        <v>5.9948362112941196E-2</v>
      </c>
      <c r="R55" s="207">
        <v>7.6748575782188674E-2</v>
      </c>
      <c r="S55" s="220">
        <v>2.2523548730583465</v>
      </c>
      <c r="U55" s="195"/>
      <c r="V55" s="200">
        <v>6</v>
      </c>
      <c r="W55" s="208">
        <v>0.60053400363115905</v>
      </c>
      <c r="X55" s="208">
        <v>9.2966006534334492E-5</v>
      </c>
      <c r="Y55" s="205">
        <v>2.1347414971028522</v>
      </c>
      <c r="Z55" s="207">
        <v>7.3597639909248891E-2</v>
      </c>
      <c r="AA55" s="207">
        <v>7.6817955336991706E-2</v>
      </c>
      <c r="AB55" s="220">
        <v>2.2497114802931764</v>
      </c>
      <c r="AD55" s="226"/>
      <c r="AE55" s="175">
        <v>6</v>
      </c>
      <c r="AF55" s="234">
        <v>0.60090632001388888</v>
      </c>
      <c r="AG55" s="234">
        <v>9.8111549728830907E-5</v>
      </c>
      <c r="AH55" s="176">
        <v>2.2466852879319732</v>
      </c>
      <c r="AI55" s="230">
        <v>8.4869372159008666E-2</v>
      </c>
      <c r="AJ55" s="230">
        <v>7.6823544922404854E-2</v>
      </c>
      <c r="AK55" s="227">
        <v>2.2514203288788881</v>
      </c>
    </row>
    <row r="56" spans="2:37" ht="15">
      <c r="B56" s="181" t="s">
        <v>298</v>
      </c>
      <c r="C56" s="265"/>
      <c r="D56" s="266">
        <v>7</v>
      </c>
      <c r="E56" s="278">
        <v>0.70092771867714321</v>
      </c>
      <c r="F56" s="278">
        <v>1.0645456504459038E-4</v>
      </c>
      <c r="G56" s="267">
        <v>2.1562563056847068</v>
      </c>
      <c r="H56" s="277">
        <v>6.8478007837849603E-2</v>
      </c>
      <c r="I56" s="277">
        <v>8.8329366338780038E-2</v>
      </c>
      <c r="J56" s="268">
        <v>2.2906012012420303</v>
      </c>
      <c r="L56" s="195"/>
      <c r="M56" s="200">
        <v>7</v>
      </c>
      <c r="N56" s="208">
        <v>0.70085256017587194</v>
      </c>
      <c r="O56" s="208">
        <v>1.0686532416049055E-4</v>
      </c>
      <c r="P56" s="205">
        <v>2.1510309343226361</v>
      </c>
      <c r="Q56" s="207">
        <v>7.2765043887693961E-2</v>
      </c>
      <c r="R56" s="207">
        <v>8.8319639208848125E-2</v>
      </c>
      <c r="S56" s="220">
        <v>2.2905730193669731</v>
      </c>
      <c r="U56" s="195"/>
      <c r="V56" s="200">
        <v>7</v>
      </c>
      <c r="W56" s="208">
        <v>0.70091602473131964</v>
      </c>
      <c r="X56" s="208">
        <v>1.08450924756122E-4</v>
      </c>
      <c r="Y56" s="205">
        <v>2.1353110008369667</v>
      </c>
      <c r="Z56" s="207">
        <v>8.930742462444978E-2</v>
      </c>
      <c r="AA56" s="207">
        <v>8.8359179238795771E-2</v>
      </c>
      <c r="AB56" s="220">
        <v>2.2888247330944775</v>
      </c>
      <c r="AD56" s="226"/>
      <c r="AE56" s="175">
        <v>7</v>
      </c>
      <c r="AF56" s="234">
        <v>0.70135840056143639</v>
      </c>
      <c r="AG56" s="234">
        <v>1.1450242122532048E-4</v>
      </c>
      <c r="AH56" s="176">
        <v>2.2469159755051362</v>
      </c>
      <c r="AI56" s="230">
        <v>0.10122922934404441</v>
      </c>
      <c r="AJ56" s="230">
        <v>8.8392756853344315E-2</v>
      </c>
      <c r="AK56" s="227">
        <v>2.2900080358123072</v>
      </c>
    </row>
    <row r="57" spans="2:37" ht="15">
      <c r="B57" s="181" t="s">
        <v>299</v>
      </c>
      <c r="C57" s="265"/>
      <c r="D57" s="266">
        <v>8</v>
      </c>
      <c r="E57" s="278">
        <v>0.80096124148126779</v>
      </c>
      <c r="F57" s="278">
        <v>1.2158304421041887E-4</v>
      </c>
      <c r="G57" s="267">
        <v>2.1569828611290816</v>
      </c>
      <c r="H57" s="277">
        <v>7.9900884633025013E-2</v>
      </c>
      <c r="I57" s="277">
        <v>0.10015367101838422</v>
      </c>
      <c r="J57" s="268">
        <v>2.3209777469333113</v>
      </c>
      <c r="L57" s="195"/>
      <c r="M57" s="200">
        <v>8</v>
      </c>
      <c r="N57" s="208">
        <v>0.80084691781286377</v>
      </c>
      <c r="O57" s="208">
        <v>1.2204758321001932E-4</v>
      </c>
      <c r="P57" s="205">
        <v>2.1517273938296646</v>
      </c>
      <c r="Q57" s="207">
        <v>8.6529264018710667E-2</v>
      </c>
      <c r="R57" s="207">
        <v>0.10013893684074038</v>
      </c>
      <c r="S57" s="220">
        <v>2.3209444621717079</v>
      </c>
      <c r="U57" s="195"/>
      <c r="V57" s="200">
        <v>8</v>
      </c>
      <c r="W57" s="208">
        <v>0.80089801785200243</v>
      </c>
      <c r="X57" s="208">
        <v>1.2388050386468005E-4</v>
      </c>
      <c r="Y57" s="205">
        <v>2.1356814227206393</v>
      </c>
      <c r="Z57" s="207">
        <v>0.10712461909463043</v>
      </c>
      <c r="AA57" s="207">
        <v>0.10016038208211114</v>
      </c>
      <c r="AB57" s="220">
        <v>2.3197534795829307</v>
      </c>
      <c r="AD57" s="226"/>
      <c r="AE57" s="175">
        <v>8</v>
      </c>
      <c r="AF57" s="234">
        <v>0.80139044313889174</v>
      </c>
      <c r="AG57" s="234">
        <v>1.3082577992798233E-4</v>
      </c>
      <c r="AH57" s="176">
        <v>2.247065267517784</v>
      </c>
      <c r="AI57" s="230">
        <v>0.12078660743794493</v>
      </c>
      <c r="AJ57" s="230">
        <v>0.100210326172854</v>
      </c>
      <c r="AK57" s="227">
        <v>2.3205899524237905</v>
      </c>
    </row>
    <row r="58" spans="2:37" ht="15">
      <c r="B58" s="181" t="s">
        <v>300</v>
      </c>
      <c r="C58" s="265"/>
      <c r="D58" s="266">
        <v>9</v>
      </c>
      <c r="E58" s="278">
        <v>0.90128878933617396</v>
      </c>
      <c r="F58" s="278">
        <v>1.3676277026527161E-4</v>
      </c>
      <c r="G58" s="267">
        <v>2.157485524024942</v>
      </c>
      <c r="H58" s="277">
        <v>9.2086769561798718E-2</v>
      </c>
      <c r="I58" s="277">
        <v>0.11219055951899275</v>
      </c>
      <c r="J58" s="268">
        <v>2.3451201811585758</v>
      </c>
      <c r="L58" s="195"/>
      <c r="M58" s="200">
        <v>9</v>
      </c>
      <c r="N58" s="208">
        <v>0.90119029764067182</v>
      </c>
      <c r="O58" s="208">
        <v>1.3728966602063179E-4</v>
      </c>
      <c r="P58" s="205">
        <v>2.1522094729995271</v>
      </c>
      <c r="Q58" s="207">
        <v>0.10796316720754819</v>
      </c>
      <c r="R58" s="207">
        <v>0.11217740887581792</v>
      </c>
      <c r="S58" s="220">
        <v>2.3450969050842083</v>
      </c>
      <c r="U58" s="195"/>
      <c r="V58" s="200">
        <v>9</v>
      </c>
      <c r="W58" s="208">
        <v>0.90127603867236827</v>
      </c>
      <c r="X58" s="208">
        <v>1.3937544170995224E-4</v>
      </c>
      <c r="Y58" s="205">
        <v>2.135937453211747</v>
      </c>
      <c r="Z58" s="207">
        <v>0.13058637294648312</v>
      </c>
      <c r="AA58" s="207">
        <v>0.11219349638795914</v>
      </c>
      <c r="AB58" s="220">
        <v>2.3442769087962412</v>
      </c>
      <c r="AD58" s="226"/>
      <c r="AE58" s="175">
        <v>9</v>
      </c>
      <c r="AF58" s="234">
        <v>0.90183952341522433</v>
      </c>
      <c r="AG58" s="234">
        <v>1.4721787496358246E-4</v>
      </c>
      <c r="AH58" s="176">
        <v>2.2471681472721836</v>
      </c>
      <c r="AI58" s="230">
        <v>0.1437021685889209</v>
      </c>
      <c r="AJ58" s="230">
        <v>0.11225790368679989</v>
      </c>
      <c r="AK58" s="227">
        <v>2.344887158983072</v>
      </c>
    </row>
    <row r="59" spans="2:37" ht="15.75" thickBot="1">
      <c r="B59" s="181" t="s">
        <v>301</v>
      </c>
      <c r="C59" s="282"/>
      <c r="D59" s="283" t="s">
        <v>347</v>
      </c>
      <c r="E59" s="284">
        <v>1.0013283126515391</v>
      </c>
      <c r="F59" s="284">
        <v>1.5190362882188367E-4</v>
      </c>
      <c r="G59" s="285">
        <v>2.1578455504837137</v>
      </c>
      <c r="H59" s="286">
        <v>0.11384434692036066</v>
      </c>
      <c r="I59" s="286">
        <v>0.12430431983570873</v>
      </c>
      <c r="J59" s="287">
        <v>2.364251541970221</v>
      </c>
      <c r="L59" s="197"/>
      <c r="M59" s="203" t="s">
        <v>347</v>
      </c>
      <c r="N59" s="211">
        <v>1.0011856553412477</v>
      </c>
      <c r="O59" s="211">
        <v>1.5248362971967831E-4</v>
      </c>
      <c r="P59" s="212">
        <v>2.1525545342860664</v>
      </c>
      <c r="Q59" s="216">
        <v>0.12884108557871138</v>
      </c>
      <c r="R59" s="216">
        <v>0.12428555154041994</v>
      </c>
      <c r="S59" s="223">
        <v>2.3642252197495988</v>
      </c>
      <c r="U59" s="197"/>
      <c r="V59" s="203" t="s">
        <v>347</v>
      </c>
      <c r="W59" s="211">
        <v>1.001262032072846</v>
      </c>
      <c r="X59" s="211">
        <v>1.548128134566968E-4</v>
      </c>
      <c r="Y59" s="212">
        <v>2.1361203853598805</v>
      </c>
      <c r="Z59" s="216">
        <v>0.14900481301560467</v>
      </c>
      <c r="AA59" s="216">
        <v>0.1242946225562078</v>
      </c>
      <c r="AB59" s="223">
        <v>2.3636405373471909</v>
      </c>
      <c r="AD59" s="237"/>
      <c r="AE59" s="238" t="s">
        <v>347</v>
      </c>
      <c r="AF59" s="239">
        <v>1.0018745662638946</v>
      </c>
      <c r="AG59" s="239">
        <v>1.6354287945929757E-4</v>
      </c>
      <c r="AH59" s="240">
        <v>2.2472414737401567</v>
      </c>
      <c r="AI59" s="241">
        <v>0.16518561760486383</v>
      </c>
      <c r="AJ59" s="241">
        <v>0.12436855487700561</v>
      </c>
      <c r="AK59" s="242">
        <v>2.3640942300062178</v>
      </c>
    </row>
    <row r="60" spans="2:37" ht="16.5" thickTop="1" thickBot="1">
      <c r="B60" s="181"/>
      <c r="C60" s="2"/>
      <c r="D60" s="15"/>
      <c r="E60" s="15"/>
      <c r="F60" s="15"/>
      <c r="G60" s="15"/>
      <c r="H60" s="15"/>
      <c r="I60" s="15"/>
      <c r="J60" s="15"/>
      <c r="L60" s="198"/>
      <c r="M60" s="204"/>
      <c r="N60" s="204"/>
      <c r="O60" s="204"/>
      <c r="P60" s="204"/>
      <c r="Q60" s="204"/>
      <c r="R60" s="204"/>
      <c r="S60" s="204"/>
      <c r="U60" s="198"/>
      <c r="V60" s="204"/>
      <c r="W60" s="204"/>
      <c r="X60" s="204"/>
      <c r="Y60" s="204"/>
      <c r="Z60" s="204"/>
      <c r="AA60" s="204"/>
      <c r="AB60" s="204"/>
      <c r="AD60" s="243"/>
      <c r="AE60" s="244"/>
      <c r="AF60" s="244"/>
      <c r="AG60" s="244"/>
      <c r="AH60" s="244"/>
      <c r="AI60" s="244"/>
      <c r="AJ60" s="244"/>
      <c r="AK60" s="244"/>
    </row>
    <row r="61" spans="2:37" ht="15.75" thickTop="1">
      <c r="B61" s="181"/>
      <c r="C61" s="261" t="s">
        <v>340</v>
      </c>
      <c r="D61" s="262" t="s">
        <v>341</v>
      </c>
      <c r="E61" s="262" t="s">
        <v>34</v>
      </c>
      <c r="F61" s="262" t="s">
        <v>131</v>
      </c>
      <c r="G61" s="263" t="s">
        <v>17</v>
      </c>
      <c r="H61" s="262" t="s">
        <v>109</v>
      </c>
      <c r="I61" s="262" t="s">
        <v>131</v>
      </c>
      <c r="J61" s="264" t="s">
        <v>17</v>
      </c>
      <c r="L61" s="194" t="s">
        <v>340</v>
      </c>
      <c r="M61" s="199" t="s">
        <v>341</v>
      </c>
      <c r="N61" s="199" t="s">
        <v>34</v>
      </c>
      <c r="O61" s="199" t="s">
        <v>131</v>
      </c>
      <c r="P61" s="213" t="s">
        <v>17</v>
      </c>
      <c r="Q61" s="199" t="s">
        <v>109</v>
      </c>
      <c r="R61" s="199" t="s">
        <v>131</v>
      </c>
      <c r="S61" s="219" t="s">
        <v>17</v>
      </c>
      <c r="U61" s="194" t="s">
        <v>340</v>
      </c>
      <c r="V61" s="199" t="s">
        <v>341</v>
      </c>
      <c r="W61" s="199" t="s">
        <v>34</v>
      </c>
      <c r="X61" s="199" t="s">
        <v>131</v>
      </c>
      <c r="Y61" s="213" t="s">
        <v>17</v>
      </c>
      <c r="Z61" s="199" t="s">
        <v>109</v>
      </c>
      <c r="AA61" s="199" t="s">
        <v>131</v>
      </c>
      <c r="AB61" s="219" t="s">
        <v>17</v>
      </c>
      <c r="AD61" s="224" t="s">
        <v>340</v>
      </c>
      <c r="AE61" s="225" t="s">
        <v>341</v>
      </c>
      <c r="AF61" s="225" t="s">
        <v>34</v>
      </c>
      <c r="AG61" s="225" t="s">
        <v>131</v>
      </c>
      <c r="AH61" s="251" t="s">
        <v>17</v>
      </c>
      <c r="AI61" s="225" t="s">
        <v>109</v>
      </c>
      <c r="AJ61" s="225" t="s">
        <v>131</v>
      </c>
      <c r="AK61" s="252" t="s">
        <v>17</v>
      </c>
    </row>
    <row r="62" spans="2:37" ht="15">
      <c r="B62" s="181"/>
      <c r="C62" s="265"/>
      <c r="D62" s="266"/>
      <c r="E62" s="266"/>
      <c r="F62" s="266" t="s">
        <v>132</v>
      </c>
      <c r="G62" s="267"/>
      <c r="H62" s="266"/>
      <c r="I62" s="266" t="s">
        <v>132</v>
      </c>
      <c r="J62" s="268"/>
      <c r="L62" s="195"/>
      <c r="M62" s="200"/>
      <c r="N62" s="200"/>
      <c r="O62" s="200" t="s">
        <v>132</v>
      </c>
      <c r="P62" s="205"/>
      <c r="Q62" s="200"/>
      <c r="R62" s="200" t="s">
        <v>132</v>
      </c>
      <c r="S62" s="220"/>
      <c r="U62" s="195"/>
      <c r="V62" s="200"/>
      <c r="W62" s="200"/>
      <c r="X62" s="200" t="s">
        <v>132</v>
      </c>
      <c r="Y62" s="205"/>
      <c r="Z62" s="200"/>
      <c r="AA62" s="200" t="s">
        <v>132</v>
      </c>
      <c r="AB62" s="220"/>
      <c r="AD62" s="226"/>
      <c r="AE62" s="175"/>
      <c r="AF62" s="175"/>
      <c r="AG62" s="175" t="s">
        <v>132</v>
      </c>
      <c r="AH62" s="176"/>
      <c r="AI62" s="175"/>
      <c r="AJ62" s="175" t="s">
        <v>132</v>
      </c>
      <c r="AK62" s="227"/>
    </row>
    <row r="63" spans="2:37" ht="15">
      <c r="B63" s="181"/>
      <c r="C63" s="269"/>
      <c r="D63" s="270"/>
      <c r="E63" s="270"/>
      <c r="F63" s="270"/>
      <c r="G63" s="271"/>
      <c r="H63" s="270" t="s">
        <v>135</v>
      </c>
      <c r="I63" s="270" t="s">
        <v>135</v>
      </c>
      <c r="J63" s="272"/>
      <c r="L63" s="196"/>
      <c r="M63" s="201"/>
      <c r="N63" s="201"/>
      <c r="O63" s="201"/>
      <c r="P63" s="214"/>
      <c r="Q63" s="201" t="s">
        <v>135</v>
      </c>
      <c r="R63" s="201" t="s">
        <v>135</v>
      </c>
      <c r="S63" s="221"/>
      <c r="U63" s="196"/>
      <c r="V63" s="201"/>
      <c r="W63" s="201"/>
      <c r="X63" s="201"/>
      <c r="Y63" s="214"/>
      <c r="Z63" s="201" t="s">
        <v>135</v>
      </c>
      <c r="AA63" s="201" t="s">
        <v>135</v>
      </c>
      <c r="AB63" s="221"/>
      <c r="AD63" s="228"/>
      <c r="AE63" s="177"/>
      <c r="AF63" s="177"/>
      <c r="AG63" s="177"/>
      <c r="AH63" s="178"/>
      <c r="AI63" s="177" t="s">
        <v>135</v>
      </c>
      <c r="AJ63" s="177" t="s">
        <v>135</v>
      </c>
      <c r="AK63" s="229"/>
    </row>
    <row r="64" spans="2:37" ht="15.75" thickBot="1">
      <c r="B64" s="181" t="s">
        <v>328</v>
      </c>
      <c r="C64" s="282" t="s">
        <v>351</v>
      </c>
      <c r="D64" s="283">
        <v>0</v>
      </c>
      <c r="E64" s="285">
        <v>49.4</v>
      </c>
      <c r="F64" s="285">
        <v>1.5</v>
      </c>
      <c r="G64" s="285">
        <v>2.4695700710407475</v>
      </c>
      <c r="H64" s="288">
        <v>0</v>
      </c>
      <c r="I64" s="288">
        <v>3.4666240277923185E-2</v>
      </c>
      <c r="J64" s="287">
        <v>2.145342961322775</v>
      </c>
      <c r="L64" s="197" t="s">
        <v>351</v>
      </c>
      <c r="M64" s="203">
        <v>0</v>
      </c>
      <c r="N64" s="212">
        <v>49.1</v>
      </c>
      <c r="O64" s="212">
        <v>1.5</v>
      </c>
      <c r="P64" s="212">
        <v>2.4695699542836897</v>
      </c>
      <c r="Q64" s="217">
        <v>0</v>
      </c>
      <c r="R64" s="217">
        <v>3.4668874520247077E-2</v>
      </c>
      <c r="S64" s="223">
        <v>2.1452521305125649</v>
      </c>
      <c r="U64" s="197" t="s">
        <v>351</v>
      </c>
      <c r="V64" s="203">
        <v>0</v>
      </c>
      <c r="W64" s="212">
        <v>49.1</v>
      </c>
      <c r="X64" s="212">
        <v>1.5</v>
      </c>
      <c r="Y64" s="212">
        <v>2.4695681121572051</v>
      </c>
      <c r="Z64" s="217">
        <v>3.2825258952639946</v>
      </c>
      <c r="AA64" s="217">
        <v>3.5595672470394212E-2</v>
      </c>
      <c r="AB64" s="223">
        <v>2.1351602087183434</v>
      </c>
      <c r="AD64" s="237" t="s">
        <v>351</v>
      </c>
      <c r="AE64" s="238">
        <v>0</v>
      </c>
      <c r="AF64" s="240">
        <v>48.994562896053388</v>
      </c>
      <c r="AG64" s="240">
        <v>1.4817669033609313</v>
      </c>
      <c r="AH64" s="240">
        <v>2.4695576836117428</v>
      </c>
      <c r="AI64" s="241">
        <v>2.9562002114135382</v>
      </c>
      <c r="AJ64" s="241">
        <v>6.9553506198457613E-2</v>
      </c>
      <c r="AK64" s="242">
        <v>2.0987767400473811</v>
      </c>
    </row>
    <row r="65" spans="2:6" ht="13.5" thickTop="1"/>
    <row r="70" spans="2:6">
      <c r="B70" s="289" t="s">
        <v>301</v>
      </c>
    </row>
    <row r="71" spans="2:6">
      <c r="C71" t="s">
        <v>0</v>
      </c>
      <c r="D71" t="s">
        <v>155</v>
      </c>
      <c r="E71" t="s">
        <v>446</v>
      </c>
      <c r="F71" t="s">
        <v>447</v>
      </c>
    </row>
    <row r="72" spans="2:6">
      <c r="B72" s="1">
        <f>C2</f>
        <v>36426</v>
      </c>
      <c r="C72">
        <f>VLOOKUP($B$70,Reports,4,FALSE)</f>
        <v>1.0013283126515391</v>
      </c>
      <c r="D72">
        <f>VLOOKUP($B$70,Reports,5,FALSE)</f>
        <v>1.5190362882188367E-4</v>
      </c>
      <c r="E72">
        <f>VLOOKUP($B$70,Reports,7,FALSE)</f>
        <v>0.11384434692036066</v>
      </c>
      <c r="F72">
        <f>VLOOKUP($B$70,Reports,8,FALSE)</f>
        <v>0.12430431983570873</v>
      </c>
    </row>
    <row r="73" spans="2:6">
      <c r="B73" s="1">
        <f>L2</f>
        <v>38240</v>
      </c>
      <c r="C73">
        <f>VLOOKUP($B$70,Reports,13,FALSE)</f>
        <v>1.0011856553412477</v>
      </c>
      <c r="D73">
        <f>VLOOKUP($B$70,Reports,14,FALSE)</f>
        <v>1.5248362971967831E-4</v>
      </c>
      <c r="E73">
        <f>VLOOKUP($B$70,Reports,16,FALSE)</f>
        <v>0.12884108557871138</v>
      </c>
      <c r="F73">
        <f>VLOOKUP($B$70,Reports,17,FALSE)</f>
        <v>0.12428555154041994</v>
      </c>
    </row>
    <row r="74" spans="2:6">
      <c r="B74" s="1">
        <f>U2</f>
        <v>40148</v>
      </c>
      <c r="C74">
        <f>VLOOKUP($B$70,Reports,22,FALSE)</f>
        <v>1.001262032072846</v>
      </c>
      <c r="D74">
        <f>VLOOKUP($B$70,Reports,23,FALSE)</f>
        <v>1.548128134566968E-4</v>
      </c>
      <c r="E74">
        <f>VLOOKUP($B$70,Reports,25,FALSE)</f>
        <v>0.14900481301560467</v>
      </c>
      <c r="F74">
        <f>VLOOKUP($B$70,Reports,26,FALSE)</f>
        <v>0.1242946225562078</v>
      </c>
    </row>
    <row r="75" spans="2:6">
      <c r="B75" s="1">
        <f>AD2</f>
        <v>42124</v>
      </c>
      <c r="C75">
        <f>VLOOKUP($B$70,Reports,31,FALSE)</f>
        <v>1.0018745662638946</v>
      </c>
      <c r="D75">
        <f>VLOOKUP($B$70,Reports,32,FALSE)</f>
        <v>1.6354287945929757E-4</v>
      </c>
      <c r="E75">
        <f>VLOOKUP($B$70,Reports,34,FALSE)</f>
        <v>0.16518561760486383</v>
      </c>
      <c r="F75">
        <f>VLOOKUP($B$70,Reports,35,FALSE)</f>
        <v>0.12436855487700561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43</vt:i4>
      </vt:variant>
    </vt:vector>
  </HeadingPairs>
  <TitlesOfParts>
    <vt:vector size="61" baseType="lpstr">
      <vt:lpstr>Commentary</vt:lpstr>
      <vt:lpstr>pyUBreadings</vt:lpstr>
      <vt:lpstr>pyUBresults</vt:lpstr>
      <vt:lpstr>AH27000A</vt:lpstr>
      <vt:lpstr>pyReport</vt:lpstr>
      <vt:lpstr>HP history</vt:lpstr>
      <vt:lpstr>ExcelCommentary</vt:lpstr>
      <vt:lpstr>Room Conditions</vt:lpstr>
      <vt:lpstr>Results</vt:lpstr>
      <vt:lpstr>Universal Bridge</vt:lpstr>
      <vt:lpstr>Uncertainty</vt:lpstr>
      <vt:lpstr>Report</vt:lpstr>
      <vt:lpstr>Conditions</vt:lpstr>
      <vt:lpstr>RoomLogger</vt:lpstr>
      <vt:lpstr>MuirheadHistory</vt:lpstr>
      <vt:lpstr>AH2700Results</vt:lpstr>
      <vt:lpstr>Range7</vt:lpstr>
      <vt:lpstr>GRhistory</vt:lpstr>
      <vt:lpstr>alpha</vt:lpstr>
      <vt:lpstr>Andeen</vt:lpstr>
      <vt:lpstr>beta</vt:lpstr>
      <vt:lpstr>C_1</vt:lpstr>
      <vt:lpstr>C_standard_uncertainty</vt:lpstr>
      <vt:lpstr>C_unit_mult</vt:lpstr>
      <vt:lpstr>correction_c</vt:lpstr>
      <vt:lpstr>corrections</vt:lpstr>
      <vt:lpstr>Data</vt:lpstr>
      <vt:lpstr>Date</vt:lpstr>
      <vt:lpstr>differentzero</vt:lpstr>
      <vt:lpstr>frequency</vt:lpstr>
      <vt:lpstr>G_1</vt:lpstr>
      <vt:lpstr>G_2</vt:lpstr>
      <vt:lpstr>G_standard_uncertainty</vt:lpstr>
      <vt:lpstr>G_unit_mult</vt:lpstr>
      <vt:lpstr>hist_16</vt:lpstr>
      <vt:lpstr>Inductance</vt:lpstr>
      <vt:lpstr>L_standard_uncertainty</vt:lpstr>
      <vt:lpstr>L_v</vt:lpstr>
      <vt:lpstr>label</vt:lpstr>
      <vt:lpstr>multiplier</vt:lpstr>
      <vt:lpstr>Old_date</vt:lpstr>
      <vt:lpstr>Old_Inductance</vt:lpstr>
      <vt:lpstr>Old_Resistance</vt:lpstr>
      <vt:lpstr>Params</vt:lpstr>
      <vt:lpstr>Report!Print_Area</vt:lpstr>
      <vt:lpstr>Uncertainty!Print_Area</vt:lpstr>
      <vt:lpstr>pyvalues</vt:lpstr>
      <vt:lpstr>R_4A</vt:lpstr>
      <vt:lpstr>R_4B</vt:lpstr>
      <vt:lpstr>R_4C</vt:lpstr>
      <vt:lpstr>R_standard_uncertainty</vt:lpstr>
      <vt:lpstr>R_v</vt:lpstr>
      <vt:lpstr>Range</vt:lpstr>
      <vt:lpstr>Rangex</vt:lpstr>
      <vt:lpstr>Record</vt:lpstr>
      <vt:lpstr>Reports</vt:lpstr>
      <vt:lpstr>Resistance</vt:lpstr>
      <vt:lpstr>Results</vt:lpstr>
      <vt:lpstr>ub_uncertainty</vt:lpstr>
      <vt:lpstr>Uncertainty</vt:lpstr>
      <vt:lpstr>zeros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Jones</dc:creator>
  <cp:lastModifiedBy>Keith Jones</cp:lastModifiedBy>
  <cp:lastPrinted>2017-12-01T21:19:11Z</cp:lastPrinted>
  <dcterms:created xsi:type="dcterms:W3CDTF">1999-09-28T04:51:25Z</dcterms:created>
  <dcterms:modified xsi:type="dcterms:W3CDTF">2017-12-03T21:25:31Z</dcterms:modified>
</cp:coreProperties>
</file>