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UniversalBridge3/spread_sheets/"/>
    </mc:Choice>
  </mc:AlternateContent>
  <xr:revisionPtr revIDLastSave="1" documentId="10_ncr:20000_{B953EF1E-3F00-47BD-AFB3-4AAA53673956}" xr6:coauthVersionLast="47" xr6:coauthVersionMax="47" xr10:uidLastSave="{9148B7B0-875F-440E-95E2-2FFE20D18764}"/>
  <bookViews>
    <workbookView xWindow="35280" yWindow="0" windowWidth="26175" windowHeight="11340" tabRatio="500" firstSheet="1" activeTab="4" xr2:uid="{00000000-000D-0000-FFFF-FFFF00000000}"/>
  </bookViews>
  <sheets>
    <sheet name="Commentary" sheetId="1" r:id="rId1"/>
    <sheet name="pyUBreadings" sheetId="2" r:id="rId2"/>
    <sheet name="freq_coeff" sheetId="15" r:id="rId3"/>
    <sheet name="pyUBresults" sheetId="3" r:id="rId4"/>
    <sheet name="pyReport" sheetId="4" r:id="rId5"/>
    <sheet name="environment" sheetId="5" r:id="rId6"/>
    <sheet name="Historical" sheetId="6" r:id="rId7"/>
    <sheet name="Report" sheetId="7" r:id="rId8"/>
    <sheet name="Rpts_screenshots" sheetId="8" r:id="rId9"/>
    <sheet name="Results" sheetId="9" r:id="rId10"/>
    <sheet name="AH2700A results" sheetId="10" r:id="rId11"/>
    <sheet name="Room data logger" sheetId="11" r:id="rId12"/>
    <sheet name="Universal Bridge" sheetId="12" r:id="rId13"/>
    <sheet name="Uncertainty" sheetId="13" r:id="rId14"/>
    <sheet name="Previous History" sheetId="14" r:id="rId15"/>
  </sheets>
  <externalReferences>
    <externalReference r:id="rId16"/>
  </externalReferences>
  <definedNames>
    <definedName name="alpha">Results!$D$10:$D$88</definedName>
    <definedName name="B_331">#REF!</definedName>
    <definedName name="b_331_uc">#REF!</definedName>
    <definedName name="beta">Results!$E$10:$E$88</definedName>
    <definedName name="C_1">'Universal Bridge'!$F$4</definedName>
    <definedName name="C_unit_mult">'[1]Universal Bridge'!$H$41:$I$57</definedName>
    <definedName name="correction_c">'Universal Bridge'!$G$12</definedName>
    <definedName name="corrections">'Universal Bridge'!$F$23:$H$39</definedName>
    <definedName name="Data">'Universal Bridge'!$L$2:$T$12</definedName>
    <definedName name="Date">Results!$A$8</definedName>
    <definedName name="G_1">'Universal Bridge'!$F$8</definedName>
    <definedName name="G_2">'Universal Bridge'!$F$9</definedName>
    <definedName name="G_unit_mult">'[1]Universal Bridge'!$K$41:$L$57</definedName>
    <definedName name="history">Historical!$A$99:$AG$105</definedName>
    <definedName name="Inductance">Results!$F$11:$F$30</definedName>
    <definedName name="inductor1">pyUBresults!$A$1:$AI$23</definedName>
    <definedName name="L_standard_uncertainty">Uncertainty!$C$24</definedName>
    <definedName name="L_unit_multiplier">'Universal Bridge'!$H$41:$I$57</definedName>
    <definedName name="L_v">Uncertainty!$F$24</definedName>
    <definedName name="label">Uncertainty!$B$9</definedName>
    <definedName name="multiplier">'Universal Bridge'!$F$41:$N$55</definedName>
    <definedName name="Nominal_Value">Report!$B$8:$B$16</definedName>
    <definedName name="Old_date">Results!#REF!</definedName>
    <definedName name="Old_Inductance">Results!$N$9:$N$30</definedName>
    <definedName name="Old_Resistance">Results!$Q$9:$Q$30</definedName>
    <definedName name="Params">Uncertainty!$S$5:$AA$59</definedName>
    <definedName name="previous">Historical!$B$2:$Z$22</definedName>
    <definedName name="_xlnm.Print_Area" localSheetId="7">Report!$C$5:$J$34</definedName>
    <definedName name="R_4A">'Universal Bridge'!$F$5</definedName>
    <definedName name="R_4B">'Universal Bridge'!$F$6</definedName>
    <definedName name="R_4C">'Universal Bridge'!$F$7</definedName>
    <definedName name="R_standard_uncertainty">Uncertainty!$C$47</definedName>
    <definedName name="R_unit_multiplier">'Universal Bridge'!$K$41:$L$57</definedName>
    <definedName name="R_v">Uncertainty!$F$47</definedName>
    <definedName name="Range">Results!$C$10:$C$88</definedName>
    <definedName name="Rangex">Results!$B$10:$J$88</definedName>
    <definedName name="Record">'Universal Bridge'!$A$5:$C$21</definedName>
    <definedName name="Resistance">Results!$H$11:$H$30</definedName>
    <definedName name="Results">Results!$B$9:$S$67</definedName>
    <definedName name="tag">#REF!</definedName>
    <definedName name="Tap_No">Results!#REF!</definedName>
    <definedName name="ub_uncertainty">Uncertainty!$AB$5:$AF$59</definedName>
    <definedName name="Uncertainty">Uncertainty!$T$5:$X$24</definedName>
    <definedName name="zeros">'Universal Bridge'!$O$20:$Q$42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5" l="1"/>
  <c r="F14" i="15"/>
  <c r="V18" i="15"/>
  <c r="V19" i="15"/>
  <c r="T19" i="15"/>
  <c r="T18" i="15"/>
  <c r="W14" i="15" l="1"/>
  <c r="V14" i="15"/>
  <c r="U14" i="15"/>
  <c r="T14" i="15"/>
  <c r="S14" i="15"/>
  <c r="W13" i="15"/>
  <c r="V13" i="15"/>
  <c r="U13" i="15"/>
  <c r="T13" i="15"/>
  <c r="S13" i="15"/>
  <c r="W12" i="15"/>
  <c r="V12" i="15"/>
  <c r="U12" i="15"/>
  <c r="T12" i="15"/>
  <c r="S12" i="15"/>
  <c r="W11" i="15"/>
  <c r="V11" i="15"/>
  <c r="U11" i="15"/>
  <c r="T11" i="15"/>
  <c r="S11" i="15"/>
  <c r="W10" i="15"/>
  <c r="V10" i="15"/>
  <c r="U10" i="15"/>
  <c r="T10" i="15"/>
  <c r="S10" i="15"/>
  <c r="W8" i="15"/>
  <c r="V8" i="15"/>
  <c r="U8" i="15"/>
  <c r="T8" i="15"/>
  <c r="S8" i="15"/>
  <c r="W7" i="15"/>
  <c r="V7" i="15"/>
  <c r="U7" i="15"/>
  <c r="T7" i="15"/>
  <c r="S7" i="15"/>
  <c r="W6" i="15"/>
  <c r="V6" i="15"/>
  <c r="U6" i="15"/>
  <c r="T6" i="15"/>
  <c r="S6" i="15"/>
  <c r="W5" i="15"/>
  <c r="V5" i="15"/>
  <c r="U5" i="15"/>
  <c r="T5" i="15"/>
  <c r="S5" i="15"/>
  <c r="W4" i="15"/>
  <c r="V4" i="15"/>
  <c r="U4" i="15"/>
  <c r="T4" i="15"/>
  <c r="S4" i="15"/>
  <c r="E19" i="15"/>
  <c r="E20" i="15"/>
  <c r="E21" i="15"/>
  <c r="E22" i="15"/>
  <c r="E23" i="15"/>
  <c r="E24" i="15"/>
  <c r="E25" i="15"/>
  <c r="E26" i="15"/>
  <c r="E27" i="15"/>
  <c r="E28" i="15"/>
  <c r="E30" i="15"/>
  <c r="E31" i="15"/>
  <c r="E32" i="15"/>
  <c r="E33" i="15"/>
  <c r="E34" i="15"/>
  <c r="E35" i="15"/>
  <c r="E36" i="15"/>
  <c r="E37" i="15"/>
  <c r="E38" i="15"/>
  <c r="E40" i="15"/>
  <c r="E18" i="15"/>
  <c r="C17" i="15"/>
  <c r="C42" i="15"/>
  <c r="C40" i="15"/>
  <c r="C41" i="15"/>
  <c r="E13" i="15"/>
  <c r="G13" i="15"/>
  <c r="F13" i="15"/>
  <c r="C13" i="15"/>
  <c r="D13" i="15"/>
  <c r="B13" i="15"/>
  <c r="X165" i="14"/>
  <c r="Z152" i="14"/>
  <c r="Z157" i="14" s="1"/>
  <c r="Y152" i="14"/>
  <c r="Y157" i="14" s="1"/>
  <c r="X152" i="14"/>
  <c r="X157" i="14" s="1"/>
  <c r="W152" i="14"/>
  <c r="W157" i="14" s="1"/>
  <c r="V152" i="14"/>
  <c r="V157" i="14" s="1"/>
  <c r="U152" i="14"/>
  <c r="U157" i="14" s="1"/>
  <c r="T152" i="14"/>
  <c r="T157" i="14" s="1"/>
  <c r="S152" i="14"/>
  <c r="S157" i="14" s="1"/>
  <c r="R152" i="14"/>
  <c r="R157" i="14" s="1"/>
  <c r="Q152" i="14"/>
  <c r="Q157" i="14" s="1"/>
  <c r="O152" i="14"/>
  <c r="O157" i="14" s="1"/>
  <c r="N152" i="14"/>
  <c r="N157" i="14" s="1"/>
  <c r="M152" i="14"/>
  <c r="M157" i="14" s="1"/>
  <c r="L152" i="14"/>
  <c r="L157" i="14" s="1"/>
  <c r="K152" i="14"/>
  <c r="K157" i="14" s="1"/>
  <c r="J152" i="14"/>
  <c r="J157" i="14" s="1"/>
  <c r="I152" i="14"/>
  <c r="I157" i="14" s="1"/>
  <c r="H152" i="14"/>
  <c r="H157" i="14" s="1"/>
  <c r="G152" i="14"/>
  <c r="G157" i="14" s="1"/>
  <c r="Z151" i="14"/>
  <c r="Z156" i="14" s="1"/>
  <c r="Y151" i="14"/>
  <c r="Y156" i="14" s="1"/>
  <c r="X151" i="14"/>
  <c r="X156" i="14" s="1"/>
  <c r="W151" i="14"/>
  <c r="W156" i="14" s="1"/>
  <c r="V151" i="14"/>
  <c r="V156" i="14" s="1"/>
  <c r="U151" i="14"/>
  <c r="U156" i="14" s="1"/>
  <c r="T151" i="14"/>
  <c r="T156" i="14" s="1"/>
  <c r="S151" i="14"/>
  <c r="S156" i="14" s="1"/>
  <c r="R151" i="14"/>
  <c r="R156" i="14" s="1"/>
  <c r="Q151" i="14"/>
  <c r="Q156" i="14" s="1"/>
  <c r="O151" i="14"/>
  <c r="O156" i="14" s="1"/>
  <c r="N151" i="14"/>
  <c r="N156" i="14" s="1"/>
  <c r="M151" i="14"/>
  <c r="M156" i="14" s="1"/>
  <c r="L151" i="14"/>
  <c r="L156" i="14" s="1"/>
  <c r="K151" i="14"/>
  <c r="K156" i="14" s="1"/>
  <c r="J151" i="14"/>
  <c r="J156" i="14" s="1"/>
  <c r="I151" i="14"/>
  <c r="I156" i="14" s="1"/>
  <c r="H151" i="14"/>
  <c r="H156" i="14" s="1"/>
  <c r="G151" i="14"/>
  <c r="G156" i="14" s="1"/>
  <c r="Z150" i="14"/>
  <c r="Z155" i="14" s="1"/>
  <c r="Y150" i="14"/>
  <c r="Y155" i="14" s="1"/>
  <c r="X150" i="14"/>
  <c r="X155" i="14" s="1"/>
  <c r="W150" i="14"/>
  <c r="W155" i="14" s="1"/>
  <c r="V150" i="14"/>
  <c r="V155" i="14" s="1"/>
  <c r="U150" i="14"/>
  <c r="U155" i="14" s="1"/>
  <c r="T150" i="14"/>
  <c r="T155" i="14" s="1"/>
  <c r="S150" i="14"/>
  <c r="S155" i="14" s="1"/>
  <c r="R150" i="14"/>
  <c r="R155" i="14" s="1"/>
  <c r="Q150" i="14"/>
  <c r="Q155" i="14" s="1"/>
  <c r="O150" i="14"/>
  <c r="O155" i="14" s="1"/>
  <c r="N150" i="14"/>
  <c r="N155" i="14" s="1"/>
  <c r="M150" i="14"/>
  <c r="M155" i="14" s="1"/>
  <c r="L150" i="14"/>
  <c r="L155" i="14" s="1"/>
  <c r="K150" i="14"/>
  <c r="K155" i="14" s="1"/>
  <c r="J150" i="14"/>
  <c r="J155" i="14" s="1"/>
  <c r="I150" i="14"/>
  <c r="I155" i="14" s="1"/>
  <c r="H150" i="14"/>
  <c r="H155" i="14" s="1"/>
  <c r="G150" i="14"/>
  <c r="G155" i="14" s="1"/>
  <c r="Z149" i="14"/>
  <c r="Z154" i="14" s="1"/>
  <c r="Y149" i="14"/>
  <c r="Y154" i="14" s="1"/>
  <c r="X149" i="14"/>
  <c r="X154" i="14" s="1"/>
  <c r="W149" i="14"/>
  <c r="W154" i="14" s="1"/>
  <c r="V149" i="14"/>
  <c r="V154" i="14" s="1"/>
  <c r="U149" i="14"/>
  <c r="U154" i="14" s="1"/>
  <c r="T149" i="14"/>
  <c r="T154" i="14" s="1"/>
  <c r="S149" i="14"/>
  <c r="S154" i="14" s="1"/>
  <c r="R149" i="14"/>
  <c r="R154" i="14" s="1"/>
  <c r="Q149" i="14"/>
  <c r="Q154" i="14" s="1"/>
  <c r="O149" i="14"/>
  <c r="O154" i="14" s="1"/>
  <c r="N149" i="14"/>
  <c r="N154" i="14" s="1"/>
  <c r="M149" i="14"/>
  <c r="M154" i="14" s="1"/>
  <c r="L149" i="14"/>
  <c r="L154" i="14" s="1"/>
  <c r="K149" i="14"/>
  <c r="K154" i="14" s="1"/>
  <c r="J149" i="14"/>
  <c r="J154" i="14" s="1"/>
  <c r="I149" i="14"/>
  <c r="I154" i="14" s="1"/>
  <c r="H149" i="14"/>
  <c r="H154" i="14" s="1"/>
  <c r="G149" i="14"/>
  <c r="G154" i="14" s="1"/>
  <c r="H160" i="14" s="1"/>
  <c r="G145" i="14"/>
  <c r="G144" i="14"/>
  <c r="G143" i="14"/>
  <c r="G142" i="14"/>
  <c r="G141" i="14"/>
  <c r="E139" i="14"/>
  <c r="D139" i="14"/>
  <c r="E138" i="14"/>
  <c r="D138" i="14"/>
  <c r="E137" i="14"/>
  <c r="D137" i="14"/>
  <c r="E136" i="14"/>
  <c r="D136" i="14"/>
  <c r="E135" i="14"/>
  <c r="D135" i="14"/>
  <c r="E134" i="14"/>
  <c r="D134" i="14"/>
  <c r="E133" i="14"/>
  <c r="D133" i="14"/>
  <c r="E132" i="14"/>
  <c r="D132" i="14"/>
  <c r="E131" i="14"/>
  <c r="D131" i="14"/>
  <c r="E130" i="14"/>
  <c r="D130" i="14"/>
  <c r="E129" i="14"/>
  <c r="D129" i="14"/>
  <c r="E126" i="14"/>
  <c r="D126" i="14"/>
  <c r="E125" i="14"/>
  <c r="D125" i="14"/>
  <c r="E124" i="14"/>
  <c r="D124" i="14"/>
  <c r="E123" i="14"/>
  <c r="D123" i="14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E116" i="14"/>
  <c r="D116" i="14"/>
  <c r="V82" i="14"/>
  <c r="U82" i="14"/>
  <c r="V81" i="14"/>
  <c r="U81" i="14"/>
  <c r="V80" i="14"/>
  <c r="U80" i="14"/>
  <c r="V79" i="14"/>
  <c r="U79" i="14"/>
  <c r="V78" i="14"/>
  <c r="U78" i="14"/>
  <c r="V77" i="14"/>
  <c r="U77" i="14"/>
  <c r="V76" i="14"/>
  <c r="U76" i="14"/>
  <c r="V75" i="14"/>
  <c r="U75" i="14"/>
  <c r="V74" i="14"/>
  <c r="U74" i="14"/>
  <c r="V73" i="14"/>
  <c r="U73" i="14"/>
  <c r="V69" i="14"/>
  <c r="U69" i="14"/>
  <c r="V68" i="14"/>
  <c r="U68" i="14"/>
  <c r="V67" i="14"/>
  <c r="U67" i="14"/>
  <c r="V66" i="14"/>
  <c r="U66" i="14"/>
  <c r="V65" i="14"/>
  <c r="U65" i="14"/>
  <c r="V64" i="14"/>
  <c r="U64" i="14"/>
  <c r="V63" i="14"/>
  <c r="U63" i="14"/>
  <c r="V62" i="14"/>
  <c r="U62" i="14"/>
  <c r="V61" i="14"/>
  <c r="U61" i="14"/>
  <c r="V60" i="14"/>
  <c r="U60" i="14"/>
  <c r="E75" i="13"/>
  <c r="B75" i="13"/>
  <c r="C75" i="13" s="1"/>
  <c r="E74" i="13"/>
  <c r="E73" i="13"/>
  <c r="E61" i="13"/>
  <c r="B61" i="13"/>
  <c r="C61" i="13" s="1"/>
  <c r="E60" i="13"/>
  <c r="AO59" i="13"/>
  <c r="AL59" i="13"/>
  <c r="AI59" i="13"/>
  <c r="AH59" i="13"/>
  <c r="AJ59" i="13" s="1"/>
  <c r="F59" i="13"/>
  <c r="E59" i="13"/>
  <c r="C59" i="13"/>
  <c r="AO58" i="13"/>
  <c r="AL58" i="13"/>
  <c r="AI58" i="13"/>
  <c r="AH58" i="13"/>
  <c r="AN58" i="13" s="1"/>
  <c r="AO57" i="13"/>
  <c r="AL57" i="13"/>
  <c r="AI57" i="13"/>
  <c r="AH57" i="13"/>
  <c r="AN57" i="13" s="1"/>
  <c r="AO56" i="13"/>
  <c r="AL56" i="13"/>
  <c r="AK56" i="13"/>
  <c r="AI56" i="13"/>
  <c r="AH56" i="13"/>
  <c r="AN56" i="13" s="1"/>
  <c r="AO55" i="13"/>
  <c r="AL55" i="13"/>
  <c r="AI55" i="13"/>
  <c r="AH55" i="13"/>
  <c r="AM55" i="13" s="1"/>
  <c r="AO54" i="13"/>
  <c r="AL54" i="13"/>
  <c r="AI54" i="13"/>
  <c r="AH54" i="13"/>
  <c r="AN54" i="13" s="1"/>
  <c r="AO53" i="13"/>
  <c r="AL53" i="13"/>
  <c r="AK53" i="13"/>
  <c r="AI53" i="13"/>
  <c r="AH53" i="13"/>
  <c r="AN53" i="13" s="1"/>
  <c r="AO52" i="13"/>
  <c r="AL52" i="13"/>
  <c r="AI52" i="13"/>
  <c r="AH52" i="13"/>
  <c r="AM52" i="13" s="1"/>
  <c r="AO51" i="13"/>
  <c r="AL51" i="13"/>
  <c r="AI51" i="13"/>
  <c r="AH51" i="13"/>
  <c r="AN51" i="13" s="1"/>
  <c r="AO50" i="13"/>
  <c r="AL50" i="13"/>
  <c r="AK50" i="13"/>
  <c r="AI50" i="13"/>
  <c r="AH50" i="13"/>
  <c r="AN50" i="13" s="1"/>
  <c r="AO49" i="13"/>
  <c r="AL49" i="13"/>
  <c r="AI49" i="13"/>
  <c r="AH49" i="13"/>
  <c r="AM49" i="13" s="1"/>
  <c r="AO48" i="13"/>
  <c r="AN48" i="13"/>
  <c r="AM48" i="13"/>
  <c r="AL48" i="13"/>
  <c r="AJ48" i="13"/>
  <c r="AI48" i="13"/>
  <c r="AH48" i="13"/>
  <c r="AK48" i="13" s="1"/>
  <c r="AO47" i="13"/>
  <c r="AN47" i="13"/>
  <c r="AM47" i="13"/>
  <c r="AL47" i="13"/>
  <c r="AK47" i="13"/>
  <c r="AJ47" i="13"/>
  <c r="AI47" i="13"/>
  <c r="AH47" i="13"/>
  <c r="AO46" i="13"/>
  <c r="AL46" i="13"/>
  <c r="AK46" i="13"/>
  <c r="AI46" i="13"/>
  <c r="AH46" i="13"/>
  <c r="AN46" i="13" s="1"/>
  <c r="AO45" i="13"/>
  <c r="AN45" i="13"/>
  <c r="AL45" i="13"/>
  <c r="AJ45" i="13"/>
  <c r="AI45" i="13"/>
  <c r="AH45" i="13"/>
  <c r="AM45" i="13" s="1"/>
  <c r="E45" i="13"/>
  <c r="F45" i="13" s="1"/>
  <c r="C45" i="13"/>
  <c r="AO44" i="13"/>
  <c r="AL44" i="13"/>
  <c r="AI44" i="13"/>
  <c r="AH44" i="13"/>
  <c r="AN44" i="13" s="1"/>
  <c r="E44" i="13"/>
  <c r="F44" i="13" s="1"/>
  <c r="C44" i="13"/>
  <c r="AO43" i="13"/>
  <c r="AL43" i="13"/>
  <c r="AI43" i="13"/>
  <c r="AH43" i="13"/>
  <c r="AM43" i="13" s="1"/>
  <c r="E43" i="13"/>
  <c r="AO42" i="13"/>
  <c r="AL42" i="13"/>
  <c r="AI42" i="13"/>
  <c r="AH42" i="13"/>
  <c r="AM42" i="13" s="1"/>
  <c r="E42" i="13"/>
  <c r="AO41" i="13"/>
  <c r="AL41" i="13"/>
  <c r="AI41" i="13"/>
  <c r="AH41" i="13"/>
  <c r="AM41" i="13" s="1"/>
  <c r="E41" i="13"/>
  <c r="AO40" i="13"/>
  <c r="AL40" i="13"/>
  <c r="AI40" i="13"/>
  <c r="AH40" i="13"/>
  <c r="AM40" i="13" s="1"/>
  <c r="F40" i="13"/>
  <c r="E40" i="13"/>
  <c r="B40" i="13"/>
  <c r="C40" i="13" s="1"/>
  <c r="AO39" i="13"/>
  <c r="AL39" i="13"/>
  <c r="AI39" i="13"/>
  <c r="AH39" i="13"/>
  <c r="AM39" i="13" s="1"/>
  <c r="E39" i="13"/>
  <c r="AO38" i="13"/>
  <c r="AL38" i="13"/>
  <c r="AI38" i="13"/>
  <c r="AH38" i="13"/>
  <c r="AM38" i="13" s="1"/>
  <c r="F38" i="13"/>
  <c r="E38" i="13"/>
  <c r="C38" i="13"/>
  <c r="AO37" i="13"/>
  <c r="AN37" i="13"/>
  <c r="AM37" i="13"/>
  <c r="AL37" i="13"/>
  <c r="AK37" i="13"/>
  <c r="AI37" i="13"/>
  <c r="AH37" i="13"/>
  <c r="AJ37" i="13" s="1"/>
  <c r="AO36" i="13"/>
  <c r="AN36" i="13"/>
  <c r="AM36" i="13"/>
  <c r="AL36" i="13"/>
  <c r="AK36" i="13"/>
  <c r="AJ36" i="13"/>
  <c r="AI36" i="13"/>
  <c r="AH36" i="13"/>
  <c r="AO35" i="13"/>
  <c r="AN35" i="13"/>
  <c r="AM35" i="13"/>
  <c r="AL35" i="13"/>
  <c r="AK35" i="13"/>
  <c r="AJ35" i="13"/>
  <c r="AI35" i="13"/>
  <c r="AH35" i="13"/>
  <c r="AO34" i="13"/>
  <c r="AN34" i="13"/>
  <c r="AL34" i="13"/>
  <c r="AJ34" i="13"/>
  <c r="AI34" i="13"/>
  <c r="AH34" i="13"/>
  <c r="AM34" i="13" s="1"/>
  <c r="AO33" i="13"/>
  <c r="AN33" i="13"/>
  <c r="AM33" i="13"/>
  <c r="AL33" i="13"/>
  <c r="AK33" i="13"/>
  <c r="AI33" i="13"/>
  <c r="AH33" i="13"/>
  <c r="AJ33" i="13" s="1"/>
  <c r="AO32" i="13"/>
  <c r="AN32" i="13"/>
  <c r="AL32" i="13"/>
  <c r="AJ32" i="13"/>
  <c r="AI32" i="13"/>
  <c r="AH32" i="13"/>
  <c r="AM32" i="13" s="1"/>
  <c r="AO31" i="13"/>
  <c r="AL31" i="13"/>
  <c r="AK31" i="13"/>
  <c r="AJ31" i="13"/>
  <c r="AI31" i="13"/>
  <c r="AH31" i="13"/>
  <c r="AN31" i="13" s="1"/>
  <c r="AO30" i="13"/>
  <c r="AN30" i="13"/>
  <c r="AM30" i="13"/>
  <c r="AL30" i="13"/>
  <c r="AK30" i="13"/>
  <c r="AI30" i="13"/>
  <c r="AH30" i="13"/>
  <c r="AJ30" i="13" s="1"/>
  <c r="AO29" i="13"/>
  <c r="AN29" i="13"/>
  <c r="AL29" i="13"/>
  <c r="AJ29" i="13"/>
  <c r="AI29" i="13"/>
  <c r="AH29" i="13"/>
  <c r="AM29" i="13" s="1"/>
  <c r="AO28" i="13"/>
  <c r="AL28" i="13"/>
  <c r="AK28" i="13"/>
  <c r="AJ28" i="13"/>
  <c r="AI28" i="13"/>
  <c r="AH28" i="13"/>
  <c r="AN28" i="13" s="1"/>
  <c r="AO27" i="13"/>
  <c r="AN27" i="13"/>
  <c r="AM27" i="13"/>
  <c r="AL27" i="13"/>
  <c r="AK27" i="13"/>
  <c r="AI27" i="13"/>
  <c r="AH27" i="13"/>
  <c r="AJ27" i="13" s="1"/>
  <c r="AO26" i="13"/>
  <c r="AN26" i="13"/>
  <c r="AL26" i="13"/>
  <c r="AJ26" i="13"/>
  <c r="AI26" i="13"/>
  <c r="AH26" i="13"/>
  <c r="AM26" i="13" s="1"/>
  <c r="AO25" i="13"/>
  <c r="AL25" i="13"/>
  <c r="AK25" i="13"/>
  <c r="AI25" i="13"/>
  <c r="AH25" i="13"/>
  <c r="AN25" i="13" s="1"/>
  <c r="AO24" i="13"/>
  <c r="AM24" i="13"/>
  <c r="AH24" i="13"/>
  <c r="AN24" i="13" s="1"/>
  <c r="W24" i="13"/>
  <c r="U24" i="13"/>
  <c r="AO23" i="13"/>
  <c r="AN23" i="13"/>
  <c r="AM23" i="13"/>
  <c r="AK23" i="13"/>
  <c r="AJ23" i="13"/>
  <c r="AH23" i="13"/>
  <c r="W23" i="13"/>
  <c r="U23" i="13"/>
  <c r="AO22" i="13"/>
  <c r="AH22" i="13"/>
  <c r="AN22" i="13" s="1"/>
  <c r="W22" i="13"/>
  <c r="U22" i="13"/>
  <c r="E22" i="13"/>
  <c r="F22" i="13" s="1"/>
  <c r="C22" i="13"/>
  <c r="AO21" i="13"/>
  <c r="AN21" i="13"/>
  <c r="AM21" i="13"/>
  <c r="AK21" i="13"/>
  <c r="AJ21" i="13"/>
  <c r="AH21" i="13"/>
  <c r="W21" i="13"/>
  <c r="U21" i="13"/>
  <c r="E21" i="13"/>
  <c r="B21" i="13"/>
  <c r="F21" i="13" s="1"/>
  <c r="AO20" i="13"/>
  <c r="AH20" i="13"/>
  <c r="AM20" i="13" s="1"/>
  <c r="W20" i="13"/>
  <c r="U20" i="13"/>
  <c r="AO19" i="13"/>
  <c r="AM19" i="13"/>
  <c r="AH19" i="13"/>
  <c r="AN19" i="13" s="1"/>
  <c r="W19" i="13"/>
  <c r="U19" i="13"/>
  <c r="E19" i="13"/>
  <c r="AO18" i="13"/>
  <c r="AN18" i="13"/>
  <c r="AM18" i="13"/>
  <c r="AK18" i="13"/>
  <c r="AH18" i="13"/>
  <c r="AJ18" i="13" s="1"/>
  <c r="W18" i="13"/>
  <c r="U18" i="13"/>
  <c r="E18" i="13"/>
  <c r="B18" i="13"/>
  <c r="F18" i="13" s="1"/>
  <c r="AO17" i="13"/>
  <c r="AM17" i="13"/>
  <c r="AH17" i="13"/>
  <c r="AN17" i="13" s="1"/>
  <c r="W17" i="13"/>
  <c r="U17" i="13"/>
  <c r="E17" i="13"/>
  <c r="AO16" i="13"/>
  <c r="AN16" i="13"/>
  <c r="AM16" i="13"/>
  <c r="AK16" i="13"/>
  <c r="AH16" i="13"/>
  <c r="AJ16" i="13" s="1"/>
  <c r="W16" i="13"/>
  <c r="U16" i="13"/>
  <c r="E16" i="13"/>
  <c r="B16" i="13"/>
  <c r="F16" i="13" s="1"/>
  <c r="AO15" i="13"/>
  <c r="AM15" i="13"/>
  <c r="AH15" i="13"/>
  <c r="AN15" i="13" s="1"/>
  <c r="W15" i="13"/>
  <c r="U15" i="13"/>
  <c r="F15" i="13"/>
  <c r="E15" i="13"/>
  <c r="C15" i="13"/>
  <c r="AO14" i="13"/>
  <c r="AN14" i="13"/>
  <c r="AM14" i="13"/>
  <c r="AK14" i="13"/>
  <c r="AJ14" i="13"/>
  <c r="AH14" i="13"/>
  <c r="W14" i="13"/>
  <c r="U14" i="13"/>
  <c r="F14" i="13"/>
  <c r="E14" i="13"/>
  <c r="B14" i="13"/>
  <c r="C14" i="13" s="1"/>
  <c r="AO13" i="13"/>
  <c r="AK13" i="13"/>
  <c r="AH13" i="13"/>
  <c r="AN13" i="13" s="1"/>
  <c r="W13" i="13"/>
  <c r="U13" i="13"/>
  <c r="AO12" i="13"/>
  <c r="AN12" i="13"/>
  <c r="AM12" i="13"/>
  <c r="AK12" i="13"/>
  <c r="AJ12" i="13"/>
  <c r="AH12" i="13"/>
  <c r="W12" i="13"/>
  <c r="U12" i="13"/>
  <c r="AO11" i="13"/>
  <c r="AK11" i="13"/>
  <c r="AH11" i="13"/>
  <c r="AN11" i="13" s="1"/>
  <c r="W11" i="13"/>
  <c r="U11" i="13"/>
  <c r="D11" i="13"/>
  <c r="B19" i="13" s="1"/>
  <c r="AO10" i="13"/>
  <c r="AN10" i="13"/>
  <c r="AM10" i="13"/>
  <c r="AK10" i="13"/>
  <c r="AH10" i="13"/>
  <c r="AJ10" i="13" s="1"/>
  <c r="W10" i="13"/>
  <c r="U10" i="13"/>
  <c r="AO9" i="13"/>
  <c r="AH9" i="13"/>
  <c r="AN9" i="13" s="1"/>
  <c r="W9" i="13"/>
  <c r="U9" i="13"/>
  <c r="AO8" i="13"/>
  <c r="AK8" i="13"/>
  <c r="AJ8" i="13"/>
  <c r="AH8" i="13"/>
  <c r="AN8" i="13" s="1"/>
  <c r="W8" i="13"/>
  <c r="U8" i="13"/>
  <c r="AO7" i="13"/>
  <c r="AM7" i="13"/>
  <c r="AH7" i="13"/>
  <c r="AN7" i="13" s="1"/>
  <c r="W7" i="13"/>
  <c r="U7" i="13"/>
  <c r="AO6" i="13"/>
  <c r="AN6" i="13"/>
  <c r="AJ6" i="13"/>
  <c r="AH6" i="13"/>
  <c r="AM6" i="13" s="1"/>
  <c r="W6" i="13"/>
  <c r="U6" i="13"/>
  <c r="AO5" i="13"/>
  <c r="AN5" i="13"/>
  <c r="AM5" i="13"/>
  <c r="AK5" i="13"/>
  <c r="AJ5" i="13"/>
  <c r="AH5" i="13"/>
  <c r="W5" i="13"/>
  <c r="U5" i="13"/>
  <c r="Q21" i="12"/>
  <c r="P21" i="12"/>
  <c r="X19" i="12"/>
  <c r="W19" i="12"/>
  <c r="AE12" i="12"/>
  <c r="Y12" i="12"/>
  <c r="G12" i="12"/>
  <c r="AE11" i="12"/>
  <c r="Y11" i="12"/>
  <c r="AE10" i="12"/>
  <c r="Y10" i="12"/>
  <c r="AE9" i="12"/>
  <c r="Y9" i="12"/>
  <c r="G9" i="12"/>
  <c r="F9" i="12"/>
  <c r="AE8" i="12"/>
  <c r="Y8" i="12"/>
  <c r="G8" i="12"/>
  <c r="F8" i="12"/>
  <c r="AE7" i="12"/>
  <c r="AB7" i="12"/>
  <c r="Y7" i="12"/>
  <c r="G7" i="12"/>
  <c r="F7" i="12"/>
  <c r="G32" i="12" s="1"/>
  <c r="AE6" i="12"/>
  <c r="Z6" i="12"/>
  <c r="Y6" i="12"/>
  <c r="G6" i="12"/>
  <c r="F6" i="12"/>
  <c r="AE5" i="12"/>
  <c r="Z5" i="12"/>
  <c r="Y5" i="12"/>
  <c r="G5" i="12"/>
  <c r="F5" i="12"/>
  <c r="AE4" i="12"/>
  <c r="Z4" i="12"/>
  <c r="Y4" i="12"/>
  <c r="G4" i="12"/>
  <c r="F4" i="12"/>
  <c r="AE3" i="12"/>
  <c r="AB3" i="12"/>
  <c r="Z3" i="12"/>
  <c r="Y3" i="12"/>
  <c r="P3" i="12"/>
  <c r="AD2" i="12"/>
  <c r="R2" i="12"/>
  <c r="Q2" i="12"/>
  <c r="AC7" i="12" s="1"/>
  <c r="P2" i="12"/>
  <c r="AB10" i="12" s="1"/>
  <c r="O2" i="12"/>
  <c r="AA10" i="12" s="1"/>
  <c r="N2" i="12"/>
  <c r="Z12" i="12" s="1"/>
  <c r="M2" i="12"/>
  <c r="Y2" i="12" s="1"/>
  <c r="C56" i="11"/>
  <c r="B56" i="11"/>
  <c r="C55" i="11"/>
  <c r="B55" i="11"/>
  <c r="F34" i="10"/>
  <c r="G34" i="10" s="1"/>
  <c r="F33" i="10"/>
  <c r="G33" i="10" s="1"/>
  <c r="G32" i="10" s="1"/>
  <c r="F32" i="10" s="1"/>
  <c r="E121" i="9"/>
  <c r="D121" i="9"/>
  <c r="E120" i="9"/>
  <c r="I99" i="9" s="1"/>
  <c r="D120" i="9"/>
  <c r="E113" i="9"/>
  <c r="D113" i="9"/>
  <c r="E112" i="9"/>
  <c r="D112" i="9"/>
  <c r="E106" i="9"/>
  <c r="D106" i="9"/>
  <c r="E105" i="9"/>
  <c r="D105" i="9"/>
  <c r="H98" i="9" s="1"/>
  <c r="H99" i="9"/>
  <c r="I98" i="9"/>
  <c r="E98" i="9"/>
  <c r="D98" i="9"/>
  <c r="E97" i="9"/>
  <c r="D97" i="9"/>
  <c r="H97" i="9" s="1"/>
  <c r="I88" i="9"/>
  <c r="H88" i="9"/>
  <c r="G88" i="9"/>
  <c r="F88" i="9"/>
  <c r="I87" i="9"/>
  <c r="H87" i="9"/>
  <c r="G87" i="9"/>
  <c r="F87" i="9"/>
  <c r="I86" i="9"/>
  <c r="H86" i="9"/>
  <c r="G86" i="9"/>
  <c r="F86" i="9"/>
  <c r="I85" i="9"/>
  <c r="H85" i="9"/>
  <c r="G85" i="9"/>
  <c r="F85" i="9"/>
  <c r="I84" i="9"/>
  <c r="H84" i="9"/>
  <c r="G84" i="9"/>
  <c r="F84" i="9"/>
  <c r="I83" i="9"/>
  <c r="H83" i="9"/>
  <c r="G83" i="9"/>
  <c r="F83" i="9"/>
  <c r="I82" i="9"/>
  <c r="H82" i="9"/>
  <c r="G82" i="9"/>
  <c r="F82" i="9"/>
  <c r="I81" i="9"/>
  <c r="H81" i="9"/>
  <c r="G81" i="9"/>
  <c r="F81" i="9"/>
  <c r="I80" i="9"/>
  <c r="H80" i="9"/>
  <c r="G80" i="9"/>
  <c r="F80" i="9"/>
  <c r="I79" i="9"/>
  <c r="H79" i="9"/>
  <c r="G79" i="9"/>
  <c r="F79" i="9"/>
  <c r="I78" i="9"/>
  <c r="H78" i="9"/>
  <c r="G78" i="9"/>
  <c r="F78" i="9"/>
  <c r="I77" i="9"/>
  <c r="H77" i="9"/>
  <c r="G77" i="9"/>
  <c r="F77" i="9"/>
  <c r="I76" i="9"/>
  <c r="H76" i="9"/>
  <c r="G76" i="9"/>
  <c r="F76" i="9"/>
  <c r="I75" i="9"/>
  <c r="H75" i="9"/>
  <c r="G75" i="9"/>
  <c r="F75" i="9"/>
  <c r="I74" i="9"/>
  <c r="H74" i="9"/>
  <c r="G74" i="9"/>
  <c r="F74" i="9"/>
  <c r="I73" i="9"/>
  <c r="H73" i="9"/>
  <c r="G73" i="9"/>
  <c r="F73" i="9"/>
  <c r="I72" i="9"/>
  <c r="H72" i="9"/>
  <c r="G72" i="9"/>
  <c r="F72" i="9"/>
  <c r="I71" i="9"/>
  <c r="H71" i="9"/>
  <c r="G71" i="9"/>
  <c r="F71" i="9"/>
  <c r="I70" i="9"/>
  <c r="H70" i="9"/>
  <c r="G70" i="9"/>
  <c r="F70" i="9"/>
  <c r="I69" i="9"/>
  <c r="H69" i="9"/>
  <c r="G69" i="9"/>
  <c r="F69" i="9"/>
  <c r="I68" i="9"/>
  <c r="H68" i="9"/>
  <c r="G68" i="9"/>
  <c r="F68" i="9"/>
  <c r="I67" i="9"/>
  <c r="H67" i="9"/>
  <c r="G67" i="9"/>
  <c r="F67" i="9"/>
  <c r="I66" i="9"/>
  <c r="H66" i="9"/>
  <c r="G66" i="9"/>
  <c r="F66" i="9"/>
  <c r="I65" i="9"/>
  <c r="H65" i="9"/>
  <c r="G65" i="9"/>
  <c r="F65" i="9"/>
  <c r="I64" i="9"/>
  <c r="H64" i="9"/>
  <c r="G64" i="9"/>
  <c r="F64" i="9"/>
  <c r="I63" i="9"/>
  <c r="H63" i="9"/>
  <c r="G63" i="9"/>
  <c r="F63" i="9"/>
  <c r="I62" i="9"/>
  <c r="H62" i="9"/>
  <c r="G62" i="9"/>
  <c r="F62" i="9"/>
  <c r="I61" i="9"/>
  <c r="H61" i="9"/>
  <c r="G61" i="9"/>
  <c r="F61" i="9"/>
  <c r="I60" i="9"/>
  <c r="H60" i="9"/>
  <c r="G60" i="9"/>
  <c r="F60" i="9"/>
  <c r="I59" i="9"/>
  <c r="H59" i="9"/>
  <c r="G59" i="9"/>
  <c r="F59" i="9"/>
  <c r="I58" i="9"/>
  <c r="H58" i="9"/>
  <c r="G58" i="9"/>
  <c r="F58" i="9"/>
  <c r="I57" i="9"/>
  <c r="H57" i="9"/>
  <c r="G57" i="9"/>
  <c r="F57" i="9"/>
  <c r="I56" i="9"/>
  <c r="H56" i="9"/>
  <c r="G56" i="9"/>
  <c r="F56" i="9"/>
  <c r="I55" i="9"/>
  <c r="H55" i="9"/>
  <c r="G55" i="9"/>
  <c r="F55" i="9"/>
  <c r="I54" i="9"/>
  <c r="H54" i="9"/>
  <c r="G54" i="9"/>
  <c r="F54" i="9"/>
  <c r="I53" i="9"/>
  <c r="H53" i="9"/>
  <c r="G53" i="9"/>
  <c r="F53" i="9"/>
  <c r="I52" i="9"/>
  <c r="H52" i="9"/>
  <c r="G52" i="9"/>
  <c r="F52" i="9"/>
  <c r="I51" i="9"/>
  <c r="H51" i="9"/>
  <c r="G51" i="9"/>
  <c r="F51" i="9"/>
  <c r="I50" i="9"/>
  <c r="H50" i="9"/>
  <c r="G50" i="9"/>
  <c r="F50" i="9"/>
  <c r="I49" i="9"/>
  <c r="H49" i="9"/>
  <c r="G49" i="9"/>
  <c r="F49" i="9"/>
  <c r="I48" i="9"/>
  <c r="H48" i="9"/>
  <c r="G48" i="9"/>
  <c r="F48" i="9"/>
  <c r="I47" i="9"/>
  <c r="H47" i="9"/>
  <c r="G47" i="9"/>
  <c r="F47" i="9"/>
  <c r="I46" i="9"/>
  <c r="H46" i="9"/>
  <c r="G46" i="9"/>
  <c r="F46" i="9"/>
  <c r="I45" i="9"/>
  <c r="H45" i="9"/>
  <c r="G45" i="9"/>
  <c r="F45" i="9"/>
  <c r="I44" i="9"/>
  <c r="H44" i="9"/>
  <c r="G44" i="9"/>
  <c r="F44" i="9"/>
  <c r="I43" i="9"/>
  <c r="H43" i="9"/>
  <c r="G43" i="9"/>
  <c r="F43" i="9"/>
  <c r="I42" i="9"/>
  <c r="H42" i="9"/>
  <c r="G42" i="9"/>
  <c r="F42" i="9"/>
  <c r="I41" i="9"/>
  <c r="H41" i="9"/>
  <c r="G41" i="9"/>
  <c r="F41" i="9"/>
  <c r="I40" i="9"/>
  <c r="H40" i="9"/>
  <c r="G40" i="9"/>
  <c r="F40" i="9"/>
  <c r="I39" i="9"/>
  <c r="H39" i="9"/>
  <c r="G39" i="9"/>
  <c r="F39" i="9"/>
  <c r="I38" i="9"/>
  <c r="H38" i="9"/>
  <c r="G38" i="9"/>
  <c r="F38" i="9"/>
  <c r="I37" i="9"/>
  <c r="H37" i="9"/>
  <c r="G37" i="9"/>
  <c r="F37" i="9"/>
  <c r="I36" i="9"/>
  <c r="H36" i="9"/>
  <c r="G36" i="9"/>
  <c r="F36" i="9"/>
  <c r="I35" i="9"/>
  <c r="H35" i="9"/>
  <c r="G35" i="9"/>
  <c r="F35" i="9"/>
  <c r="I34" i="9"/>
  <c r="H34" i="9"/>
  <c r="G34" i="9"/>
  <c r="F34" i="9"/>
  <c r="I33" i="9"/>
  <c r="H33" i="9"/>
  <c r="G33" i="9"/>
  <c r="F33" i="9"/>
  <c r="L32" i="9"/>
  <c r="I32" i="9"/>
  <c r="G32" i="9"/>
  <c r="E32" i="9"/>
  <c r="D32" i="9"/>
  <c r="P20" i="12" s="1"/>
  <c r="L31" i="9"/>
  <c r="I31" i="9"/>
  <c r="G31" i="9"/>
  <c r="L30" i="9"/>
  <c r="I30" i="9"/>
  <c r="G30" i="9"/>
  <c r="L29" i="9"/>
  <c r="I29" i="9"/>
  <c r="G29" i="9"/>
  <c r="L28" i="9"/>
  <c r="I28" i="9"/>
  <c r="G28" i="9"/>
  <c r="E28" i="9"/>
  <c r="L27" i="9"/>
  <c r="I27" i="9"/>
  <c r="G27" i="9"/>
  <c r="L26" i="9"/>
  <c r="I26" i="9"/>
  <c r="G26" i="9"/>
  <c r="L25" i="9"/>
  <c r="I25" i="9"/>
  <c r="G25" i="9"/>
  <c r="L24" i="9"/>
  <c r="I24" i="9"/>
  <c r="G24" i="9"/>
  <c r="L23" i="9"/>
  <c r="I23" i="9"/>
  <c r="G23" i="9"/>
  <c r="D23" i="9"/>
  <c r="L22" i="9"/>
  <c r="I22" i="9"/>
  <c r="G22" i="9"/>
  <c r="L21" i="9"/>
  <c r="I21" i="9"/>
  <c r="G21" i="9"/>
  <c r="L20" i="9"/>
  <c r="I20" i="9"/>
  <c r="G20" i="9"/>
  <c r="E20" i="9"/>
  <c r="L19" i="9"/>
  <c r="I19" i="9"/>
  <c r="G19" i="9"/>
  <c r="L18" i="9"/>
  <c r="I18" i="9"/>
  <c r="G18" i="9"/>
  <c r="L17" i="9"/>
  <c r="I17" i="9"/>
  <c r="G17" i="9"/>
  <c r="E17" i="9"/>
  <c r="L16" i="9"/>
  <c r="I16" i="9"/>
  <c r="G16" i="9"/>
  <c r="L15" i="9"/>
  <c r="I15" i="9"/>
  <c r="G15" i="9"/>
  <c r="L14" i="9"/>
  <c r="I14" i="9"/>
  <c r="G14" i="9"/>
  <c r="L13" i="9"/>
  <c r="I13" i="9"/>
  <c r="G13" i="9"/>
  <c r="L12" i="9"/>
  <c r="I12" i="9"/>
  <c r="G66" i="13" s="1"/>
  <c r="G12" i="9"/>
  <c r="G80" i="13" s="1"/>
  <c r="E12" i="9"/>
  <c r="I11" i="9"/>
  <c r="G11" i="9"/>
  <c r="I33" i="7"/>
  <c r="H33" i="7"/>
  <c r="F33" i="7"/>
  <c r="E33" i="7"/>
  <c r="T22" i="6" s="1"/>
  <c r="I32" i="7"/>
  <c r="H32" i="7"/>
  <c r="F32" i="7"/>
  <c r="E32" i="7"/>
  <c r="T21" i="6" s="1"/>
  <c r="I31" i="7"/>
  <c r="H31" i="7"/>
  <c r="F31" i="7"/>
  <c r="E31" i="7"/>
  <c r="I30" i="7"/>
  <c r="H30" i="7"/>
  <c r="F30" i="7"/>
  <c r="E30" i="7"/>
  <c r="I29" i="7"/>
  <c r="H29" i="7"/>
  <c r="F29" i="7"/>
  <c r="E29" i="7"/>
  <c r="T18" i="6" s="1"/>
  <c r="I28" i="7"/>
  <c r="H28" i="7"/>
  <c r="F28" i="7"/>
  <c r="E28" i="7"/>
  <c r="T17" i="6" s="1"/>
  <c r="I27" i="7"/>
  <c r="H27" i="7"/>
  <c r="F27" i="7"/>
  <c r="E27" i="7"/>
  <c r="I26" i="7"/>
  <c r="H26" i="7"/>
  <c r="F26" i="7"/>
  <c r="E26" i="7"/>
  <c r="T15" i="6" s="1"/>
  <c r="I25" i="7"/>
  <c r="H25" i="7"/>
  <c r="F25" i="7"/>
  <c r="E25" i="7"/>
  <c r="I24" i="7"/>
  <c r="H24" i="7"/>
  <c r="F24" i="7"/>
  <c r="E24" i="7"/>
  <c r="I17" i="7"/>
  <c r="H17" i="7"/>
  <c r="F17" i="7"/>
  <c r="E17" i="7"/>
  <c r="T12" i="6" s="1"/>
  <c r="I16" i="7"/>
  <c r="H16" i="7"/>
  <c r="F16" i="7"/>
  <c r="E16" i="7"/>
  <c r="T11" i="6" s="1"/>
  <c r="I15" i="7"/>
  <c r="H15" i="7"/>
  <c r="F15" i="7"/>
  <c r="E15" i="7"/>
  <c r="I14" i="7"/>
  <c r="H14" i="7"/>
  <c r="V9" i="6" s="1"/>
  <c r="F14" i="7"/>
  <c r="E14" i="7"/>
  <c r="T9" i="6" s="1"/>
  <c r="I13" i="7"/>
  <c r="H13" i="7"/>
  <c r="V8" i="6" s="1"/>
  <c r="F13" i="7"/>
  <c r="E13" i="7"/>
  <c r="I12" i="7"/>
  <c r="H12" i="7"/>
  <c r="F12" i="7"/>
  <c r="E12" i="7"/>
  <c r="I11" i="7"/>
  <c r="H11" i="7"/>
  <c r="F11" i="7"/>
  <c r="E11" i="7"/>
  <c r="T6" i="6" s="1"/>
  <c r="I10" i="7"/>
  <c r="H10" i="7"/>
  <c r="F10" i="7"/>
  <c r="E10" i="7"/>
  <c r="I9" i="7"/>
  <c r="H9" i="7"/>
  <c r="V4" i="6" s="1"/>
  <c r="F9" i="7"/>
  <c r="E9" i="7"/>
  <c r="I8" i="7"/>
  <c r="H8" i="7"/>
  <c r="F8" i="7"/>
  <c r="E8" i="7"/>
  <c r="T3" i="6" s="1"/>
  <c r="E1" i="7"/>
  <c r="E34" i="6"/>
  <c r="B34" i="6"/>
  <c r="D33" i="6"/>
  <c r="E32" i="6"/>
  <c r="D32" i="6"/>
  <c r="F31" i="6"/>
  <c r="C31" i="6"/>
  <c r="F30" i="6"/>
  <c r="E30" i="6"/>
  <c r="F29" i="6"/>
  <c r="E29" i="6"/>
  <c r="D29" i="6"/>
  <c r="C29" i="6"/>
  <c r="AD22" i="6"/>
  <c r="AC22" i="6"/>
  <c r="AB22" i="6"/>
  <c r="AA22" i="6"/>
  <c r="Z22" i="6"/>
  <c r="F34" i="6" s="1"/>
  <c r="Y22" i="6"/>
  <c r="X22" i="6"/>
  <c r="D34" i="6" s="1"/>
  <c r="W22" i="6"/>
  <c r="C34" i="6" s="1"/>
  <c r="V22" i="6"/>
  <c r="F33" i="6" s="1"/>
  <c r="R22" i="6"/>
  <c r="F32" i="6" s="1"/>
  <c r="Q22" i="6"/>
  <c r="P22" i="6"/>
  <c r="O22" i="6"/>
  <c r="C32" i="6" s="1"/>
  <c r="N22" i="6"/>
  <c r="M22" i="6"/>
  <c r="E31" i="6" s="1"/>
  <c r="L22" i="6"/>
  <c r="D31" i="6" s="1"/>
  <c r="K22" i="6"/>
  <c r="J22" i="6"/>
  <c r="I22" i="6"/>
  <c r="H22" i="6"/>
  <c r="D30" i="6" s="1"/>
  <c r="G22" i="6"/>
  <c r="C30" i="6" s="1"/>
  <c r="F22" i="6"/>
  <c r="E22" i="6"/>
  <c r="D22" i="6"/>
  <c r="C22" i="6"/>
  <c r="AD21" i="6"/>
  <c r="AC21" i="6"/>
  <c r="AB21" i="6"/>
  <c r="AA21" i="6"/>
  <c r="Z21" i="6"/>
  <c r="Y21" i="6"/>
  <c r="X21" i="6"/>
  <c r="W21" i="6"/>
  <c r="V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D20" i="6"/>
  <c r="AC20" i="6"/>
  <c r="AB20" i="6"/>
  <c r="AA20" i="6"/>
  <c r="Z20" i="6"/>
  <c r="Y20" i="6"/>
  <c r="X20" i="6"/>
  <c r="W20" i="6"/>
  <c r="V20" i="6"/>
  <c r="T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D19" i="6"/>
  <c r="AC19" i="6"/>
  <c r="AB19" i="6"/>
  <c r="AA19" i="6"/>
  <c r="Z19" i="6"/>
  <c r="Y19" i="6"/>
  <c r="X19" i="6"/>
  <c r="W19" i="6"/>
  <c r="V19" i="6"/>
  <c r="T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D18" i="6"/>
  <c r="AC18" i="6"/>
  <c r="AB18" i="6"/>
  <c r="AA18" i="6"/>
  <c r="Z18" i="6"/>
  <c r="Y18" i="6"/>
  <c r="X18" i="6"/>
  <c r="W18" i="6"/>
  <c r="V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D17" i="6"/>
  <c r="AC17" i="6"/>
  <c r="AB17" i="6"/>
  <c r="AA17" i="6"/>
  <c r="Z17" i="6"/>
  <c r="Y17" i="6"/>
  <c r="X17" i="6"/>
  <c r="W17" i="6"/>
  <c r="V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D16" i="6"/>
  <c r="AC16" i="6"/>
  <c r="AB16" i="6"/>
  <c r="AA16" i="6"/>
  <c r="Z16" i="6"/>
  <c r="Y16" i="6"/>
  <c r="X16" i="6"/>
  <c r="W16" i="6"/>
  <c r="V16" i="6"/>
  <c r="T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D15" i="6"/>
  <c r="AC15" i="6"/>
  <c r="AB15" i="6"/>
  <c r="AA15" i="6"/>
  <c r="Z15" i="6"/>
  <c r="Y15" i="6"/>
  <c r="X15" i="6"/>
  <c r="W15" i="6"/>
  <c r="V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D14" i="6"/>
  <c r="AC14" i="6"/>
  <c r="AB14" i="6"/>
  <c r="AA14" i="6"/>
  <c r="Z14" i="6"/>
  <c r="Y14" i="6"/>
  <c r="X14" i="6"/>
  <c r="W14" i="6"/>
  <c r="V14" i="6"/>
  <c r="T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D13" i="6"/>
  <c r="AC13" i="6"/>
  <c r="AB13" i="6"/>
  <c r="AA13" i="6"/>
  <c r="Z13" i="6"/>
  <c r="Y13" i="6"/>
  <c r="X13" i="6"/>
  <c r="W13" i="6"/>
  <c r="V13" i="6"/>
  <c r="T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D12" i="6"/>
  <c r="AC12" i="6"/>
  <c r="AB12" i="6"/>
  <c r="AA12" i="6"/>
  <c r="Z12" i="6"/>
  <c r="Y12" i="6"/>
  <c r="X12" i="6"/>
  <c r="W12" i="6"/>
  <c r="V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D11" i="6"/>
  <c r="AC11" i="6"/>
  <c r="AB11" i="6"/>
  <c r="AA11" i="6"/>
  <c r="Z11" i="6"/>
  <c r="Y11" i="6"/>
  <c r="X11" i="6"/>
  <c r="W11" i="6"/>
  <c r="V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D10" i="6"/>
  <c r="AC10" i="6"/>
  <c r="AB10" i="6"/>
  <c r="AA10" i="6"/>
  <c r="Z10" i="6"/>
  <c r="Y10" i="6"/>
  <c r="X10" i="6"/>
  <c r="W10" i="6"/>
  <c r="V10" i="6"/>
  <c r="T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D9" i="6"/>
  <c r="AC9" i="6"/>
  <c r="AB9" i="6"/>
  <c r="AA9" i="6"/>
  <c r="Z9" i="6"/>
  <c r="Y9" i="6"/>
  <c r="X9" i="6"/>
  <c r="W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D8" i="6"/>
  <c r="AC8" i="6"/>
  <c r="AB8" i="6"/>
  <c r="AA8" i="6"/>
  <c r="Z8" i="6"/>
  <c r="Y8" i="6"/>
  <c r="X8" i="6"/>
  <c r="W8" i="6"/>
  <c r="T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D7" i="6"/>
  <c r="AC7" i="6"/>
  <c r="AB7" i="6"/>
  <c r="AA7" i="6"/>
  <c r="Z7" i="6"/>
  <c r="Y7" i="6"/>
  <c r="X7" i="6"/>
  <c r="W7" i="6"/>
  <c r="V7" i="6"/>
  <c r="T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D6" i="6"/>
  <c r="AC6" i="6"/>
  <c r="AB6" i="6"/>
  <c r="AA6" i="6"/>
  <c r="Z6" i="6"/>
  <c r="Y6" i="6"/>
  <c r="X6" i="6"/>
  <c r="W6" i="6"/>
  <c r="V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D5" i="6"/>
  <c r="AC5" i="6"/>
  <c r="AB5" i="6"/>
  <c r="AA5" i="6"/>
  <c r="Z5" i="6"/>
  <c r="Y5" i="6"/>
  <c r="X5" i="6"/>
  <c r="W5" i="6"/>
  <c r="V5" i="6"/>
  <c r="T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D4" i="6"/>
  <c r="AC4" i="6"/>
  <c r="AB4" i="6"/>
  <c r="AA4" i="6"/>
  <c r="Z4" i="6"/>
  <c r="Y4" i="6"/>
  <c r="X4" i="6"/>
  <c r="W4" i="6"/>
  <c r="T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AD3" i="6"/>
  <c r="AC3" i="6"/>
  <c r="AB3" i="6"/>
  <c r="AA3" i="6"/>
  <c r="Z3" i="6"/>
  <c r="Y3" i="6"/>
  <c r="X3" i="6"/>
  <c r="W3" i="6"/>
  <c r="V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S1" i="6"/>
  <c r="O1" i="6"/>
  <c r="K1" i="6"/>
  <c r="G1" i="6"/>
  <c r="C1" i="6"/>
  <c r="E1022" i="5"/>
  <c r="D1022" i="5"/>
  <c r="D1021" i="5"/>
  <c r="E1021" i="5" s="1"/>
  <c r="D1020" i="5"/>
  <c r="E1020" i="5" s="1"/>
  <c r="E1019" i="5"/>
  <c r="D1019" i="5"/>
  <c r="D1018" i="5"/>
  <c r="E1018" i="5" s="1"/>
  <c r="D1017" i="5"/>
  <c r="E1017" i="5" s="1"/>
  <c r="E1016" i="5"/>
  <c r="D1016" i="5"/>
  <c r="D1015" i="5"/>
  <c r="E1015" i="5" s="1"/>
  <c r="D1014" i="5"/>
  <c r="E1014" i="5" s="1"/>
  <c r="D1013" i="5"/>
  <c r="E1013" i="5" s="1"/>
  <c r="D1012" i="5"/>
  <c r="E1012" i="5" s="1"/>
  <c r="D1011" i="5"/>
  <c r="E1011" i="5" s="1"/>
  <c r="E1010" i="5"/>
  <c r="D1010" i="5"/>
  <c r="D1009" i="5"/>
  <c r="E1009" i="5" s="1"/>
  <c r="D1008" i="5"/>
  <c r="E1008" i="5" s="1"/>
  <c r="D1007" i="5"/>
  <c r="E1007" i="5" s="1"/>
  <c r="D1006" i="5"/>
  <c r="E1006" i="5" s="1"/>
  <c r="D1005" i="5"/>
  <c r="E1005" i="5" s="1"/>
  <c r="E1004" i="5"/>
  <c r="D1004" i="5"/>
  <c r="D1003" i="5"/>
  <c r="E1003" i="5" s="1"/>
  <c r="D1002" i="5"/>
  <c r="E1002" i="5" s="1"/>
  <c r="E1001" i="5"/>
  <c r="D1001" i="5"/>
  <c r="D1000" i="5"/>
  <c r="E1000" i="5" s="1"/>
  <c r="D999" i="5"/>
  <c r="E999" i="5" s="1"/>
  <c r="E998" i="5"/>
  <c r="D998" i="5"/>
  <c r="D997" i="5"/>
  <c r="E997" i="5" s="1"/>
  <c r="D996" i="5"/>
  <c r="E996" i="5" s="1"/>
  <c r="D995" i="5"/>
  <c r="E995" i="5" s="1"/>
  <c r="D994" i="5"/>
  <c r="E994" i="5" s="1"/>
  <c r="D993" i="5"/>
  <c r="E993" i="5" s="1"/>
  <c r="E992" i="5"/>
  <c r="D992" i="5"/>
  <c r="D991" i="5"/>
  <c r="E991" i="5" s="1"/>
  <c r="D990" i="5"/>
  <c r="E990" i="5" s="1"/>
  <c r="D989" i="5"/>
  <c r="E989" i="5" s="1"/>
  <c r="D988" i="5"/>
  <c r="E988" i="5" s="1"/>
  <c r="D987" i="5"/>
  <c r="E987" i="5" s="1"/>
  <c r="D986" i="5"/>
  <c r="E986" i="5" s="1"/>
  <c r="E985" i="5"/>
  <c r="D985" i="5"/>
  <c r="E984" i="5"/>
  <c r="D984" i="5"/>
  <c r="E983" i="5"/>
  <c r="D983" i="5"/>
  <c r="E982" i="5"/>
  <c r="D982" i="5"/>
  <c r="E981" i="5"/>
  <c r="D981" i="5"/>
  <c r="D980" i="5"/>
  <c r="E980" i="5" s="1"/>
  <c r="D979" i="5"/>
  <c r="E979" i="5" s="1"/>
  <c r="D978" i="5"/>
  <c r="E978" i="5" s="1"/>
  <c r="D977" i="5"/>
  <c r="E977" i="5" s="1"/>
  <c r="D976" i="5"/>
  <c r="E976" i="5" s="1"/>
  <c r="D975" i="5"/>
  <c r="E975" i="5" s="1"/>
  <c r="D974" i="5"/>
  <c r="E974" i="5" s="1"/>
  <c r="E973" i="5"/>
  <c r="D973" i="5"/>
  <c r="E972" i="5"/>
  <c r="D972" i="5"/>
  <c r="E971" i="5"/>
  <c r="D971" i="5"/>
  <c r="E970" i="5"/>
  <c r="D970" i="5"/>
  <c r="E969" i="5"/>
  <c r="D969" i="5"/>
  <c r="D968" i="5"/>
  <c r="E968" i="5" s="1"/>
  <c r="D967" i="5"/>
  <c r="E967" i="5" s="1"/>
  <c r="D966" i="5"/>
  <c r="E966" i="5" s="1"/>
  <c r="D965" i="5"/>
  <c r="E965" i="5" s="1"/>
  <c r="D964" i="5"/>
  <c r="E964" i="5" s="1"/>
  <c r="E963" i="5"/>
  <c r="D963" i="5"/>
  <c r="D962" i="5"/>
  <c r="E962" i="5" s="1"/>
  <c r="E961" i="5"/>
  <c r="D961" i="5"/>
  <c r="E960" i="5"/>
  <c r="D960" i="5"/>
  <c r="E959" i="5"/>
  <c r="D959" i="5"/>
  <c r="E958" i="5"/>
  <c r="D958" i="5"/>
  <c r="E957" i="5"/>
  <c r="D957" i="5"/>
  <c r="D956" i="5"/>
  <c r="E956" i="5" s="1"/>
  <c r="D955" i="5"/>
  <c r="E955" i="5" s="1"/>
  <c r="D954" i="5"/>
  <c r="E954" i="5" s="1"/>
  <c r="D953" i="5"/>
  <c r="E953" i="5" s="1"/>
  <c r="D952" i="5"/>
  <c r="E952" i="5" s="1"/>
  <c r="D951" i="5"/>
  <c r="E951" i="5" s="1"/>
  <c r="D950" i="5"/>
  <c r="E950" i="5" s="1"/>
  <c r="E949" i="5"/>
  <c r="D949" i="5"/>
  <c r="E948" i="5"/>
  <c r="D948" i="5"/>
  <c r="E947" i="5"/>
  <c r="D947" i="5"/>
  <c r="E946" i="5"/>
  <c r="D946" i="5"/>
  <c r="E945" i="5"/>
  <c r="D945" i="5"/>
  <c r="D944" i="5"/>
  <c r="E944" i="5" s="1"/>
  <c r="E943" i="5"/>
  <c r="D943" i="5"/>
  <c r="D942" i="5"/>
  <c r="E942" i="5" s="1"/>
  <c r="D941" i="5"/>
  <c r="E941" i="5" s="1"/>
  <c r="D940" i="5"/>
  <c r="E940" i="5" s="1"/>
  <c r="D939" i="5"/>
  <c r="E939" i="5" s="1"/>
  <c r="D938" i="5"/>
  <c r="E938" i="5" s="1"/>
  <c r="D937" i="5"/>
  <c r="E937" i="5" s="1"/>
  <c r="E936" i="5"/>
  <c r="D936" i="5"/>
  <c r="E935" i="5"/>
  <c r="D935" i="5"/>
  <c r="E934" i="5"/>
  <c r="D934" i="5"/>
  <c r="E933" i="5"/>
  <c r="D933" i="5"/>
  <c r="D932" i="5"/>
  <c r="E932" i="5" s="1"/>
  <c r="D931" i="5"/>
  <c r="E931" i="5" s="1"/>
  <c r="D930" i="5"/>
  <c r="E930" i="5" s="1"/>
  <c r="D929" i="5"/>
  <c r="E929" i="5" s="1"/>
  <c r="D928" i="5"/>
  <c r="E928" i="5" s="1"/>
  <c r="D927" i="5"/>
  <c r="E927" i="5" s="1"/>
  <c r="D926" i="5"/>
  <c r="E926" i="5" s="1"/>
  <c r="E925" i="5"/>
  <c r="D925" i="5"/>
  <c r="D924" i="5"/>
  <c r="E924" i="5" s="1"/>
  <c r="E923" i="5"/>
  <c r="D923" i="5"/>
  <c r="E922" i="5"/>
  <c r="D922" i="5"/>
  <c r="E921" i="5"/>
  <c r="D921" i="5"/>
  <c r="D920" i="5"/>
  <c r="E920" i="5" s="1"/>
  <c r="D919" i="5"/>
  <c r="E919" i="5" s="1"/>
  <c r="D918" i="5"/>
  <c r="E918" i="5" s="1"/>
  <c r="D917" i="5"/>
  <c r="E917" i="5" s="1"/>
  <c r="D916" i="5"/>
  <c r="E916" i="5" s="1"/>
  <c r="D915" i="5"/>
  <c r="E915" i="5" s="1"/>
  <c r="D914" i="5"/>
  <c r="E914" i="5" s="1"/>
  <c r="E913" i="5"/>
  <c r="D913" i="5"/>
  <c r="E912" i="5"/>
  <c r="D912" i="5"/>
  <c r="E911" i="5"/>
  <c r="D911" i="5"/>
  <c r="E910" i="5"/>
  <c r="D910" i="5"/>
  <c r="E909" i="5"/>
  <c r="D909" i="5"/>
  <c r="D908" i="5"/>
  <c r="E908" i="5" s="1"/>
  <c r="D907" i="5"/>
  <c r="E907" i="5" s="1"/>
  <c r="D906" i="5"/>
  <c r="E906" i="5" s="1"/>
  <c r="D905" i="5"/>
  <c r="E905" i="5" s="1"/>
  <c r="D904" i="5"/>
  <c r="E904" i="5" s="1"/>
  <c r="D903" i="5"/>
  <c r="E903" i="5" s="1"/>
  <c r="D902" i="5"/>
  <c r="E902" i="5" s="1"/>
  <c r="E901" i="5"/>
  <c r="D901" i="5"/>
  <c r="E900" i="5"/>
  <c r="D900" i="5"/>
  <c r="E899" i="5"/>
  <c r="D899" i="5"/>
  <c r="D898" i="5"/>
  <c r="E898" i="5" s="1"/>
  <c r="E897" i="5"/>
  <c r="D897" i="5"/>
  <c r="D896" i="5"/>
  <c r="E896" i="5" s="1"/>
  <c r="E895" i="5"/>
  <c r="D895" i="5"/>
  <c r="D894" i="5"/>
  <c r="E894" i="5" s="1"/>
  <c r="D893" i="5"/>
  <c r="E893" i="5" s="1"/>
  <c r="D892" i="5"/>
  <c r="E892" i="5" s="1"/>
  <c r="E891" i="5"/>
  <c r="D891" i="5"/>
  <c r="D890" i="5"/>
  <c r="E890" i="5" s="1"/>
  <c r="E889" i="5"/>
  <c r="D889" i="5"/>
  <c r="E888" i="5"/>
  <c r="D888" i="5"/>
  <c r="E887" i="5"/>
  <c r="D887" i="5"/>
  <c r="E886" i="5"/>
  <c r="D886" i="5"/>
  <c r="E885" i="5"/>
  <c r="D885" i="5"/>
  <c r="D884" i="5"/>
  <c r="E884" i="5" s="1"/>
  <c r="D883" i="5"/>
  <c r="E883" i="5" s="1"/>
  <c r="E882" i="5"/>
  <c r="D882" i="5"/>
  <c r="D881" i="5"/>
  <c r="E881" i="5" s="1"/>
  <c r="D880" i="5"/>
  <c r="E880" i="5" s="1"/>
  <c r="D879" i="5"/>
  <c r="E879" i="5" s="1"/>
  <c r="D878" i="5"/>
  <c r="E878" i="5" s="1"/>
  <c r="D877" i="5"/>
  <c r="E877" i="5" s="1"/>
  <c r="E876" i="5"/>
  <c r="D876" i="5"/>
  <c r="D875" i="5"/>
  <c r="E875" i="5" s="1"/>
  <c r="D874" i="5"/>
  <c r="E874" i="5" s="1"/>
  <c r="D873" i="5"/>
  <c r="E873" i="5" s="1"/>
  <c r="D872" i="5"/>
  <c r="E872" i="5" s="1"/>
  <c r="D871" i="5"/>
  <c r="E871" i="5" s="1"/>
  <c r="E870" i="5"/>
  <c r="D870" i="5"/>
  <c r="D869" i="5"/>
  <c r="E869" i="5" s="1"/>
  <c r="D868" i="5"/>
  <c r="E868" i="5" s="1"/>
  <c r="D867" i="5"/>
  <c r="E867" i="5" s="1"/>
  <c r="E866" i="5"/>
  <c r="D866" i="5"/>
  <c r="D865" i="5"/>
  <c r="E865" i="5" s="1"/>
  <c r="E864" i="5"/>
  <c r="D864" i="5"/>
  <c r="D863" i="5"/>
  <c r="E863" i="5" s="1"/>
  <c r="D862" i="5"/>
  <c r="E862" i="5" s="1"/>
  <c r="D861" i="5"/>
  <c r="E861" i="5" s="1"/>
  <c r="D860" i="5"/>
  <c r="E860" i="5" s="1"/>
  <c r="D859" i="5"/>
  <c r="E859" i="5" s="1"/>
  <c r="E858" i="5"/>
  <c r="D858" i="5"/>
  <c r="D857" i="5"/>
  <c r="E857" i="5" s="1"/>
  <c r="D856" i="5"/>
  <c r="E856" i="5" s="1"/>
  <c r="D855" i="5"/>
  <c r="E855" i="5" s="1"/>
  <c r="D854" i="5"/>
  <c r="E854" i="5" s="1"/>
  <c r="D853" i="5"/>
  <c r="E853" i="5" s="1"/>
  <c r="D852" i="5"/>
  <c r="E852" i="5" s="1"/>
  <c r="D851" i="5"/>
  <c r="E851" i="5" s="1"/>
  <c r="D850" i="5"/>
  <c r="E850" i="5" s="1"/>
  <c r="D849" i="5"/>
  <c r="E849" i="5" s="1"/>
  <c r="E848" i="5"/>
  <c r="D848" i="5"/>
  <c r="D847" i="5"/>
  <c r="E847" i="5" s="1"/>
  <c r="E846" i="5"/>
  <c r="D846" i="5"/>
  <c r="D845" i="5"/>
  <c r="E845" i="5" s="1"/>
  <c r="D844" i="5"/>
  <c r="E844" i="5" s="1"/>
  <c r="D843" i="5"/>
  <c r="E843" i="5" s="1"/>
  <c r="E842" i="5"/>
  <c r="D842" i="5"/>
  <c r="D841" i="5"/>
  <c r="E841" i="5" s="1"/>
  <c r="E840" i="5"/>
  <c r="D840" i="5"/>
  <c r="D839" i="5"/>
  <c r="E839" i="5" s="1"/>
  <c r="D838" i="5"/>
  <c r="E838" i="5" s="1"/>
  <c r="D837" i="5"/>
  <c r="E837" i="5" s="1"/>
  <c r="D836" i="5"/>
  <c r="E836" i="5" s="1"/>
  <c r="D835" i="5"/>
  <c r="E835" i="5" s="1"/>
  <c r="D834" i="5"/>
  <c r="E834" i="5" s="1"/>
  <c r="D833" i="5"/>
  <c r="E833" i="5" s="1"/>
  <c r="D832" i="5"/>
  <c r="E832" i="5" s="1"/>
  <c r="D831" i="5"/>
  <c r="E831" i="5" s="1"/>
  <c r="E830" i="5"/>
  <c r="D830" i="5"/>
  <c r="D829" i="5"/>
  <c r="E829" i="5" s="1"/>
  <c r="E828" i="5"/>
  <c r="D828" i="5"/>
  <c r="D827" i="5"/>
  <c r="E827" i="5" s="1"/>
  <c r="D826" i="5"/>
  <c r="E826" i="5" s="1"/>
  <c r="D825" i="5"/>
  <c r="E825" i="5" s="1"/>
  <c r="E824" i="5"/>
  <c r="D824" i="5"/>
  <c r="D823" i="5"/>
  <c r="E823" i="5" s="1"/>
  <c r="E822" i="5"/>
  <c r="D822" i="5"/>
  <c r="D821" i="5"/>
  <c r="E821" i="5" s="1"/>
  <c r="D820" i="5"/>
  <c r="E820" i="5" s="1"/>
  <c r="E819" i="5"/>
  <c r="D819" i="5"/>
  <c r="D818" i="5"/>
  <c r="E818" i="5" s="1"/>
  <c r="D817" i="5"/>
  <c r="E817" i="5" s="1"/>
  <c r="E816" i="5"/>
  <c r="D816" i="5"/>
  <c r="D815" i="5"/>
  <c r="E815" i="5" s="1"/>
  <c r="D814" i="5"/>
  <c r="E814" i="5" s="1"/>
  <c r="E813" i="5"/>
  <c r="D813" i="5"/>
  <c r="D812" i="5"/>
  <c r="E812" i="5" s="1"/>
  <c r="D811" i="5"/>
  <c r="E811" i="5" s="1"/>
  <c r="D810" i="5"/>
  <c r="E810" i="5" s="1"/>
  <c r="D809" i="5"/>
  <c r="E809" i="5" s="1"/>
  <c r="D808" i="5"/>
  <c r="E808" i="5" s="1"/>
  <c r="E807" i="5"/>
  <c r="D807" i="5"/>
  <c r="E806" i="5"/>
  <c r="D806" i="5"/>
  <c r="D805" i="5"/>
  <c r="E805" i="5" s="1"/>
  <c r="D804" i="5"/>
  <c r="E804" i="5" s="1"/>
  <c r="D803" i="5"/>
  <c r="E803" i="5" s="1"/>
  <c r="D802" i="5"/>
  <c r="E802" i="5" s="1"/>
  <c r="E801" i="5"/>
  <c r="D801" i="5"/>
  <c r="E800" i="5"/>
  <c r="D800" i="5"/>
  <c r="D799" i="5"/>
  <c r="E799" i="5" s="1"/>
  <c r="E798" i="5"/>
  <c r="D798" i="5"/>
  <c r="D797" i="5"/>
  <c r="E797" i="5" s="1"/>
  <c r="D796" i="5"/>
  <c r="E796" i="5" s="1"/>
  <c r="E795" i="5"/>
  <c r="D795" i="5"/>
  <c r="D794" i="5"/>
  <c r="E794" i="5" s="1"/>
  <c r="D793" i="5"/>
  <c r="E793" i="5" s="1"/>
  <c r="D792" i="5"/>
  <c r="E792" i="5" s="1"/>
  <c r="D791" i="5"/>
  <c r="E791" i="5" s="1"/>
  <c r="D790" i="5"/>
  <c r="E790" i="5" s="1"/>
  <c r="D789" i="5"/>
  <c r="E789" i="5" s="1"/>
  <c r="E788" i="5"/>
  <c r="D788" i="5"/>
  <c r="D787" i="5"/>
  <c r="E787" i="5" s="1"/>
  <c r="E786" i="5"/>
  <c r="D786" i="5"/>
  <c r="D785" i="5"/>
  <c r="E785" i="5" s="1"/>
  <c r="D784" i="5"/>
  <c r="E784" i="5" s="1"/>
  <c r="E783" i="5"/>
  <c r="D783" i="5"/>
  <c r="D782" i="5"/>
  <c r="E782" i="5" s="1"/>
  <c r="D781" i="5"/>
  <c r="E781" i="5" s="1"/>
  <c r="D780" i="5"/>
  <c r="E780" i="5" s="1"/>
  <c r="E779" i="5"/>
  <c r="D779" i="5"/>
  <c r="D778" i="5"/>
  <c r="E778" i="5" s="1"/>
  <c r="E777" i="5"/>
  <c r="D777" i="5"/>
  <c r="E776" i="5"/>
  <c r="D776" i="5"/>
  <c r="D775" i="5"/>
  <c r="E775" i="5" s="1"/>
  <c r="D774" i="5"/>
  <c r="E774" i="5" s="1"/>
  <c r="D773" i="5"/>
  <c r="E773" i="5" s="1"/>
  <c r="D772" i="5"/>
  <c r="E772" i="5" s="1"/>
  <c r="D771" i="5"/>
  <c r="E771" i="5" s="1"/>
  <c r="E770" i="5"/>
  <c r="D770" i="5"/>
  <c r="D769" i="5"/>
  <c r="E769" i="5" s="1"/>
  <c r="E768" i="5"/>
  <c r="D768" i="5"/>
  <c r="D767" i="5"/>
  <c r="E767" i="5" s="1"/>
  <c r="D766" i="5"/>
  <c r="E766" i="5" s="1"/>
  <c r="D765" i="5"/>
  <c r="E765" i="5" s="1"/>
  <c r="D764" i="5"/>
  <c r="E764" i="5" s="1"/>
  <c r="D763" i="5"/>
  <c r="E763" i="5" s="1"/>
  <c r="D762" i="5"/>
  <c r="E762" i="5" s="1"/>
  <c r="E761" i="5"/>
  <c r="D761" i="5"/>
  <c r="D760" i="5"/>
  <c r="E760" i="5" s="1"/>
  <c r="E759" i="5"/>
  <c r="D759" i="5"/>
  <c r="D758" i="5"/>
  <c r="E758" i="5" s="1"/>
  <c r="D757" i="5"/>
  <c r="E757" i="5" s="1"/>
  <c r="D756" i="5"/>
  <c r="E756" i="5" s="1"/>
  <c r="D755" i="5"/>
  <c r="E755" i="5" s="1"/>
  <c r="D754" i="5"/>
  <c r="E754" i="5" s="1"/>
  <c r="D753" i="5"/>
  <c r="E753" i="5" s="1"/>
  <c r="E752" i="5"/>
  <c r="D752" i="5"/>
  <c r="D751" i="5"/>
  <c r="E751" i="5" s="1"/>
  <c r="E750" i="5"/>
  <c r="D750" i="5"/>
  <c r="D749" i="5"/>
  <c r="E749" i="5" s="1"/>
  <c r="D748" i="5"/>
  <c r="E748" i="5" s="1"/>
  <c r="E747" i="5"/>
  <c r="D747" i="5"/>
  <c r="D746" i="5"/>
  <c r="E746" i="5" s="1"/>
  <c r="D745" i="5"/>
  <c r="E745" i="5" s="1"/>
  <c r="D744" i="5"/>
  <c r="E744" i="5" s="1"/>
  <c r="E743" i="5"/>
  <c r="D743" i="5"/>
  <c r="D742" i="5"/>
  <c r="E742" i="5" s="1"/>
  <c r="E741" i="5"/>
  <c r="D741" i="5"/>
  <c r="E740" i="5"/>
  <c r="D740" i="5"/>
  <c r="D739" i="5"/>
  <c r="E739" i="5" s="1"/>
  <c r="D738" i="5"/>
  <c r="E738" i="5" s="1"/>
  <c r="D737" i="5"/>
  <c r="E737" i="5" s="1"/>
  <c r="D736" i="5"/>
  <c r="E736" i="5" s="1"/>
  <c r="D735" i="5"/>
  <c r="E735" i="5" s="1"/>
  <c r="E734" i="5"/>
  <c r="D734" i="5"/>
  <c r="D733" i="5"/>
  <c r="E733" i="5" s="1"/>
  <c r="E732" i="5"/>
  <c r="D732" i="5"/>
  <c r="D731" i="5"/>
  <c r="E731" i="5" s="1"/>
  <c r="D730" i="5"/>
  <c r="E730" i="5" s="1"/>
  <c r="D729" i="5"/>
  <c r="E729" i="5" s="1"/>
  <c r="D728" i="5"/>
  <c r="E728" i="5" s="1"/>
  <c r="D727" i="5"/>
  <c r="E727" i="5" s="1"/>
  <c r="D726" i="5"/>
  <c r="E726" i="5" s="1"/>
  <c r="E725" i="5"/>
  <c r="D725" i="5"/>
  <c r="D724" i="5"/>
  <c r="E724" i="5" s="1"/>
  <c r="E723" i="5"/>
  <c r="D723" i="5"/>
  <c r="D722" i="5"/>
  <c r="E722" i="5" s="1"/>
  <c r="D721" i="5"/>
  <c r="E721" i="5" s="1"/>
  <c r="D720" i="5"/>
  <c r="E720" i="5" s="1"/>
  <c r="D719" i="5"/>
  <c r="E719" i="5" s="1"/>
  <c r="D718" i="5"/>
  <c r="E718" i="5" s="1"/>
  <c r="D717" i="5"/>
  <c r="E717" i="5" s="1"/>
  <c r="E716" i="5"/>
  <c r="D716" i="5"/>
  <c r="D715" i="5"/>
  <c r="E715" i="5" s="1"/>
  <c r="E714" i="5"/>
  <c r="D714" i="5"/>
  <c r="D713" i="5"/>
  <c r="E713" i="5" s="1"/>
  <c r="D712" i="5"/>
  <c r="E712" i="5" s="1"/>
  <c r="E711" i="5"/>
  <c r="D711" i="5"/>
  <c r="D710" i="5"/>
  <c r="E710" i="5" s="1"/>
  <c r="D709" i="5"/>
  <c r="E709" i="5" s="1"/>
  <c r="D708" i="5"/>
  <c r="E708" i="5" s="1"/>
  <c r="E707" i="5"/>
  <c r="D707" i="5"/>
  <c r="D706" i="5"/>
  <c r="E706" i="5" s="1"/>
  <c r="E705" i="5"/>
  <c r="D705" i="5"/>
  <c r="E704" i="5"/>
  <c r="D704" i="5"/>
  <c r="D703" i="5"/>
  <c r="E703" i="5" s="1"/>
  <c r="D702" i="5"/>
  <c r="E702" i="5" s="1"/>
  <c r="D701" i="5"/>
  <c r="E701" i="5" s="1"/>
  <c r="D700" i="5"/>
  <c r="E700" i="5" s="1"/>
  <c r="D699" i="5"/>
  <c r="E699" i="5" s="1"/>
  <c r="E698" i="5"/>
  <c r="D698" i="5"/>
  <c r="D697" i="5"/>
  <c r="E697" i="5" s="1"/>
  <c r="E696" i="5"/>
  <c r="D696" i="5"/>
  <c r="D695" i="5"/>
  <c r="E695" i="5" s="1"/>
  <c r="D694" i="5"/>
  <c r="E694" i="5" s="1"/>
  <c r="D693" i="5"/>
  <c r="E693" i="5" s="1"/>
  <c r="D692" i="5"/>
  <c r="E692" i="5" s="1"/>
  <c r="D691" i="5"/>
  <c r="E691" i="5" s="1"/>
  <c r="D690" i="5"/>
  <c r="E690" i="5" s="1"/>
  <c r="E689" i="5"/>
  <c r="D689" i="5"/>
  <c r="D688" i="5"/>
  <c r="E688" i="5" s="1"/>
  <c r="E687" i="5"/>
  <c r="D687" i="5"/>
  <c r="D686" i="5"/>
  <c r="E686" i="5" s="1"/>
  <c r="D685" i="5"/>
  <c r="E685" i="5" s="1"/>
  <c r="D684" i="5"/>
  <c r="E684" i="5" s="1"/>
  <c r="D683" i="5"/>
  <c r="E683" i="5" s="1"/>
  <c r="D682" i="5"/>
  <c r="E682" i="5" s="1"/>
  <c r="D681" i="5"/>
  <c r="E681" i="5" s="1"/>
  <c r="E680" i="5"/>
  <c r="D680" i="5"/>
  <c r="D679" i="5"/>
  <c r="E679" i="5" s="1"/>
  <c r="E678" i="5"/>
  <c r="D678" i="5"/>
  <c r="D677" i="5"/>
  <c r="E677" i="5" s="1"/>
  <c r="D676" i="5"/>
  <c r="E676" i="5" s="1"/>
  <c r="E675" i="5"/>
  <c r="D675" i="5"/>
  <c r="D674" i="5"/>
  <c r="E674" i="5" s="1"/>
  <c r="D673" i="5"/>
  <c r="E673" i="5" s="1"/>
  <c r="D672" i="5"/>
  <c r="E672" i="5" s="1"/>
  <c r="E671" i="5"/>
  <c r="D671" i="5"/>
  <c r="D670" i="5"/>
  <c r="E670" i="5" s="1"/>
  <c r="E669" i="5"/>
  <c r="D669" i="5"/>
  <c r="E668" i="5"/>
  <c r="D668" i="5"/>
  <c r="D667" i="5"/>
  <c r="E667" i="5" s="1"/>
  <c r="D666" i="5"/>
  <c r="E666" i="5" s="1"/>
  <c r="D665" i="5"/>
  <c r="E665" i="5" s="1"/>
  <c r="D664" i="5"/>
  <c r="E664" i="5" s="1"/>
  <c r="D663" i="5"/>
  <c r="E663" i="5" s="1"/>
  <c r="E662" i="5"/>
  <c r="D662" i="5"/>
  <c r="D661" i="5"/>
  <c r="E661" i="5" s="1"/>
  <c r="E660" i="5"/>
  <c r="D660" i="5"/>
  <c r="D659" i="5"/>
  <c r="E659" i="5" s="1"/>
  <c r="D658" i="5"/>
  <c r="E658" i="5" s="1"/>
  <c r="E657" i="5"/>
  <c r="D657" i="5"/>
  <c r="D656" i="5"/>
  <c r="E656" i="5" s="1"/>
  <c r="D655" i="5"/>
  <c r="E655" i="5" s="1"/>
  <c r="D654" i="5"/>
  <c r="E654" i="5" s="1"/>
  <c r="E653" i="5"/>
  <c r="D653" i="5"/>
  <c r="D652" i="5"/>
  <c r="E652" i="5" s="1"/>
  <c r="E651" i="5"/>
  <c r="D651" i="5"/>
  <c r="D650" i="5"/>
  <c r="E650" i="5" s="1"/>
  <c r="D649" i="5"/>
  <c r="E649" i="5" s="1"/>
  <c r="D648" i="5"/>
  <c r="E648" i="5" s="1"/>
  <c r="D647" i="5"/>
  <c r="E647" i="5" s="1"/>
  <c r="D646" i="5"/>
  <c r="E646" i="5" s="1"/>
  <c r="D645" i="5"/>
  <c r="E645" i="5" s="1"/>
  <c r="E644" i="5"/>
  <c r="D644" i="5"/>
  <c r="D643" i="5"/>
  <c r="E643" i="5" s="1"/>
  <c r="E642" i="5"/>
  <c r="D642" i="5"/>
  <c r="D641" i="5"/>
  <c r="E641" i="5" s="1"/>
  <c r="D640" i="5"/>
  <c r="E640" i="5" s="1"/>
  <c r="E639" i="5"/>
  <c r="D639" i="5"/>
  <c r="D638" i="5"/>
  <c r="E638" i="5" s="1"/>
  <c r="D637" i="5"/>
  <c r="E637" i="5" s="1"/>
  <c r="D636" i="5"/>
  <c r="E636" i="5" s="1"/>
  <c r="E635" i="5"/>
  <c r="D635" i="5"/>
  <c r="D634" i="5"/>
  <c r="E634" i="5" s="1"/>
  <c r="E633" i="5"/>
  <c r="D633" i="5"/>
  <c r="E632" i="5"/>
  <c r="D632" i="5"/>
  <c r="D631" i="5"/>
  <c r="E631" i="5" s="1"/>
  <c r="D630" i="5"/>
  <c r="E630" i="5" s="1"/>
  <c r="D629" i="5"/>
  <c r="E629" i="5" s="1"/>
  <c r="D628" i="5"/>
  <c r="E628" i="5" s="1"/>
  <c r="D627" i="5"/>
  <c r="E627" i="5" s="1"/>
  <c r="E626" i="5"/>
  <c r="D626" i="5"/>
  <c r="D625" i="5"/>
  <c r="E625" i="5" s="1"/>
  <c r="E624" i="5"/>
  <c r="D624" i="5"/>
  <c r="D623" i="5"/>
  <c r="E623" i="5" s="1"/>
  <c r="D622" i="5"/>
  <c r="E622" i="5" s="1"/>
  <c r="E621" i="5"/>
  <c r="D621" i="5"/>
  <c r="D620" i="5"/>
  <c r="E620" i="5" s="1"/>
  <c r="D619" i="5"/>
  <c r="E619" i="5" s="1"/>
  <c r="D618" i="5"/>
  <c r="E618" i="5" s="1"/>
  <c r="E617" i="5"/>
  <c r="D617" i="5"/>
  <c r="D616" i="5"/>
  <c r="E616" i="5" s="1"/>
  <c r="E615" i="5"/>
  <c r="D615" i="5"/>
  <c r="D614" i="5"/>
  <c r="E614" i="5" s="1"/>
  <c r="D613" i="5"/>
  <c r="E613" i="5" s="1"/>
  <c r="D612" i="5"/>
  <c r="E612" i="5" s="1"/>
  <c r="D611" i="5"/>
  <c r="E611" i="5" s="1"/>
  <c r="D610" i="5"/>
  <c r="E610" i="5" s="1"/>
  <c r="D609" i="5"/>
  <c r="E609" i="5" s="1"/>
  <c r="E608" i="5"/>
  <c r="D608" i="5"/>
  <c r="D607" i="5"/>
  <c r="E607" i="5" s="1"/>
  <c r="E606" i="5"/>
  <c r="D606" i="5"/>
  <c r="D605" i="5"/>
  <c r="E605" i="5" s="1"/>
  <c r="D604" i="5"/>
  <c r="E604" i="5" s="1"/>
  <c r="E603" i="5"/>
  <c r="D603" i="5"/>
  <c r="D602" i="5"/>
  <c r="E602" i="5" s="1"/>
  <c r="D601" i="5"/>
  <c r="E601" i="5" s="1"/>
  <c r="D600" i="5"/>
  <c r="E600" i="5" s="1"/>
  <c r="E599" i="5"/>
  <c r="D599" i="5"/>
  <c r="D598" i="5"/>
  <c r="E598" i="5" s="1"/>
  <c r="E597" i="5"/>
  <c r="D597" i="5"/>
  <c r="E596" i="5"/>
  <c r="D596" i="5"/>
  <c r="D595" i="5"/>
  <c r="E595" i="5" s="1"/>
  <c r="D594" i="5"/>
  <c r="E594" i="5" s="1"/>
  <c r="D593" i="5"/>
  <c r="E593" i="5" s="1"/>
  <c r="D592" i="5"/>
  <c r="E592" i="5" s="1"/>
  <c r="D591" i="5"/>
  <c r="E591" i="5" s="1"/>
  <c r="E590" i="5"/>
  <c r="D590" i="5"/>
  <c r="D589" i="5"/>
  <c r="E589" i="5" s="1"/>
  <c r="E588" i="5"/>
  <c r="D588" i="5"/>
  <c r="D587" i="5"/>
  <c r="E587" i="5" s="1"/>
  <c r="D586" i="5"/>
  <c r="E586" i="5" s="1"/>
  <c r="E585" i="5"/>
  <c r="D585" i="5"/>
  <c r="D584" i="5"/>
  <c r="E584" i="5" s="1"/>
  <c r="D583" i="5"/>
  <c r="E583" i="5" s="1"/>
  <c r="D582" i="5"/>
  <c r="E582" i="5" s="1"/>
  <c r="E581" i="5"/>
  <c r="D581" i="5"/>
  <c r="D580" i="5"/>
  <c r="E580" i="5" s="1"/>
  <c r="E579" i="5"/>
  <c r="D579" i="5"/>
  <c r="D578" i="5"/>
  <c r="E578" i="5" s="1"/>
  <c r="D577" i="5"/>
  <c r="E577" i="5" s="1"/>
  <c r="D576" i="5"/>
  <c r="E576" i="5" s="1"/>
  <c r="D575" i="5"/>
  <c r="E575" i="5" s="1"/>
  <c r="D574" i="5"/>
  <c r="E574" i="5" s="1"/>
  <c r="D573" i="5"/>
  <c r="E573" i="5" s="1"/>
  <c r="D572" i="5"/>
  <c r="E572" i="5" s="1"/>
  <c r="D571" i="5"/>
  <c r="E571" i="5" s="1"/>
  <c r="E570" i="5"/>
  <c r="D570" i="5"/>
  <c r="D569" i="5"/>
  <c r="E569" i="5" s="1"/>
  <c r="D568" i="5"/>
  <c r="E568" i="5" s="1"/>
  <c r="E567" i="5"/>
  <c r="D567" i="5"/>
  <c r="D566" i="5"/>
  <c r="E566" i="5" s="1"/>
  <c r="D565" i="5"/>
  <c r="E565" i="5" s="1"/>
  <c r="D564" i="5"/>
  <c r="E564" i="5" s="1"/>
  <c r="E563" i="5"/>
  <c r="D563" i="5"/>
  <c r="D562" i="5"/>
  <c r="E562" i="5" s="1"/>
  <c r="E561" i="5"/>
  <c r="D561" i="5"/>
  <c r="E560" i="5"/>
  <c r="D560" i="5"/>
  <c r="D559" i="5"/>
  <c r="E559" i="5" s="1"/>
  <c r="E558" i="5"/>
  <c r="D558" i="5"/>
  <c r="D557" i="5"/>
  <c r="E557" i="5" s="1"/>
  <c r="D556" i="5"/>
  <c r="E556" i="5" s="1"/>
  <c r="E555" i="5"/>
  <c r="D555" i="5"/>
  <c r="E554" i="5"/>
  <c r="D554" i="5"/>
  <c r="D553" i="5"/>
  <c r="E553" i="5" s="1"/>
  <c r="D552" i="5"/>
  <c r="E552" i="5" s="1"/>
  <c r="E551" i="5"/>
  <c r="D551" i="5"/>
  <c r="D550" i="5"/>
  <c r="E550" i="5" s="1"/>
  <c r="E549" i="5"/>
  <c r="D549" i="5"/>
  <c r="E548" i="5"/>
  <c r="D548" i="5"/>
  <c r="D547" i="5"/>
  <c r="E547" i="5" s="1"/>
  <c r="E546" i="5"/>
  <c r="D546" i="5"/>
  <c r="D545" i="5"/>
  <c r="E545" i="5" s="1"/>
  <c r="D544" i="5"/>
  <c r="E544" i="5" s="1"/>
  <c r="E543" i="5"/>
  <c r="D543" i="5"/>
  <c r="E542" i="5"/>
  <c r="D542" i="5"/>
  <c r="D541" i="5"/>
  <c r="E541" i="5" s="1"/>
  <c r="D540" i="5"/>
  <c r="E540" i="5" s="1"/>
  <c r="E539" i="5"/>
  <c r="D539" i="5"/>
  <c r="D538" i="5"/>
  <c r="E538" i="5" s="1"/>
  <c r="E537" i="5"/>
  <c r="D537" i="5"/>
  <c r="E536" i="5"/>
  <c r="D536" i="5"/>
  <c r="D535" i="5"/>
  <c r="E535" i="5" s="1"/>
  <c r="D534" i="5"/>
  <c r="E534" i="5" s="1"/>
  <c r="D533" i="5"/>
  <c r="E533" i="5" s="1"/>
  <c r="D532" i="5"/>
  <c r="E532" i="5" s="1"/>
  <c r="E531" i="5"/>
  <c r="D531" i="5"/>
  <c r="E530" i="5"/>
  <c r="D530" i="5"/>
  <c r="D529" i="5"/>
  <c r="E529" i="5" s="1"/>
  <c r="D528" i="5"/>
  <c r="E528" i="5" s="1"/>
  <c r="D527" i="5"/>
  <c r="E527" i="5" s="1"/>
  <c r="D526" i="5"/>
  <c r="E526" i="5" s="1"/>
  <c r="E525" i="5"/>
  <c r="D525" i="5"/>
  <c r="E524" i="5"/>
  <c r="D524" i="5"/>
  <c r="D523" i="5"/>
  <c r="E523" i="5" s="1"/>
  <c r="E522" i="5"/>
  <c r="D522" i="5"/>
  <c r="D521" i="5"/>
  <c r="E521" i="5" s="1"/>
  <c r="D520" i="5"/>
  <c r="E520" i="5" s="1"/>
  <c r="E519" i="5"/>
  <c r="D519" i="5"/>
  <c r="E518" i="5"/>
  <c r="D518" i="5"/>
  <c r="D517" i="5"/>
  <c r="E517" i="5" s="1"/>
  <c r="D516" i="5"/>
  <c r="E516" i="5" s="1"/>
  <c r="E515" i="5"/>
  <c r="D515" i="5"/>
  <c r="D514" i="5"/>
  <c r="E514" i="5" s="1"/>
  <c r="E513" i="5"/>
  <c r="D513" i="5"/>
  <c r="E512" i="5"/>
  <c r="D512" i="5"/>
  <c r="D511" i="5"/>
  <c r="E511" i="5" s="1"/>
  <c r="E510" i="5"/>
  <c r="D510" i="5"/>
  <c r="D509" i="5"/>
  <c r="E509" i="5" s="1"/>
  <c r="D508" i="5"/>
  <c r="E508" i="5" s="1"/>
  <c r="E507" i="5"/>
  <c r="D507" i="5"/>
  <c r="E506" i="5"/>
  <c r="D506" i="5"/>
  <c r="D505" i="5"/>
  <c r="E505" i="5" s="1"/>
  <c r="D504" i="5"/>
  <c r="E504" i="5" s="1"/>
  <c r="E503" i="5"/>
  <c r="D503" i="5"/>
  <c r="D502" i="5"/>
  <c r="E502" i="5" s="1"/>
  <c r="E501" i="5"/>
  <c r="D501" i="5"/>
  <c r="E500" i="5"/>
  <c r="D500" i="5"/>
  <c r="D499" i="5"/>
  <c r="E499" i="5" s="1"/>
  <c r="D498" i="5"/>
  <c r="E498" i="5" s="1"/>
  <c r="D497" i="5"/>
  <c r="E497" i="5" s="1"/>
  <c r="D496" i="5"/>
  <c r="E496" i="5" s="1"/>
  <c r="E495" i="5"/>
  <c r="D495" i="5"/>
  <c r="E494" i="5"/>
  <c r="D494" i="5"/>
  <c r="D493" i="5"/>
  <c r="E493" i="5" s="1"/>
  <c r="D492" i="5"/>
  <c r="E492" i="5" s="1"/>
  <c r="D491" i="5"/>
  <c r="E491" i="5" s="1"/>
  <c r="D490" i="5"/>
  <c r="E490" i="5" s="1"/>
  <c r="E489" i="5"/>
  <c r="D489" i="5"/>
  <c r="D488" i="5"/>
  <c r="E488" i="5" s="1"/>
  <c r="D487" i="5"/>
  <c r="E487" i="5" s="1"/>
  <c r="E486" i="5"/>
  <c r="D486" i="5"/>
  <c r="D485" i="5"/>
  <c r="E485" i="5" s="1"/>
  <c r="D484" i="5"/>
  <c r="E484" i="5" s="1"/>
  <c r="E483" i="5"/>
  <c r="D483" i="5"/>
  <c r="D482" i="5"/>
  <c r="E482" i="5" s="1"/>
  <c r="D481" i="5"/>
  <c r="E481" i="5" s="1"/>
  <c r="D480" i="5"/>
  <c r="E480" i="5" s="1"/>
  <c r="E479" i="5"/>
  <c r="D479" i="5"/>
  <c r="D478" i="5"/>
  <c r="E478" i="5" s="1"/>
  <c r="E477" i="5"/>
  <c r="D477" i="5"/>
  <c r="D476" i="5"/>
  <c r="E476" i="5" s="1"/>
  <c r="D475" i="5"/>
  <c r="E475" i="5" s="1"/>
  <c r="E474" i="5"/>
  <c r="D474" i="5"/>
  <c r="D473" i="5"/>
  <c r="E473" i="5" s="1"/>
  <c r="D472" i="5"/>
  <c r="E472" i="5" s="1"/>
  <c r="E471" i="5"/>
  <c r="D471" i="5"/>
  <c r="E470" i="5"/>
  <c r="D470" i="5"/>
  <c r="D469" i="5"/>
  <c r="E469" i="5" s="1"/>
  <c r="D468" i="5"/>
  <c r="E468" i="5" s="1"/>
  <c r="E467" i="5"/>
  <c r="D467" i="5"/>
  <c r="D466" i="5"/>
  <c r="E466" i="5" s="1"/>
  <c r="E465" i="5"/>
  <c r="D465" i="5"/>
  <c r="E464" i="5"/>
  <c r="D464" i="5"/>
  <c r="D463" i="5"/>
  <c r="E463" i="5" s="1"/>
  <c r="D462" i="5"/>
  <c r="E462" i="5" s="1"/>
  <c r="D461" i="5"/>
  <c r="E461" i="5" s="1"/>
  <c r="D460" i="5"/>
  <c r="E460" i="5" s="1"/>
  <c r="E459" i="5"/>
  <c r="D459" i="5"/>
  <c r="E458" i="5"/>
  <c r="D458" i="5"/>
  <c r="D457" i="5"/>
  <c r="E457" i="5" s="1"/>
  <c r="D456" i="5"/>
  <c r="E456" i="5" s="1"/>
  <c r="D455" i="5"/>
  <c r="E455" i="5" s="1"/>
  <c r="D454" i="5"/>
  <c r="E454" i="5" s="1"/>
  <c r="E453" i="5"/>
  <c r="D453" i="5"/>
  <c r="D452" i="5"/>
  <c r="E452" i="5" s="1"/>
  <c r="D451" i="5"/>
  <c r="E451" i="5" s="1"/>
  <c r="E450" i="5"/>
  <c r="D450" i="5"/>
  <c r="D449" i="5"/>
  <c r="E449" i="5" s="1"/>
  <c r="D448" i="5"/>
  <c r="E448" i="5" s="1"/>
  <c r="E447" i="5"/>
  <c r="D447" i="5"/>
  <c r="D446" i="5"/>
  <c r="E446" i="5" s="1"/>
  <c r="D445" i="5"/>
  <c r="E445" i="5" s="1"/>
  <c r="D444" i="5"/>
  <c r="E444" i="5" s="1"/>
  <c r="E443" i="5"/>
  <c r="D443" i="5"/>
  <c r="D442" i="5"/>
  <c r="E442" i="5" s="1"/>
  <c r="E441" i="5"/>
  <c r="D441" i="5"/>
  <c r="D440" i="5"/>
  <c r="E440" i="5" s="1"/>
  <c r="D439" i="5"/>
  <c r="E439" i="5" s="1"/>
  <c r="E438" i="5"/>
  <c r="D438" i="5"/>
  <c r="D437" i="5"/>
  <c r="E437" i="5" s="1"/>
  <c r="D436" i="5"/>
  <c r="E436" i="5" s="1"/>
  <c r="E435" i="5"/>
  <c r="D435" i="5"/>
  <c r="E434" i="5"/>
  <c r="D434" i="5"/>
  <c r="D433" i="5"/>
  <c r="E433" i="5" s="1"/>
  <c r="D432" i="5"/>
  <c r="E432" i="5" s="1"/>
  <c r="E431" i="5"/>
  <c r="D431" i="5"/>
  <c r="D430" i="5"/>
  <c r="E430" i="5" s="1"/>
  <c r="E429" i="5"/>
  <c r="D429" i="5"/>
  <c r="E428" i="5"/>
  <c r="D428" i="5"/>
  <c r="D427" i="5"/>
  <c r="E427" i="5" s="1"/>
  <c r="E426" i="5"/>
  <c r="D426" i="5"/>
  <c r="D425" i="5"/>
  <c r="E425" i="5" s="1"/>
  <c r="D424" i="5"/>
  <c r="E424" i="5" s="1"/>
  <c r="D423" i="5"/>
  <c r="E423" i="5" s="1"/>
  <c r="E422" i="5"/>
  <c r="D422" i="5"/>
  <c r="D421" i="5"/>
  <c r="E421" i="5" s="1"/>
  <c r="D420" i="5"/>
  <c r="E420" i="5" s="1"/>
  <c r="D419" i="5"/>
  <c r="E419" i="5" s="1"/>
  <c r="D418" i="5"/>
  <c r="E418" i="5" s="1"/>
  <c r="D417" i="5"/>
  <c r="E417" i="5" s="1"/>
  <c r="D416" i="5"/>
  <c r="E416" i="5" s="1"/>
  <c r="D415" i="5"/>
  <c r="E415" i="5" s="1"/>
  <c r="E414" i="5"/>
  <c r="D414" i="5"/>
  <c r="D413" i="5"/>
  <c r="E413" i="5" s="1"/>
  <c r="D412" i="5"/>
  <c r="E412" i="5" s="1"/>
  <c r="D411" i="5"/>
  <c r="E411" i="5" s="1"/>
  <c r="D410" i="5"/>
  <c r="E410" i="5" s="1"/>
  <c r="D409" i="5"/>
  <c r="E409" i="5" s="1"/>
  <c r="D408" i="5"/>
  <c r="E408" i="5" s="1"/>
  <c r="E407" i="5"/>
  <c r="D407" i="5"/>
  <c r="D406" i="5"/>
  <c r="E406" i="5" s="1"/>
  <c r="E405" i="5"/>
  <c r="D405" i="5"/>
  <c r="D404" i="5"/>
  <c r="E404" i="5" s="1"/>
  <c r="D403" i="5"/>
  <c r="E403" i="5" s="1"/>
  <c r="E402" i="5"/>
  <c r="D402" i="5"/>
  <c r="D401" i="5"/>
  <c r="E401" i="5" s="1"/>
  <c r="D400" i="5"/>
  <c r="E400" i="5" s="1"/>
  <c r="E399" i="5"/>
  <c r="D399" i="5"/>
  <c r="E398" i="5"/>
  <c r="D398" i="5"/>
  <c r="D397" i="5"/>
  <c r="E397" i="5" s="1"/>
  <c r="D396" i="5"/>
  <c r="E396" i="5" s="1"/>
  <c r="E395" i="5"/>
  <c r="D395" i="5"/>
  <c r="D394" i="5"/>
  <c r="E394" i="5" s="1"/>
  <c r="E393" i="5"/>
  <c r="D393" i="5"/>
  <c r="E392" i="5"/>
  <c r="D392" i="5"/>
  <c r="D391" i="5"/>
  <c r="E391" i="5" s="1"/>
  <c r="E390" i="5"/>
  <c r="D390" i="5"/>
  <c r="D389" i="5"/>
  <c r="E389" i="5" s="1"/>
  <c r="D388" i="5"/>
  <c r="E388" i="5" s="1"/>
  <c r="D387" i="5"/>
  <c r="E387" i="5" s="1"/>
  <c r="E386" i="5"/>
  <c r="D386" i="5"/>
  <c r="D385" i="5"/>
  <c r="E385" i="5" s="1"/>
  <c r="D384" i="5"/>
  <c r="E384" i="5" s="1"/>
  <c r="E383" i="5"/>
  <c r="D383" i="5"/>
  <c r="D382" i="5"/>
  <c r="E382" i="5" s="1"/>
  <c r="D381" i="5"/>
  <c r="E381" i="5" s="1"/>
  <c r="D380" i="5"/>
  <c r="E380" i="5" s="1"/>
  <c r="D379" i="5"/>
  <c r="E379" i="5" s="1"/>
  <c r="E378" i="5"/>
  <c r="D378" i="5"/>
  <c r="D377" i="5"/>
  <c r="E377" i="5" s="1"/>
  <c r="D376" i="5"/>
  <c r="E376" i="5" s="1"/>
  <c r="D375" i="5"/>
  <c r="E375" i="5" s="1"/>
  <c r="D374" i="5"/>
  <c r="E374" i="5" s="1"/>
  <c r="D373" i="5"/>
  <c r="E373" i="5" s="1"/>
  <c r="D372" i="5"/>
  <c r="E372" i="5" s="1"/>
  <c r="E371" i="5"/>
  <c r="D371" i="5"/>
  <c r="D370" i="5"/>
  <c r="E370" i="5" s="1"/>
  <c r="E369" i="5"/>
  <c r="D369" i="5"/>
  <c r="D368" i="5"/>
  <c r="E368" i="5" s="1"/>
  <c r="D367" i="5"/>
  <c r="E367" i="5" s="1"/>
  <c r="E366" i="5"/>
  <c r="D366" i="5"/>
  <c r="D365" i="5"/>
  <c r="E365" i="5" s="1"/>
  <c r="D364" i="5"/>
  <c r="E364" i="5" s="1"/>
  <c r="E363" i="5"/>
  <c r="D363" i="5"/>
  <c r="E362" i="5"/>
  <c r="D362" i="5"/>
  <c r="D361" i="5"/>
  <c r="E361" i="5" s="1"/>
  <c r="D360" i="5"/>
  <c r="E360" i="5" s="1"/>
  <c r="E359" i="5"/>
  <c r="D359" i="5"/>
  <c r="D358" i="5"/>
  <c r="E358" i="5" s="1"/>
  <c r="E357" i="5"/>
  <c r="D357" i="5"/>
  <c r="E356" i="5"/>
  <c r="D356" i="5"/>
  <c r="D355" i="5"/>
  <c r="E355" i="5" s="1"/>
  <c r="E354" i="5"/>
  <c r="D354" i="5"/>
  <c r="D353" i="5"/>
  <c r="E353" i="5" s="1"/>
  <c r="D352" i="5"/>
  <c r="E352" i="5" s="1"/>
  <c r="D351" i="5"/>
  <c r="E351" i="5" s="1"/>
  <c r="E350" i="5"/>
  <c r="D350" i="5"/>
  <c r="D349" i="5"/>
  <c r="E349" i="5" s="1"/>
  <c r="D348" i="5"/>
  <c r="E348" i="5" s="1"/>
  <c r="E347" i="5"/>
  <c r="D347" i="5"/>
  <c r="D346" i="5"/>
  <c r="E346" i="5" s="1"/>
  <c r="D345" i="5"/>
  <c r="E345" i="5" s="1"/>
  <c r="D344" i="5"/>
  <c r="E344" i="5" s="1"/>
  <c r="D343" i="5"/>
  <c r="E343" i="5" s="1"/>
  <c r="E342" i="5"/>
  <c r="D342" i="5"/>
  <c r="D341" i="5"/>
  <c r="E341" i="5" s="1"/>
  <c r="D340" i="5"/>
  <c r="E340" i="5" s="1"/>
  <c r="D339" i="5"/>
  <c r="E339" i="5" s="1"/>
  <c r="D338" i="5"/>
  <c r="E338" i="5" s="1"/>
  <c r="D337" i="5"/>
  <c r="E337" i="5" s="1"/>
  <c r="D336" i="5"/>
  <c r="E336" i="5" s="1"/>
  <c r="E335" i="5"/>
  <c r="D335" i="5"/>
  <c r="D334" i="5"/>
  <c r="E334" i="5" s="1"/>
  <c r="E333" i="5"/>
  <c r="D333" i="5"/>
  <c r="D332" i="5"/>
  <c r="E332" i="5" s="1"/>
  <c r="D331" i="5"/>
  <c r="E331" i="5" s="1"/>
  <c r="E330" i="5"/>
  <c r="D330" i="5"/>
  <c r="D329" i="5"/>
  <c r="E329" i="5" s="1"/>
  <c r="D328" i="5"/>
  <c r="E328" i="5" s="1"/>
  <c r="E327" i="5"/>
  <c r="D327" i="5"/>
  <c r="E326" i="5"/>
  <c r="D326" i="5"/>
  <c r="D325" i="5"/>
  <c r="E325" i="5" s="1"/>
  <c r="D324" i="5"/>
  <c r="E324" i="5" s="1"/>
  <c r="E323" i="5"/>
  <c r="D323" i="5"/>
  <c r="D322" i="5"/>
  <c r="E322" i="5" s="1"/>
  <c r="E321" i="5"/>
  <c r="D321" i="5"/>
  <c r="E320" i="5"/>
  <c r="D320" i="5"/>
  <c r="D319" i="5"/>
  <c r="E319" i="5" s="1"/>
  <c r="E318" i="5"/>
  <c r="D318" i="5"/>
  <c r="D317" i="5"/>
  <c r="E317" i="5" s="1"/>
  <c r="D316" i="5"/>
  <c r="E316" i="5" s="1"/>
  <c r="D315" i="5"/>
  <c r="E315" i="5" s="1"/>
  <c r="E314" i="5"/>
  <c r="D314" i="5"/>
  <c r="D313" i="5"/>
  <c r="E313" i="5" s="1"/>
  <c r="D312" i="5"/>
  <c r="E312" i="5" s="1"/>
  <c r="E311" i="5"/>
  <c r="D311" i="5"/>
  <c r="D310" i="5"/>
  <c r="E310" i="5" s="1"/>
  <c r="D309" i="5"/>
  <c r="E309" i="5" s="1"/>
  <c r="D308" i="5"/>
  <c r="E308" i="5" s="1"/>
  <c r="D307" i="5"/>
  <c r="E307" i="5" s="1"/>
  <c r="E306" i="5"/>
  <c r="D306" i="5"/>
  <c r="D305" i="5"/>
  <c r="E305" i="5" s="1"/>
  <c r="D304" i="5"/>
  <c r="E304" i="5" s="1"/>
  <c r="D303" i="5"/>
  <c r="E303" i="5" s="1"/>
  <c r="D302" i="5"/>
  <c r="E302" i="5" s="1"/>
  <c r="D301" i="5"/>
  <c r="E301" i="5" s="1"/>
  <c r="D300" i="5"/>
  <c r="E300" i="5" s="1"/>
  <c r="E299" i="5"/>
  <c r="D299" i="5"/>
  <c r="D298" i="5"/>
  <c r="E298" i="5" s="1"/>
  <c r="E297" i="5"/>
  <c r="D297" i="5"/>
  <c r="D296" i="5"/>
  <c r="E296" i="5" s="1"/>
  <c r="D295" i="5"/>
  <c r="E295" i="5" s="1"/>
  <c r="E294" i="5"/>
  <c r="D294" i="5"/>
  <c r="D293" i="5"/>
  <c r="E293" i="5" s="1"/>
  <c r="D292" i="5"/>
  <c r="E292" i="5" s="1"/>
  <c r="E291" i="5"/>
  <c r="D291" i="5"/>
  <c r="E290" i="5"/>
  <c r="D290" i="5"/>
  <c r="D289" i="5"/>
  <c r="E289" i="5" s="1"/>
  <c r="D288" i="5"/>
  <c r="E288" i="5" s="1"/>
  <c r="E287" i="5"/>
  <c r="D287" i="5"/>
  <c r="D286" i="5"/>
  <c r="E286" i="5" s="1"/>
  <c r="E285" i="5"/>
  <c r="D285" i="5"/>
  <c r="E284" i="5"/>
  <c r="D284" i="5"/>
  <c r="D283" i="5"/>
  <c r="E283" i="5" s="1"/>
  <c r="E282" i="5"/>
  <c r="D282" i="5"/>
  <c r="D281" i="5"/>
  <c r="E281" i="5" s="1"/>
  <c r="D280" i="5"/>
  <c r="E280" i="5" s="1"/>
  <c r="D279" i="5"/>
  <c r="E279" i="5" s="1"/>
  <c r="E278" i="5"/>
  <c r="D278" i="5"/>
  <c r="D277" i="5"/>
  <c r="E277" i="5" s="1"/>
  <c r="D276" i="5"/>
  <c r="E276" i="5" s="1"/>
  <c r="E275" i="5"/>
  <c r="D275" i="5"/>
  <c r="D274" i="5"/>
  <c r="E274" i="5" s="1"/>
  <c r="D273" i="5"/>
  <c r="E273" i="5" s="1"/>
  <c r="D272" i="5"/>
  <c r="E272" i="5" s="1"/>
  <c r="D271" i="5"/>
  <c r="E271" i="5" s="1"/>
  <c r="E270" i="5"/>
  <c r="D270" i="5"/>
  <c r="D269" i="5"/>
  <c r="E269" i="5" s="1"/>
  <c r="D268" i="5"/>
  <c r="E268" i="5" s="1"/>
  <c r="D267" i="5"/>
  <c r="E267" i="5" s="1"/>
  <c r="D266" i="5"/>
  <c r="E266" i="5" s="1"/>
  <c r="D265" i="5"/>
  <c r="E265" i="5" s="1"/>
  <c r="D264" i="5"/>
  <c r="E264" i="5" s="1"/>
  <c r="E263" i="5"/>
  <c r="D263" i="5"/>
  <c r="D262" i="5"/>
  <c r="E262" i="5" s="1"/>
  <c r="E261" i="5"/>
  <c r="D261" i="5"/>
  <c r="D260" i="5"/>
  <c r="E260" i="5" s="1"/>
  <c r="D259" i="5"/>
  <c r="E259" i="5" s="1"/>
  <c r="E258" i="5"/>
  <c r="D258" i="5"/>
  <c r="D257" i="5"/>
  <c r="E257" i="5" s="1"/>
  <c r="D256" i="5"/>
  <c r="E256" i="5" s="1"/>
  <c r="E255" i="5"/>
  <c r="D255" i="5"/>
  <c r="E254" i="5"/>
  <c r="D254" i="5"/>
  <c r="D253" i="5"/>
  <c r="E253" i="5" s="1"/>
  <c r="D252" i="5"/>
  <c r="E252" i="5" s="1"/>
  <c r="E251" i="5"/>
  <c r="D251" i="5"/>
  <c r="D250" i="5"/>
  <c r="E250" i="5" s="1"/>
  <c r="E249" i="5"/>
  <c r="D249" i="5"/>
  <c r="E248" i="5"/>
  <c r="D248" i="5"/>
  <c r="D247" i="5"/>
  <c r="E247" i="5" s="1"/>
  <c r="E246" i="5"/>
  <c r="D246" i="5"/>
  <c r="D245" i="5"/>
  <c r="E245" i="5" s="1"/>
  <c r="D244" i="5"/>
  <c r="E244" i="5" s="1"/>
  <c r="D243" i="5"/>
  <c r="E243" i="5" s="1"/>
  <c r="E242" i="5"/>
  <c r="D242" i="5"/>
  <c r="D241" i="5"/>
  <c r="E241" i="5" s="1"/>
  <c r="D240" i="5"/>
  <c r="E240" i="5" s="1"/>
  <c r="E239" i="5"/>
  <c r="D239" i="5"/>
  <c r="D238" i="5"/>
  <c r="E238" i="5" s="1"/>
  <c r="D237" i="5"/>
  <c r="E237" i="5" s="1"/>
  <c r="D236" i="5"/>
  <c r="E236" i="5" s="1"/>
  <c r="D235" i="5"/>
  <c r="E235" i="5" s="1"/>
  <c r="E234" i="5"/>
  <c r="D234" i="5"/>
  <c r="D233" i="5"/>
  <c r="E233" i="5" s="1"/>
  <c r="D232" i="5"/>
  <c r="E232" i="5" s="1"/>
  <c r="D231" i="5"/>
  <c r="E231" i="5" s="1"/>
  <c r="D230" i="5"/>
  <c r="E230" i="5" s="1"/>
  <c r="D229" i="5"/>
  <c r="E229" i="5" s="1"/>
  <c r="D228" i="5"/>
  <c r="E228" i="5" s="1"/>
  <c r="E227" i="5"/>
  <c r="D227" i="5"/>
  <c r="D226" i="5"/>
  <c r="E226" i="5" s="1"/>
  <c r="E225" i="5"/>
  <c r="D225" i="5"/>
  <c r="D224" i="5"/>
  <c r="E224" i="5" s="1"/>
  <c r="D223" i="5"/>
  <c r="E223" i="5" s="1"/>
  <c r="E222" i="5"/>
  <c r="D222" i="5"/>
  <c r="D221" i="5"/>
  <c r="E221" i="5" s="1"/>
  <c r="D220" i="5"/>
  <c r="E220" i="5" s="1"/>
  <c r="E219" i="5"/>
  <c r="D219" i="5"/>
  <c r="E218" i="5"/>
  <c r="D218" i="5"/>
  <c r="D217" i="5"/>
  <c r="E217" i="5" s="1"/>
  <c r="D216" i="5"/>
  <c r="E216" i="5" s="1"/>
  <c r="E215" i="5"/>
  <c r="D215" i="5"/>
  <c r="D214" i="5"/>
  <c r="E214" i="5" s="1"/>
  <c r="E213" i="5"/>
  <c r="D213" i="5"/>
  <c r="E212" i="5"/>
  <c r="D212" i="5"/>
  <c r="D211" i="5"/>
  <c r="E211" i="5" s="1"/>
  <c r="E210" i="5"/>
  <c r="D210" i="5"/>
  <c r="D209" i="5"/>
  <c r="E209" i="5" s="1"/>
  <c r="D208" i="5"/>
  <c r="E208" i="5" s="1"/>
  <c r="D207" i="5"/>
  <c r="E207" i="5" s="1"/>
  <c r="E206" i="5"/>
  <c r="D206" i="5"/>
  <c r="D205" i="5"/>
  <c r="E205" i="5" s="1"/>
  <c r="D204" i="5"/>
  <c r="E204" i="5" s="1"/>
  <c r="E203" i="5"/>
  <c r="D203" i="5"/>
  <c r="D202" i="5"/>
  <c r="E202" i="5" s="1"/>
  <c r="D201" i="5"/>
  <c r="E201" i="5" s="1"/>
  <c r="D200" i="5"/>
  <c r="E200" i="5" s="1"/>
  <c r="D199" i="5"/>
  <c r="E199" i="5" s="1"/>
  <c r="E198" i="5"/>
  <c r="D198" i="5"/>
  <c r="D197" i="5"/>
  <c r="E197" i="5" s="1"/>
  <c r="D196" i="5"/>
  <c r="E196" i="5" s="1"/>
  <c r="D195" i="5"/>
  <c r="E195" i="5" s="1"/>
  <c r="D194" i="5"/>
  <c r="E194" i="5" s="1"/>
  <c r="D193" i="5"/>
  <c r="E193" i="5" s="1"/>
  <c r="D192" i="5"/>
  <c r="E192" i="5" s="1"/>
  <c r="E191" i="5"/>
  <c r="D191" i="5"/>
  <c r="D190" i="5"/>
  <c r="E190" i="5" s="1"/>
  <c r="E189" i="5"/>
  <c r="D189" i="5"/>
  <c r="D188" i="5"/>
  <c r="E188" i="5" s="1"/>
  <c r="D187" i="5"/>
  <c r="E187" i="5" s="1"/>
  <c r="E186" i="5"/>
  <c r="D186" i="5"/>
  <c r="D185" i="5"/>
  <c r="E185" i="5" s="1"/>
  <c r="D184" i="5"/>
  <c r="E184" i="5" s="1"/>
  <c r="E183" i="5"/>
  <c r="D183" i="5"/>
  <c r="E182" i="5"/>
  <c r="D182" i="5"/>
  <c r="D181" i="5"/>
  <c r="E181" i="5" s="1"/>
  <c r="D180" i="5"/>
  <c r="E180" i="5" s="1"/>
  <c r="E179" i="5"/>
  <c r="D179" i="5"/>
  <c r="D178" i="5"/>
  <c r="E178" i="5" s="1"/>
  <c r="E177" i="5"/>
  <c r="D177" i="5"/>
  <c r="E176" i="5"/>
  <c r="D176" i="5"/>
  <c r="D175" i="5"/>
  <c r="E175" i="5" s="1"/>
  <c r="E174" i="5"/>
  <c r="D174" i="5"/>
  <c r="D173" i="5"/>
  <c r="E173" i="5" s="1"/>
  <c r="D172" i="5"/>
  <c r="E172" i="5" s="1"/>
  <c r="D171" i="5"/>
  <c r="E171" i="5" s="1"/>
  <c r="E170" i="5"/>
  <c r="D170" i="5"/>
  <c r="D169" i="5"/>
  <c r="E169" i="5" s="1"/>
  <c r="D168" i="5"/>
  <c r="E168" i="5" s="1"/>
  <c r="E167" i="5"/>
  <c r="D167" i="5"/>
  <c r="D166" i="5"/>
  <c r="E166" i="5" s="1"/>
  <c r="D165" i="5"/>
  <c r="E165" i="5" s="1"/>
  <c r="D164" i="5"/>
  <c r="E164" i="5" s="1"/>
  <c r="D163" i="5"/>
  <c r="E163" i="5" s="1"/>
  <c r="E162" i="5"/>
  <c r="D162" i="5"/>
  <c r="D161" i="5"/>
  <c r="E161" i="5" s="1"/>
  <c r="D160" i="5"/>
  <c r="E160" i="5" s="1"/>
  <c r="D159" i="5"/>
  <c r="E159" i="5" s="1"/>
  <c r="D158" i="5"/>
  <c r="E158" i="5" s="1"/>
  <c r="D157" i="5"/>
  <c r="E157" i="5" s="1"/>
  <c r="D156" i="5"/>
  <c r="E156" i="5" s="1"/>
  <c r="E155" i="5"/>
  <c r="D155" i="5"/>
  <c r="D154" i="5"/>
  <c r="E154" i="5" s="1"/>
  <c r="E153" i="5"/>
  <c r="D153" i="5"/>
  <c r="D152" i="5"/>
  <c r="E152" i="5" s="1"/>
  <c r="D151" i="5"/>
  <c r="E151" i="5" s="1"/>
  <c r="E150" i="5"/>
  <c r="D150" i="5"/>
  <c r="D149" i="5"/>
  <c r="E149" i="5" s="1"/>
  <c r="D148" i="5"/>
  <c r="E148" i="5" s="1"/>
  <c r="E147" i="5"/>
  <c r="D147" i="5"/>
  <c r="E146" i="5"/>
  <c r="D146" i="5"/>
  <c r="D145" i="5"/>
  <c r="E145" i="5" s="1"/>
  <c r="D144" i="5"/>
  <c r="E144" i="5" s="1"/>
  <c r="D143" i="5"/>
  <c r="E143" i="5" s="1"/>
  <c r="D142" i="5"/>
  <c r="E142" i="5" s="1"/>
  <c r="E141" i="5"/>
  <c r="D141" i="5"/>
  <c r="D140" i="5"/>
  <c r="E140" i="5" s="1"/>
  <c r="E139" i="5"/>
  <c r="D139" i="5"/>
  <c r="E138" i="5"/>
  <c r="D138" i="5"/>
  <c r="E137" i="5"/>
  <c r="D137" i="5"/>
  <c r="D136" i="5"/>
  <c r="E136" i="5" s="1"/>
  <c r="E135" i="5"/>
  <c r="D135" i="5"/>
  <c r="E134" i="5"/>
  <c r="D134" i="5"/>
  <c r="E133" i="5"/>
  <c r="D133" i="5"/>
  <c r="D132" i="5"/>
  <c r="E132" i="5" s="1"/>
  <c r="D131" i="5"/>
  <c r="E131" i="5" s="1"/>
  <c r="D130" i="5"/>
  <c r="E130" i="5" s="1"/>
  <c r="D129" i="5"/>
  <c r="E129" i="5" s="1"/>
  <c r="E128" i="5"/>
  <c r="D128" i="5"/>
  <c r="D127" i="5"/>
  <c r="E127" i="5" s="1"/>
  <c r="E126" i="5"/>
  <c r="D126" i="5"/>
  <c r="D125" i="5"/>
  <c r="E125" i="5" s="1"/>
  <c r="D124" i="5"/>
  <c r="E124" i="5" s="1"/>
  <c r="D123" i="5"/>
  <c r="E123" i="5" s="1"/>
  <c r="E122" i="5"/>
  <c r="D122" i="5"/>
  <c r="D121" i="5"/>
  <c r="E121" i="5" s="1"/>
  <c r="E120" i="5"/>
  <c r="D120" i="5"/>
  <c r="D119" i="5"/>
  <c r="E119" i="5" s="1"/>
  <c r="D118" i="5"/>
  <c r="E118" i="5" s="1"/>
  <c r="E117" i="5"/>
  <c r="D117" i="5"/>
  <c r="D116" i="5"/>
  <c r="E116" i="5" s="1"/>
  <c r="E115" i="5"/>
  <c r="D115" i="5"/>
  <c r="D114" i="5"/>
  <c r="E114" i="5" s="1"/>
  <c r="E113" i="5"/>
  <c r="D113" i="5"/>
  <c r="D112" i="5"/>
  <c r="E112" i="5" s="1"/>
  <c r="D111" i="5"/>
  <c r="E111" i="5" s="1"/>
  <c r="D110" i="5"/>
  <c r="E110" i="5" s="1"/>
  <c r="E109" i="5"/>
  <c r="D109" i="5"/>
  <c r="D108" i="5"/>
  <c r="E108" i="5" s="1"/>
  <c r="E107" i="5"/>
  <c r="D107" i="5"/>
  <c r="D106" i="5"/>
  <c r="E106" i="5" s="1"/>
  <c r="E105" i="5"/>
  <c r="D105" i="5"/>
  <c r="E104" i="5"/>
  <c r="D104" i="5"/>
  <c r="D103" i="5"/>
  <c r="E103" i="5" s="1"/>
  <c r="E102" i="5"/>
  <c r="D102" i="5"/>
  <c r="D101" i="5"/>
  <c r="E101" i="5" s="1"/>
  <c r="D100" i="5"/>
  <c r="E100" i="5" s="1"/>
  <c r="D99" i="5"/>
  <c r="E99" i="5" s="1"/>
  <c r="D98" i="5"/>
  <c r="E98" i="5" s="1"/>
  <c r="D97" i="5"/>
  <c r="E97" i="5" s="1"/>
  <c r="E96" i="5"/>
  <c r="D96" i="5"/>
  <c r="D95" i="5"/>
  <c r="E95" i="5" s="1"/>
  <c r="D94" i="5"/>
  <c r="E94" i="5" s="1"/>
  <c r="E93" i="5"/>
  <c r="D93" i="5"/>
  <c r="D92" i="5"/>
  <c r="E92" i="5" s="1"/>
  <c r="E91" i="5"/>
  <c r="D91" i="5"/>
  <c r="D90" i="5"/>
  <c r="E90" i="5" s="1"/>
  <c r="E89" i="5"/>
  <c r="D89" i="5"/>
  <c r="D88" i="5"/>
  <c r="E88" i="5" s="1"/>
  <c r="E87" i="5"/>
  <c r="D87" i="5"/>
  <c r="D86" i="5"/>
  <c r="E86" i="5" s="1"/>
  <c r="E85" i="5"/>
  <c r="D85" i="5"/>
  <c r="D84" i="5"/>
  <c r="E84" i="5" s="1"/>
  <c r="E83" i="5"/>
  <c r="D83" i="5"/>
  <c r="D82" i="5"/>
  <c r="E82" i="5" s="1"/>
  <c r="E81" i="5"/>
  <c r="D81" i="5"/>
  <c r="D80" i="5"/>
  <c r="E80" i="5" s="1"/>
  <c r="E79" i="5"/>
  <c r="D79" i="5"/>
  <c r="D78" i="5"/>
  <c r="E78" i="5" s="1"/>
  <c r="E77" i="5"/>
  <c r="D77" i="5"/>
  <c r="D76" i="5"/>
  <c r="E76" i="5" s="1"/>
  <c r="E75" i="5"/>
  <c r="D75" i="5"/>
  <c r="D74" i="5"/>
  <c r="E74" i="5" s="1"/>
  <c r="E73" i="5"/>
  <c r="D73" i="5"/>
  <c r="D72" i="5"/>
  <c r="E72" i="5" s="1"/>
  <c r="E71" i="5"/>
  <c r="D71" i="5"/>
  <c r="D70" i="5"/>
  <c r="E70" i="5" s="1"/>
  <c r="E69" i="5"/>
  <c r="D69" i="5"/>
  <c r="D68" i="5"/>
  <c r="E68" i="5" s="1"/>
  <c r="E67" i="5"/>
  <c r="D67" i="5"/>
  <c r="D66" i="5"/>
  <c r="E66" i="5" s="1"/>
  <c r="E65" i="5"/>
  <c r="D65" i="5"/>
  <c r="D64" i="5"/>
  <c r="E64" i="5" s="1"/>
  <c r="E63" i="5"/>
  <c r="D63" i="5"/>
  <c r="D62" i="5"/>
  <c r="E62" i="5" s="1"/>
  <c r="E61" i="5"/>
  <c r="D61" i="5"/>
  <c r="D60" i="5"/>
  <c r="E60" i="5" s="1"/>
  <c r="E59" i="5"/>
  <c r="D59" i="5"/>
  <c r="D58" i="5"/>
  <c r="E58" i="5" s="1"/>
  <c r="E57" i="5"/>
  <c r="D57" i="5"/>
  <c r="D56" i="5"/>
  <c r="E56" i="5" s="1"/>
  <c r="E55" i="5"/>
  <c r="D55" i="5"/>
  <c r="D54" i="5"/>
  <c r="E54" i="5" s="1"/>
  <c r="E53" i="5"/>
  <c r="D53" i="5"/>
  <c r="D52" i="5"/>
  <c r="E52" i="5" s="1"/>
  <c r="D51" i="5"/>
  <c r="E51" i="5" s="1"/>
  <c r="D50" i="5"/>
  <c r="E50" i="5" s="1"/>
  <c r="E49" i="5"/>
  <c r="D49" i="5"/>
  <c r="D48" i="5"/>
  <c r="E48" i="5" s="1"/>
  <c r="E47" i="5"/>
  <c r="D47" i="5"/>
  <c r="D46" i="5"/>
  <c r="E46" i="5" s="1"/>
  <c r="D45" i="5"/>
  <c r="E45" i="5" s="1"/>
  <c r="D44" i="5"/>
  <c r="E44" i="5" s="1"/>
  <c r="E43" i="5"/>
  <c r="D43" i="5"/>
  <c r="D42" i="5"/>
  <c r="E42" i="5" s="1"/>
  <c r="D41" i="5"/>
  <c r="E41" i="5" s="1"/>
  <c r="D40" i="5"/>
  <c r="E40" i="5" s="1"/>
  <c r="D39" i="5"/>
  <c r="E39" i="5" s="1"/>
  <c r="D38" i="5"/>
  <c r="E38" i="5" s="1"/>
  <c r="E37" i="5"/>
  <c r="D37" i="5"/>
  <c r="D36" i="5"/>
  <c r="E36" i="5" s="1"/>
  <c r="D35" i="5"/>
  <c r="E35" i="5" s="1"/>
  <c r="D34" i="5"/>
  <c r="E34" i="5" s="1"/>
  <c r="D33" i="5"/>
  <c r="E33" i="5" s="1"/>
  <c r="D32" i="5"/>
  <c r="E32" i="5" s="1"/>
  <c r="E31" i="5"/>
  <c r="D31" i="5"/>
  <c r="D30" i="5"/>
  <c r="E30" i="5" s="1"/>
  <c r="D29" i="5"/>
  <c r="E29" i="5" s="1"/>
  <c r="D28" i="5"/>
  <c r="E28" i="5" s="1"/>
  <c r="D27" i="5"/>
  <c r="E27" i="5" s="1"/>
  <c r="D26" i="5"/>
  <c r="E26" i="5" s="1"/>
  <c r="E25" i="5"/>
  <c r="D25" i="5"/>
  <c r="D24" i="5"/>
  <c r="E24" i="5" s="1"/>
  <c r="D23" i="5"/>
  <c r="E23" i="5" s="1"/>
  <c r="D22" i="5"/>
  <c r="E22" i="5" s="1"/>
  <c r="D21" i="5"/>
  <c r="E21" i="5" s="1"/>
  <c r="D20" i="5"/>
  <c r="E20" i="5" s="1"/>
  <c r="E19" i="5"/>
  <c r="D19" i="5"/>
  <c r="D18" i="5"/>
  <c r="E18" i="5" s="1"/>
  <c r="D17" i="5"/>
  <c r="E17" i="5" s="1"/>
  <c r="D16" i="5"/>
  <c r="E16" i="5" s="1"/>
  <c r="D15" i="5"/>
  <c r="E15" i="5" s="1"/>
  <c r="D14" i="5"/>
  <c r="E14" i="5" s="1"/>
  <c r="E13" i="5"/>
  <c r="D13" i="5"/>
  <c r="D12" i="5"/>
  <c r="E12" i="5" s="1"/>
  <c r="D11" i="5"/>
  <c r="E11" i="5" s="1"/>
  <c r="D10" i="5"/>
  <c r="E10" i="5" s="1"/>
  <c r="D9" i="5"/>
  <c r="E9" i="5" s="1"/>
  <c r="D8" i="5"/>
  <c r="E8" i="5" s="1"/>
  <c r="E7" i="5"/>
  <c r="D7" i="5"/>
  <c r="D6" i="5"/>
  <c r="E6" i="5" s="1"/>
  <c r="D5" i="5"/>
  <c r="E5" i="5" s="1"/>
  <c r="D4" i="5"/>
  <c r="E4" i="5" s="1"/>
  <c r="D3" i="5"/>
  <c r="E3" i="5" s="1"/>
  <c r="G29" i="4"/>
  <c r="F29" i="4"/>
  <c r="D29" i="4"/>
  <c r="F28" i="4"/>
  <c r="G27" i="4"/>
  <c r="E27" i="4"/>
  <c r="D27" i="4"/>
  <c r="G25" i="4"/>
  <c r="F25" i="4"/>
  <c r="E25" i="4"/>
  <c r="D25" i="4"/>
  <c r="E23" i="4"/>
  <c r="F19" i="4"/>
  <c r="E19" i="4"/>
  <c r="D19" i="4"/>
  <c r="F12" i="4"/>
  <c r="F9" i="4"/>
  <c r="D8" i="4"/>
  <c r="F6" i="4"/>
  <c r="E6" i="4"/>
  <c r="AI23" i="3"/>
  <c r="AH23" i="3"/>
  <c r="AG23" i="3"/>
  <c r="E28" i="4" s="1"/>
  <c r="AF23" i="3"/>
  <c r="D28" i="4" s="1"/>
  <c r="AD23" i="3"/>
  <c r="I29" i="4" s="1"/>
  <c r="AC23" i="3"/>
  <c r="H28" i="4" s="1"/>
  <c r="AB23" i="3"/>
  <c r="G28" i="4" s="1"/>
  <c r="Z23" i="3"/>
  <c r="Y23" i="3"/>
  <c r="X23" i="3"/>
  <c r="AI22" i="3"/>
  <c r="AH22" i="3"/>
  <c r="F27" i="4" s="1"/>
  <c r="AG22" i="3"/>
  <c r="AF22" i="3"/>
  <c r="AD22" i="3"/>
  <c r="I27" i="4" s="1"/>
  <c r="AC22" i="3"/>
  <c r="H27" i="4" s="1"/>
  <c r="AB22" i="3"/>
  <c r="Z22" i="3"/>
  <c r="Y22" i="3"/>
  <c r="X22" i="3"/>
  <c r="AI21" i="3"/>
  <c r="AH21" i="3"/>
  <c r="F26" i="4" s="1"/>
  <c r="AG21" i="3"/>
  <c r="E26" i="4" s="1"/>
  <c r="AF21" i="3"/>
  <c r="D26" i="4" s="1"/>
  <c r="AD21" i="3"/>
  <c r="I26" i="4" s="1"/>
  <c r="AC21" i="3"/>
  <c r="H26" i="4" s="1"/>
  <c r="AB21" i="3"/>
  <c r="G26" i="4" s="1"/>
  <c r="Z21" i="3"/>
  <c r="Y21" i="3"/>
  <c r="X21" i="3"/>
  <c r="AI20" i="3"/>
  <c r="AH20" i="3"/>
  <c r="AG20" i="3"/>
  <c r="AF20" i="3"/>
  <c r="AD20" i="3"/>
  <c r="I25" i="4" s="1"/>
  <c r="AC20" i="3"/>
  <c r="H25" i="4" s="1"/>
  <c r="AB20" i="3"/>
  <c r="Z20" i="3"/>
  <c r="Y20" i="3"/>
  <c r="X20" i="3"/>
  <c r="AI19" i="3"/>
  <c r="AH19" i="3"/>
  <c r="F24" i="4" s="1"/>
  <c r="AG19" i="3"/>
  <c r="E24" i="4" s="1"/>
  <c r="AF19" i="3"/>
  <c r="D24" i="4" s="1"/>
  <c r="AD19" i="3"/>
  <c r="I24" i="4" s="1"/>
  <c r="AC19" i="3"/>
  <c r="H24" i="4" s="1"/>
  <c r="AB19" i="3"/>
  <c r="G24" i="4" s="1"/>
  <c r="Z19" i="3"/>
  <c r="Y19" i="3"/>
  <c r="X19" i="3"/>
  <c r="AI18" i="3"/>
  <c r="AH18" i="3"/>
  <c r="F23" i="4" s="1"/>
  <c r="AG18" i="3"/>
  <c r="AF18" i="3"/>
  <c r="D23" i="4" s="1"/>
  <c r="AD18" i="3"/>
  <c r="I23" i="4" s="1"/>
  <c r="AC18" i="3"/>
  <c r="H23" i="4" s="1"/>
  <c r="AB18" i="3"/>
  <c r="G23" i="4" s="1"/>
  <c r="Z18" i="3"/>
  <c r="Y18" i="3"/>
  <c r="X18" i="3"/>
  <c r="AI17" i="3"/>
  <c r="AH17" i="3"/>
  <c r="F22" i="4" s="1"/>
  <c r="AG17" i="3"/>
  <c r="E22" i="4" s="1"/>
  <c r="AF17" i="3"/>
  <c r="D22" i="4" s="1"/>
  <c r="AD17" i="3"/>
  <c r="I22" i="4" s="1"/>
  <c r="AC17" i="3"/>
  <c r="H22" i="4" s="1"/>
  <c r="AB17" i="3"/>
  <c r="G22" i="4" s="1"/>
  <c r="Z17" i="3"/>
  <c r="Y17" i="3"/>
  <c r="X17" i="3"/>
  <c r="AI16" i="3"/>
  <c r="AH16" i="3"/>
  <c r="F21" i="4" s="1"/>
  <c r="AG16" i="3"/>
  <c r="E21" i="4" s="1"/>
  <c r="AF16" i="3"/>
  <c r="D21" i="4" s="1"/>
  <c r="AD16" i="3"/>
  <c r="I21" i="4" s="1"/>
  <c r="AC16" i="3"/>
  <c r="H21" i="4" s="1"/>
  <c r="AB16" i="3"/>
  <c r="G21" i="4" s="1"/>
  <c r="Z16" i="3"/>
  <c r="Y16" i="3"/>
  <c r="X16" i="3"/>
  <c r="AI15" i="3"/>
  <c r="AH15" i="3"/>
  <c r="F20" i="4" s="1"/>
  <c r="AG15" i="3"/>
  <c r="E20" i="4" s="1"/>
  <c r="AF15" i="3"/>
  <c r="D20" i="4" s="1"/>
  <c r="AD15" i="3"/>
  <c r="I20" i="4" s="1"/>
  <c r="AC15" i="3"/>
  <c r="H20" i="4" s="1"/>
  <c r="AB15" i="3"/>
  <c r="G20" i="4" s="1"/>
  <c r="Z15" i="3"/>
  <c r="Y15" i="3"/>
  <c r="X15" i="3"/>
  <c r="AI14" i="3"/>
  <c r="AH14" i="3"/>
  <c r="AG14" i="3"/>
  <c r="AF14" i="3"/>
  <c r="AD14" i="3"/>
  <c r="I19" i="4" s="1"/>
  <c r="AC14" i="3"/>
  <c r="H19" i="4" s="1"/>
  <c r="AB14" i="3"/>
  <c r="G19" i="4" s="1"/>
  <c r="Z14" i="3"/>
  <c r="Y14" i="3"/>
  <c r="X14" i="3"/>
  <c r="AI13" i="3"/>
  <c r="AH13" i="3"/>
  <c r="AG13" i="3"/>
  <c r="AF13" i="3"/>
  <c r="AD13" i="3"/>
  <c r="AC13" i="3"/>
  <c r="AB13" i="3"/>
  <c r="Z13" i="3"/>
  <c r="Y13" i="3"/>
  <c r="X13" i="3"/>
  <c r="AI12" i="3"/>
  <c r="AH12" i="3"/>
  <c r="F13" i="4" s="1"/>
  <c r="AG12" i="3"/>
  <c r="E13" i="4" s="1"/>
  <c r="AF12" i="3"/>
  <c r="D13" i="4" s="1"/>
  <c r="AD12" i="3"/>
  <c r="I13" i="4" s="1"/>
  <c r="AC12" i="3"/>
  <c r="H13" i="4" s="1"/>
  <c r="AB12" i="3"/>
  <c r="G13" i="4" s="1"/>
  <c r="Z12" i="3"/>
  <c r="Y12" i="3"/>
  <c r="X12" i="3"/>
  <c r="AI11" i="3"/>
  <c r="AH11" i="3"/>
  <c r="AG11" i="3"/>
  <c r="E12" i="4" s="1"/>
  <c r="AF11" i="3"/>
  <c r="D12" i="4" s="1"/>
  <c r="AD11" i="3"/>
  <c r="I12" i="4" s="1"/>
  <c r="AC11" i="3"/>
  <c r="H12" i="4" s="1"/>
  <c r="AB11" i="3"/>
  <c r="G12" i="4" s="1"/>
  <c r="Z11" i="3"/>
  <c r="Y11" i="3"/>
  <c r="X11" i="3"/>
  <c r="AI10" i="3"/>
  <c r="AH10" i="3"/>
  <c r="F11" i="4" s="1"/>
  <c r="AG10" i="3"/>
  <c r="E11" i="4" s="1"/>
  <c r="AF10" i="3"/>
  <c r="D11" i="4" s="1"/>
  <c r="AD10" i="3"/>
  <c r="I11" i="4" s="1"/>
  <c r="AC10" i="3"/>
  <c r="H11" i="4" s="1"/>
  <c r="AB10" i="3"/>
  <c r="G11" i="4" s="1"/>
  <c r="Z10" i="3"/>
  <c r="Y10" i="3"/>
  <c r="X10" i="3"/>
  <c r="AI9" i="3"/>
  <c r="AH9" i="3"/>
  <c r="F10" i="4" s="1"/>
  <c r="AG9" i="3"/>
  <c r="E10" i="4" s="1"/>
  <c r="AF9" i="3"/>
  <c r="D10" i="4" s="1"/>
  <c r="AD9" i="3"/>
  <c r="I10" i="4" s="1"/>
  <c r="AC9" i="3"/>
  <c r="H10" i="4" s="1"/>
  <c r="AB9" i="3"/>
  <c r="G10" i="4" s="1"/>
  <c r="Z9" i="3"/>
  <c r="Y9" i="3"/>
  <c r="X9" i="3"/>
  <c r="AI8" i="3"/>
  <c r="AH8" i="3"/>
  <c r="AG8" i="3"/>
  <c r="E9" i="4" s="1"/>
  <c r="AF8" i="3"/>
  <c r="D9" i="4" s="1"/>
  <c r="AD8" i="3"/>
  <c r="I9" i="4" s="1"/>
  <c r="AC8" i="3"/>
  <c r="H9" i="4" s="1"/>
  <c r="AB8" i="3"/>
  <c r="G9" i="4" s="1"/>
  <c r="Z8" i="3"/>
  <c r="Y8" i="3"/>
  <c r="X8" i="3"/>
  <c r="AI7" i="3"/>
  <c r="AH7" i="3"/>
  <c r="F8" i="4" s="1"/>
  <c r="AG7" i="3"/>
  <c r="E8" i="4" s="1"/>
  <c r="AF7" i="3"/>
  <c r="AD7" i="3"/>
  <c r="I8" i="4" s="1"/>
  <c r="AC7" i="3"/>
  <c r="H8" i="4" s="1"/>
  <c r="AB7" i="3"/>
  <c r="G8" i="4" s="1"/>
  <c r="Z7" i="3"/>
  <c r="Y7" i="3"/>
  <c r="X7" i="3"/>
  <c r="AI6" i="3"/>
  <c r="AH6" i="3"/>
  <c r="F7" i="4" s="1"/>
  <c r="AG6" i="3"/>
  <c r="E7" i="4" s="1"/>
  <c r="AF6" i="3"/>
  <c r="D7" i="4" s="1"/>
  <c r="AD6" i="3"/>
  <c r="I7" i="4" s="1"/>
  <c r="AC6" i="3"/>
  <c r="H7" i="4" s="1"/>
  <c r="AB6" i="3"/>
  <c r="G7" i="4" s="1"/>
  <c r="Z6" i="3"/>
  <c r="Y6" i="3"/>
  <c r="X6" i="3"/>
  <c r="AI5" i="3"/>
  <c r="AH5" i="3"/>
  <c r="AG5" i="3"/>
  <c r="AF5" i="3"/>
  <c r="D6" i="4" s="1"/>
  <c r="AD5" i="3"/>
  <c r="I6" i="4" s="1"/>
  <c r="AC5" i="3"/>
  <c r="H6" i="4" s="1"/>
  <c r="AB5" i="3"/>
  <c r="G6" i="4" s="1"/>
  <c r="Z5" i="3"/>
  <c r="Y5" i="3"/>
  <c r="X5" i="3"/>
  <c r="AI4" i="3"/>
  <c r="AH4" i="3"/>
  <c r="F5" i="4" s="1"/>
  <c r="AG4" i="3"/>
  <c r="E5" i="4" s="1"/>
  <c r="AF4" i="3"/>
  <c r="D5" i="4" s="1"/>
  <c r="AD4" i="3"/>
  <c r="I5" i="4" s="1"/>
  <c r="AC4" i="3"/>
  <c r="H5" i="4" s="1"/>
  <c r="AB4" i="3"/>
  <c r="G5" i="4" s="1"/>
  <c r="Z4" i="3"/>
  <c r="Y4" i="3"/>
  <c r="X4" i="3"/>
  <c r="AI3" i="3"/>
  <c r="AH3" i="3"/>
  <c r="F4" i="4" s="1"/>
  <c r="AG3" i="3"/>
  <c r="E4" i="4" s="1"/>
  <c r="AF3" i="3"/>
  <c r="D4" i="4" s="1"/>
  <c r="AD3" i="3"/>
  <c r="I4" i="4" s="1"/>
  <c r="AC3" i="3"/>
  <c r="H4" i="4" s="1"/>
  <c r="AB3" i="3"/>
  <c r="G4" i="4" s="1"/>
  <c r="Z3" i="3"/>
  <c r="Y3" i="3"/>
  <c r="X3" i="3"/>
  <c r="AI2" i="3"/>
  <c r="AH2" i="3"/>
  <c r="AG2" i="3"/>
  <c r="AF2" i="3"/>
  <c r="AD2" i="3"/>
  <c r="AC2" i="3"/>
  <c r="AB2" i="3"/>
  <c r="Z2" i="3"/>
  <c r="Y2" i="3"/>
  <c r="X2" i="3"/>
  <c r="G34" i="2"/>
  <c r="G33" i="2"/>
  <c r="E29" i="4" l="1"/>
  <c r="I28" i="4"/>
  <c r="H29" i="4"/>
  <c r="H3" i="7"/>
  <c r="E2" i="7" s="1"/>
  <c r="G26" i="12"/>
  <c r="H37" i="12"/>
  <c r="G37" i="12"/>
  <c r="H36" i="12"/>
  <c r="H30" i="12"/>
  <c r="G36" i="12"/>
  <c r="G30" i="12"/>
  <c r="H35" i="12"/>
  <c r="H29" i="12"/>
  <c r="G35" i="12"/>
  <c r="G29" i="12"/>
  <c r="H34" i="12"/>
  <c r="H28" i="12"/>
  <c r="G34" i="12"/>
  <c r="G28" i="12"/>
  <c r="H33" i="12"/>
  <c r="H27" i="12"/>
  <c r="G33" i="12"/>
  <c r="G27" i="12"/>
  <c r="H26" i="12"/>
  <c r="D34" i="13"/>
  <c r="H12" i="9"/>
  <c r="F26" i="9"/>
  <c r="H32" i="9"/>
  <c r="Q20" i="12"/>
  <c r="F19" i="13"/>
  <c r="C19" i="13"/>
  <c r="F25" i="9"/>
  <c r="AC3" i="12"/>
  <c r="AC5" i="12"/>
  <c r="I97" i="9"/>
  <c r="AA6" i="12"/>
  <c r="AA7" i="12"/>
  <c r="AA3" i="12"/>
  <c r="AA8" i="12"/>
  <c r="AA4" i="12"/>
  <c r="AA11" i="12"/>
  <c r="AA9" i="12"/>
  <c r="AA5" i="12"/>
  <c r="AA12" i="12"/>
  <c r="G38" i="12"/>
  <c r="F31" i="9"/>
  <c r="AC10" i="12"/>
  <c r="AC8" i="12"/>
  <c r="AC11" i="12"/>
  <c r="AC9" i="12"/>
  <c r="AC2" i="12"/>
  <c r="AC12" i="12"/>
  <c r="AD7" i="12"/>
  <c r="AD3" i="12"/>
  <c r="AD8" i="12"/>
  <c r="AD4" i="12"/>
  <c r="AD11" i="12"/>
  <c r="AD9" i="12"/>
  <c r="AD5" i="12"/>
  <c r="AD12" i="12"/>
  <c r="AD6" i="12"/>
  <c r="AD10" i="12"/>
  <c r="AA2" i="12"/>
  <c r="AC4" i="12"/>
  <c r="AC6" i="12"/>
  <c r="Z2" i="12"/>
  <c r="AB6" i="12"/>
  <c r="H32" i="12"/>
  <c r="H38" i="12"/>
  <c r="AJ11" i="13"/>
  <c r="AN20" i="13"/>
  <c r="AN38" i="13"/>
  <c r="AN39" i="13"/>
  <c r="AN40" i="13"/>
  <c r="AN41" i="13"/>
  <c r="AN42" i="13"/>
  <c r="AN43" i="13"/>
  <c r="AN49" i="13"/>
  <c r="AJ51" i="13"/>
  <c r="AN52" i="13"/>
  <c r="AJ54" i="13"/>
  <c r="AN55" i="13"/>
  <c r="AJ57" i="13"/>
  <c r="AJ58" i="13"/>
  <c r="AK59" i="13"/>
  <c r="F61" i="13"/>
  <c r="F75" i="13"/>
  <c r="Z9" i="12"/>
  <c r="AB12" i="12"/>
  <c r="G39" i="12"/>
  <c r="AK51" i="13"/>
  <c r="AK54" i="13"/>
  <c r="AK57" i="13"/>
  <c r="AK58" i="13"/>
  <c r="B73" i="13"/>
  <c r="AB2" i="12"/>
  <c r="H39" i="12"/>
  <c r="AK6" i="13"/>
  <c r="C16" i="13"/>
  <c r="C18" i="13"/>
  <c r="AK26" i="13"/>
  <c r="AK29" i="13"/>
  <c r="AK32" i="13"/>
  <c r="AM59" i="13"/>
  <c r="AB5" i="12"/>
  <c r="AB9" i="12"/>
  <c r="Z11" i="12"/>
  <c r="AJ7" i="13"/>
  <c r="AM11" i="13"/>
  <c r="AJ15" i="13"/>
  <c r="AJ17" i="13"/>
  <c r="AJ19" i="13"/>
  <c r="AJ24" i="13"/>
  <c r="AM51" i="13"/>
  <c r="AM54" i="13"/>
  <c r="AM57" i="13"/>
  <c r="AM58" i="13"/>
  <c r="AN59" i="13"/>
  <c r="Z8" i="12"/>
  <c r="AK7" i="13"/>
  <c r="AJ13" i="13"/>
  <c r="AK15" i="13"/>
  <c r="AK17" i="13"/>
  <c r="AK19" i="13"/>
  <c r="AK24" i="13"/>
  <c r="AJ25" i="13"/>
  <c r="B37" i="13"/>
  <c r="AJ46" i="13"/>
  <c r="AJ50" i="13"/>
  <c r="AJ53" i="13"/>
  <c r="AJ56" i="13"/>
  <c r="AB11" i="12"/>
  <c r="B74" i="13"/>
  <c r="AB4" i="12"/>
  <c r="AB8" i="12"/>
  <c r="Z7" i="12"/>
  <c r="AJ9" i="13"/>
  <c r="AM13" i="13"/>
  <c r="B17" i="13"/>
  <c r="C21" i="13"/>
  <c r="AJ22" i="13"/>
  <c r="AM25" i="13"/>
  <c r="AK34" i="13"/>
  <c r="AJ44" i="13"/>
  <c r="AK45" i="13"/>
  <c r="AM46" i="13"/>
  <c r="AM50" i="13"/>
  <c r="AM53" i="13"/>
  <c r="AM56" i="13"/>
  <c r="Z10" i="12"/>
  <c r="AM8" i="13"/>
  <c r="AK9" i="13"/>
  <c r="AJ20" i="13"/>
  <c r="AK22" i="13"/>
  <c r="AM28" i="13"/>
  <c r="AM31" i="13"/>
  <c r="AJ38" i="13"/>
  <c r="AJ39" i="13"/>
  <c r="AJ40" i="13"/>
  <c r="AJ41" i="13"/>
  <c r="AJ42" i="13"/>
  <c r="AJ43" i="13"/>
  <c r="AK44" i="13"/>
  <c r="AJ49" i="13"/>
  <c r="AJ52" i="13"/>
  <c r="AJ55" i="13"/>
  <c r="G31" i="12"/>
  <c r="AK20" i="13"/>
  <c r="AK38" i="13"/>
  <c r="AK39" i="13"/>
  <c r="AK40" i="13"/>
  <c r="AK41" i="13"/>
  <c r="AK42" i="13"/>
  <c r="AK43" i="13"/>
  <c r="AK49" i="13"/>
  <c r="AK52" i="13"/>
  <c r="AK55" i="13"/>
  <c r="H31" i="12"/>
  <c r="AM9" i="13"/>
  <c r="AM22" i="13"/>
  <c r="AM44" i="13"/>
  <c r="AI18" i="13" l="1"/>
  <c r="D27" i="7"/>
  <c r="S16" i="6" s="1"/>
  <c r="F23" i="9"/>
  <c r="F27" i="9"/>
  <c r="F22" i="9"/>
  <c r="F29" i="9"/>
  <c r="F24" i="9"/>
  <c r="F32" i="9"/>
  <c r="H30" i="9"/>
  <c r="H23" i="9"/>
  <c r="H31" i="9"/>
  <c r="H26" i="9"/>
  <c r="H25" i="9"/>
  <c r="H29" i="9"/>
  <c r="H24" i="9"/>
  <c r="H27" i="9"/>
  <c r="H22" i="9"/>
  <c r="AI19" i="13"/>
  <c r="J99" i="9"/>
  <c r="D28" i="7"/>
  <c r="S17" i="6" s="1"/>
  <c r="F28" i="9"/>
  <c r="H14" i="9"/>
  <c r="H21" i="9"/>
  <c r="H11" i="9"/>
  <c r="H18" i="9"/>
  <c r="H15" i="9"/>
  <c r="H16" i="9"/>
  <c r="H17" i="9"/>
  <c r="H19" i="9"/>
  <c r="H13" i="9"/>
  <c r="F73" i="13"/>
  <c r="C73" i="13"/>
  <c r="H28" i="9"/>
  <c r="H20" i="9"/>
  <c r="F19" i="9"/>
  <c r="F12" i="9"/>
  <c r="F14" i="9"/>
  <c r="F11" i="9"/>
  <c r="F18" i="9"/>
  <c r="F13" i="9"/>
  <c r="F20" i="9"/>
  <c r="F15" i="9"/>
  <c r="F16" i="9"/>
  <c r="F21" i="9"/>
  <c r="F17" i="9"/>
  <c r="AI24" i="13"/>
  <c r="D33" i="7"/>
  <c r="S22" i="6" s="1"/>
  <c r="C33" i="6" s="1"/>
  <c r="AL5" i="13"/>
  <c r="G8" i="7"/>
  <c r="U3" i="6" s="1"/>
  <c r="B60" i="13"/>
  <c r="B43" i="13"/>
  <c r="B42" i="13"/>
  <c r="B41" i="13"/>
  <c r="B39" i="13"/>
  <c r="B20" i="13"/>
  <c r="F74" i="13"/>
  <c r="C74" i="13"/>
  <c r="F17" i="13"/>
  <c r="C17" i="13"/>
  <c r="F37" i="13"/>
  <c r="C37" i="13"/>
  <c r="F30" i="9"/>
  <c r="AL19" i="13" l="1"/>
  <c r="AS19" i="13" s="1"/>
  <c r="AT19" i="13" s="1"/>
  <c r="K99" i="9"/>
  <c r="G28" i="7"/>
  <c r="U17" i="6" s="1"/>
  <c r="AL7" i="13"/>
  <c r="G10" i="7"/>
  <c r="U5" i="6" s="1"/>
  <c r="AL16" i="13"/>
  <c r="G25" i="7"/>
  <c r="U14" i="6" s="1"/>
  <c r="AI23" i="13"/>
  <c r="AQ23" i="13" s="1"/>
  <c r="AR23" i="13" s="1"/>
  <c r="D32" i="7"/>
  <c r="S21" i="6" s="1"/>
  <c r="AL24" i="13"/>
  <c r="AS24" i="13" s="1"/>
  <c r="AT24" i="13" s="1"/>
  <c r="G33" i="7"/>
  <c r="U22" i="6" s="1"/>
  <c r="E33" i="6" s="1"/>
  <c r="AL21" i="13"/>
  <c r="K97" i="9"/>
  <c r="K101" i="9" s="1"/>
  <c r="G30" i="7"/>
  <c r="U19" i="6" s="1"/>
  <c r="AI21" i="13"/>
  <c r="AQ21" i="13" s="1"/>
  <c r="AR21" i="13" s="1"/>
  <c r="D30" i="7"/>
  <c r="S19" i="6" s="1"/>
  <c r="J97" i="9"/>
  <c r="J101" i="9" s="1"/>
  <c r="AL23" i="13"/>
  <c r="G32" i="7"/>
  <c r="U21" i="6" s="1"/>
  <c r="AS5" i="13"/>
  <c r="AT5" i="13" s="1"/>
  <c r="AQ24" i="13"/>
  <c r="AR24" i="13" s="1"/>
  <c r="AI14" i="13"/>
  <c r="D17" i="7"/>
  <c r="S12" i="6" s="1"/>
  <c r="AI17" i="13"/>
  <c r="D26" i="7"/>
  <c r="S15" i="6" s="1"/>
  <c r="AL13" i="13"/>
  <c r="G16" i="7"/>
  <c r="U11" i="6" s="1"/>
  <c r="F20" i="13"/>
  <c r="F23" i="13" s="1"/>
  <c r="C20" i="13"/>
  <c r="C23" i="13" s="1"/>
  <c r="C24" i="13" s="1"/>
  <c r="F39" i="13"/>
  <c r="F46" i="13" s="1"/>
  <c r="C39" i="13"/>
  <c r="C46" i="13" s="1"/>
  <c r="C47" i="13" s="1"/>
  <c r="AI8" i="13"/>
  <c r="AQ8" i="13" s="1"/>
  <c r="AR8" i="13" s="1"/>
  <c r="D11" i="7"/>
  <c r="S6" i="6" s="1"/>
  <c r="AL6" i="13"/>
  <c r="G9" i="7"/>
  <c r="U4" i="6" s="1"/>
  <c r="AQ19" i="13"/>
  <c r="AR19" i="13" s="1"/>
  <c r="AI22" i="13"/>
  <c r="D31" i="7"/>
  <c r="S20" i="6" s="1"/>
  <c r="AL14" i="13"/>
  <c r="AS14" i="13" s="1"/>
  <c r="AT14" i="13" s="1"/>
  <c r="G17" i="7"/>
  <c r="U12" i="6" s="1"/>
  <c r="AI13" i="13"/>
  <c r="AQ13" i="13" s="1"/>
  <c r="AR13" i="13" s="1"/>
  <c r="D16" i="7"/>
  <c r="S11" i="6" s="1"/>
  <c r="AL12" i="13"/>
  <c r="AS12" i="13" s="1"/>
  <c r="AT12" i="13" s="1"/>
  <c r="G15" i="7"/>
  <c r="U10" i="6" s="1"/>
  <c r="AL15" i="13"/>
  <c r="AS15" i="13" s="1"/>
  <c r="AT15" i="13" s="1"/>
  <c r="G24" i="7"/>
  <c r="U13" i="6" s="1"/>
  <c r="AI15" i="13"/>
  <c r="D24" i="7"/>
  <c r="S13" i="6" s="1"/>
  <c r="AI5" i="13"/>
  <c r="AQ5" i="13" s="1"/>
  <c r="AR5" i="13" s="1"/>
  <c r="D8" i="7"/>
  <c r="S3" i="6" s="1"/>
  <c r="AI10" i="13"/>
  <c r="D13" i="7"/>
  <c r="AI6" i="13"/>
  <c r="AQ6" i="13" s="1"/>
  <c r="AR6" i="13" s="1"/>
  <c r="D9" i="7"/>
  <c r="S4" i="6" s="1"/>
  <c r="AL10" i="13"/>
  <c r="AS10" i="13" s="1"/>
  <c r="AT10" i="13" s="1"/>
  <c r="G13" i="7"/>
  <c r="U8" i="6" s="1"/>
  <c r="AL20" i="13"/>
  <c r="AS20" i="13" s="1"/>
  <c r="AT20" i="13" s="1"/>
  <c r="K98" i="9"/>
  <c r="K102" i="9" s="1"/>
  <c r="G29" i="7"/>
  <c r="U18" i="6" s="1"/>
  <c r="AI20" i="13"/>
  <c r="D29" i="7"/>
  <c r="S18" i="6" s="1"/>
  <c r="J98" i="9"/>
  <c r="AI12" i="13"/>
  <c r="D15" i="7"/>
  <c r="S10" i="6" s="1"/>
  <c r="AI9" i="13"/>
  <c r="AQ9" i="13" s="1"/>
  <c r="AR9" i="13" s="1"/>
  <c r="D12" i="7"/>
  <c r="S7" i="6" s="1"/>
  <c r="F41" i="13"/>
  <c r="C41" i="13"/>
  <c r="F42" i="13"/>
  <c r="C42" i="13"/>
  <c r="F43" i="13"/>
  <c r="C43" i="13"/>
  <c r="AI11" i="13"/>
  <c r="D14" i="7"/>
  <c r="S9" i="6" s="1"/>
  <c r="AL9" i="13"/>
  <c r="G12" i="7"/>
  <c r="U7" i="6" s="1"/>
  <c r="AL17" i="13"/>
  <c r="AS17" i="13" s="1"/>
  <c r="AT17" i="13" s="1"/>
  <c r="G26" i="7"/>
  <c r="U15" i="6" s="1"/>
  <c r="AI16" i="13"/>
  <c r="AQ16" i="13" s="1"/>
  <c r="AR16" i="13" s="1"/>
  <c r="D25" i="7"/>
  <c r="S14" i="6" s="1"/>
  <c r="F60" i="13"/>
  <c r="C60" i="13"/>
  <c r="AL8" i="13"/>
  <c r="G11" i="7"/>
  <c r="U6" i="6" s="1"/>
  <c r="AL22" i="13"/>
  <c r="AS22" i="13" s="1"/>
  <c r="AT22" i="13" s="1"/>
  <c r="G31" i="7"/>
  <c r="U20" i="6" s="1"/>
  <c r="AI7" i="13"/>
  <c r="AQ7" i="13" s="1"/>
  <c r="AR7" i="13" s="1"/>
  <c r="D10" i="7"/>
  <c r="S5" i="6" s="1"/>
  <c r="AL11" i="13"/>
  <c r="AS11" i="13" s="1"/>
  <c r="AT11" i="13" s="1"/>
  <c r="G14" i="7"/>
  <c r="U9" i="6" s="1"/>
  <c r="AL18" i="13"/>
  <c r="AS18" i="13" s="1"/>
  <c r="AT18" i="13" s="1"/>
  <c r="G27" i="7"/>
  <c r="U16" i="6" s="1"/>
  <c r="F47" i="13" l="1"/>
  <c r="B58" i="13"/>
  <c r="F24" i="13"/>
  <c r="B72" i="13"/>
  <c r="AS23" i="13"/>
  <c r="AT23" i="13" s="1"/>
  <c r="AS16" i="13"/>
  <c r="AT16" i="13" s="1"/>
  <c r="S8" i="6"/>
  <c r="I106" i="9"/>
  <c r="AS7" i="13"/>
  <c r="AT7" i="13" s="1"/>
  <c r="AS13" i="13"/>
  <c r="AT13" i="13" s="1"/>
  <c r="AQ12" i="13"/>
  <c r="AR12" i="13" s="1"/>
  <c r="AQ22" i="13"/>
  <c r="AR22" i="13" s="1"/>
  <c r="J102" i="9"/>
  <c r="AQ20" i="13"/>
  <c r="AR20" i="13" s="1"/>
  <c r="AQ17" i="13"/>
  <c r="AR17" i="13" s="1"/>
  <c r="AS21" i="13"/>
  <c r="AT21" i="13" s="1"/>
  <c r="AQ10" i="13"/>
  <c r="AR10" i="13" s="1"/>
  <c r="AS8" i="13"/>
  <c r="AT8" i="13" s="1"/>
  <c r="AQ15" i="13"/>
  <c r="AR15" i="13" s="1"/>
  <c r="AS9" i="13"/>
  <c r="AT9" i="13" s="1"/>
  <c r="AQ11" i="13"/>
  <c r="AR11" i="13" s="1"/>
  <c r="AQ18" i="13"/>
  <c r="AR18" i="13" s="1"/>
  <c r="AS6" i="13"/>
  <c r="AT6" i="13" s="1"/>
  <c r="AQ14" i="13"/>
  <c r="AR14" i="13" s="1"/>
  <c r="C72" i="13" l="1"/>
  <c r="C76" i="13" s="1"/>
  <c r="C77" i="13" s="1"/>
  <c r="E72" i="13"/>
  <c r="F72" i="13" s="1"/>
  <c r="F76" i="13" s="1"/>
  <c r="F25" i="13"/>
  <c r="F26" i="13" s="1"/>
  <c r="C58" i="13"/>
  <c r="C62" i="13" s="1"/>
  <c r="C63" i="13" s="1"/>
  <c r="E58" i="13"/>
  <c r="F58" i="13" s="1"/>
  <c r="F62" i="13" s="1"/>
  <c r="F48" i="13"/>
  <c r="F49" i="13" s="1"/>
  <c r="F63" i="13" l="1"/>
  <c r="F64" i="13" s="1"/>
  <c r="F77" i="13"/>
  <c r="F78" i="13" s="1"/>
  <c r="F79" i="13" l="1"/>
  <c r="F80" i="13" s="1"/>
  <c r="AC4" i="13" s="1"/>
  <c r="AD4" i="13"/>
  <c r="F65" i="13"/>
  <c r="F66" i="13" s="1"/>
  <c r="AE4" i="13" s="1"/>
  <c r="AF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9" authorId="0" shapeId="0" xr:uid="{00000000-0006-0000-0B00-000001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N9" authorId="0" shapeId="0" xr:uid="{00000000-0006-0000-0B00-000003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O9" authorId="0" shapeId="0" xr:uid="{00000000-0006-0000-0B00-000004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P9" authorId="0" shapeId="0" xr:uid="{00000000-0006-0000-0B00-000005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Q9" authorId="0" shapeId="0" xr:uid="{00000000-0006-0000-0B00-000006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R9" authorId="0" shapeId="0" xr:uid="{00000000-0006-0000-0B00-000007000000}">
      <text>
        <r>
          <rPr>
            <sz val="10"/>
            <rFont val="Arial"/>
            <family val="2"/>
          </rPr>
          <t xml:space="preserve">Andrew Corney:
</t>
        </r>
        <r>
          <rPr>
            <sz val="8"/>
            <color rgb="FF000000"/>
            <rFont val="Tahoma"/>
            <family val="2"/>
            <charset val="1"/>
          </rPr>
          <t xml:space="preserve">capacitor remeasured - use same resistor values as for 22/01/04
</t>
        </r>
      </text>
    </comment>
    <comment ref="V18" authorId="0" shapeId="0" xr:uid="{00000000-0006-0000-0B00-000008000000}">
      <text>
        <r>
          <rPr>
            <sz val="10"/>
            <rFont val="Arial"/>
            <family val="2"/>
          </rPr>
          <t xml:space="preserve">k.jones:
</t>
        </r>
        <r>
          <rPr>
            <sz val="8"/>
            <color rgb="FF000000"/>
            <rFont val="Tahoma"/>
            <family val="2"/>
            <charset val="1"/>
          </rPr>
          <t>AH2700A check of 1 M at 1.5915 k.  AI VII, p.42</t>
        </r>
      </text>
    </comment>
    <comment ref="M41" authorId="0" shapeId="0" xr:uid="{00000000-0006-0000-0B00-000002000000}">
      <text>
        <r>
          <rPr>
            <sz val="10"/>
            <rFont val="Arial"/>
            <family val="2"/>
          </rPr>
          <t xml:space="preserve">k.jones:
</t>
        </r>
        <r>
          <rPr>
            <sz val="8"/>
            <color rgb="FF000000"/>
            <rFont val="Tahoma"/>
            <family val="2"/>
            <charset val="1"/>
          </rPr>
          <t>The n/f or m/f factor for CMC calculation.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0" authorId="0" shapeId="0" xr:uid="{00000000-0006-0000-0C00-000001000000}">
      <text>
        <r>
          <rPr>
            <sz val="10"/>
            <rFont val="Arial"/>
            <family val="2"/>
          </rPr>
          <t xml:space="preserve">k.jones:
</t>
        </r>
        <r>
          <rPr>
            <sz val="8"/>
            <color rgb="FF000000"/>
            <rFont val="Tahoma"/>
            <family val="2"/>
            <charset val="1"/>
          </rPr>
          <t>Modified as for L in keeping with CMCs</t>
        </r>
      </text>
    </comment>
    <comment ref="B73" authorId="0" shapeId="0" xr:uid="{00000000-0006-0000-0C00-000002000000}">
      <text>
        <r>
          <rPr>
            <sz val="10"/>
            <rFont val="Arial"/>
            <family val="2"/>
          </rPr>
          <t xml:space="preserve">k.jones:
</t>
        </r>
        <r>
          <rPr>
            <sz val="8"/>
            <color rgb="FF000000"/>
            <rFont val="Tahoma"/>
            <family val="2"/>
            <charset val="1"/>
          </rPr>
          <t>2nd order formula is rss of alpha*u_t and u_t*u_alpha.</t>
        </r>
      </text>
    </comment>
  </commentList>
</comments>
</file>

<file path=xl/sharedStrings.xml><?xml version="1.0" encoding="utf-8"?>
<sst xmlns="http://schemas.openxmlformats.org/spreadsheetml/2006/main" count="2429" uniqueCount="1497">
  <si>
    <t>Start with spreadsheet S21740 from the July 2009 calibration.</t>
  </si>
  <si>
    <t>Remove all repeats from Results sheet</t>
  </si>
  <si>
    <t>Temperature correction updated for GMH51</t>
  </si>
  <si>
    <t>Measured frequency included, but not really necessary</t>
  </si>
  <si>
    <t>Results transcribed from AI VII</t>
  </si>
  <si>
    <t>Room data logger information for Primary Lab insered in 'Room data logger' sheet</t>
  </si>
  <si>
    <t>Replace 'Universal Bridge' page with the same from S21942b, change zeros block and reference.</t>
  </si>
  <si>
    <t>Insert uncertainty sheet from S21942b, with subsequent modifications but not to the UB uncertainty</t>
  </si>
  <si>
    <t>The copper temperature coefficient is identical for all, but I have left the parameter table that would allow variation by component.</t>
  </si>
  <si>
    <t>Add worksheet 'Histroical' to give a cleaner graphical view of previous calibrations, but some of the data is still picked up off the 'Previous History' worksheet.</t>
  </si>
  <si>
    <t>Resolution term for L in uncertainty, cell B40,  has been made consistent with the CMC formula.</t>
  </si>
  <si>
    <t>On results page there is an analysis of HP4284 measurements designed to cross-check that the 600 microH result is reasonable (oscillation problem).</t>
  </si>
  <si>
    <t>Restart using S21952, 2014, but update to interact with Python for analysis.</t>
  </si>
  <si>
    <t>Enter lab book readings in 'pyUBreadings' worksheet and check the temperautre coefficients entered for each line.</t>
  </si>
  <si>
    <t>Run sullivan.py to create a set of results in sullivan_Results.xlsx, being sure to use the latest ubdict_date.csv for the universal bridge calibration.</t>
  </si>
  <si>
    <t>Paste these results into the uncoloured part of the pyUBresults worksheet.</t>
  </si>
  <si>
    <t>Final report appears in the pyReport worksheet.</t>
  </si>
  <si>
    <t>May2025</t>
  </si>
  <si>
    <t>All worksheet in this job marked as this cell</t>
  </si>
  <si>
    <t xml:space="preserve">Job </t>
  </si>
  <si>
    <t>MSLJob3176.</t>
  </si>
  <si>
    <t>S_Number</t>
  </si>
  <si>
    <t>S22167</t>
  </si>
  <si>
    <t>Historical Analysing in “Historical!”</t>
  </si>
  <si>
    <t>Template for impedances</t>
  </si>
  <si>
    <t>Impedance</t>
  </si>
  <si>
    <t>sullivan</t>
  </si>
  <si>
    <t>Client</t>
  </si>
  <si>
    <t>Babcock</t>
  </si>
  <si>
    <t>Enter, say, 5 ppm as 5e-6</t>
  </si>
  <si>
    <t>Date from</t>
  </si>
  <si>
    <t>Job number</t>
  </si>
  <si>
    <t>MSLJob3176</t>
  </si>
  <si>
    <t>1 sigma uncertainties from specifications</t>
  </si>
  <si>
    <t>to</t>
  </si>
  <si>
    <t>S Number</t>
  </si>
  <si>
    <t>Data from lab book</t>
  </si>
  <si>
    <t>check!</t>
  </si>
  <si>
    <t>Data from specifications and other sources</t>
  </si>
  <si>
    <t>Item</t>
  </si>
  <si>
    <t>Nominal Frequency</t>
  </si>
  <si>
    <t>Range</t>
  </si>
  <si>
    <t>xdial</t>
  </si>
  <si>
    <t>rdial</t>
  </si>
  <si>
    <t>Frequency</t>
  </si>
  <si>
    <t>Temperature</t>
  </si>
  <si>
    <t>u</t>
  </si>
  <si>
    <t>df</t>
  </si>
  <si>
    <t>Temp coeff L</t>
  </si>
  <si>
    <t>Temp coeff R</t>
  </si>
  <si>
    <t>Other</t>
  </si>
  <si>
    <t>Hz</t>
  </si>
  <si>
    <r>
      <rPr>
        <sz val="10"/>
        <rFont val="Calibri"/>
        <family val="2"/>
        <charset val="1"/>
      </rPr>
      <t>°</t>
    </r>
    <r>
      <rPr>
        <sz val="10"/>
        <rFont val="Arial"/>
        <family val="2"/>
        <charset val="1"/>
      </rPr>
      <t>C</t>
    </r>
  </si>
  <si>
    <t>coax zero</t>
  </si>
  <si>
    <t>3Z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</si>
  <si>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</si>
  <si>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</si>
  <si>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</si>
  <si>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</si>
  <si>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</si>
  <si>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</si>
  <si>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</si>
  <si>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</si>
  <si>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</si>
  <si>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</si>
  <si>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2Z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</si>
  <si>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</si>
  <si>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</si>
  <si>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</si>
  <si>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</si>
  <si>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</si>
  <si>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</si>
  <si>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</si>
  <si>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</si>
  <si>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</si>
  <si>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</si>
  <si>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Label</t>
  </si>
  <si>
    <t>xDial</t>
  </si>
  <si>
    <t>rDial</t>
  </si>
  <si>
    <t>frequency</t>
  </si>
  <si>
    <t>temperature</t>
  </si>
  <si>
    <t>utemp</t>
  </si>
  <si>
    <t>dftemp</t>
  </si>
  <si>
    <t>alphax</t>
  </si>
  <si>
    <t>ualphax</t>
  </si>
  <si>
    <t>dfalphax</t>
  </si>
  <si>
    <t>alphar</t>
  </si>
  <si>
    <t>ualphar</t>
  </si>
  <si>
    <t>dfalphr</t>
  </si>
  <si>
    <t>x</t>
  </si>
  <si>
    <t>ux</t>
  </si>
  <si>
    <t>kx</t>
  </si>
  <si>
    <t>r</t>
  </si>
  <si>
    <t>ur</t>
  </si>
  <si>
    <t>kr</t>
  </si>
  <si>
    <t>cmcx</t>
  </si>
  <si>
    <t>cmcr</t>
  </si>
  <si>
    <t>ux/cmcx</t>
  </si>
  <si>
    <t>ur/cmcr</t>
  </si>
  <si>
    <t>label</t>
  </si>
  <si>
    <t>multiplier for R</t>
  </si>
  <si>
    <t>R</t>
  </si>
  <si>
    <t>uR</t>
  </si>
  <si>
    <t>k</t>
  </si>
  <si>
    <t>multiplier for L</t>
  </si>
  <si>
    <t>L</t>
  </si>
  <si>
    <t>uL</t>
  </si>
  <si>
    <t>nom Freq</t>
  </si>
  <si>
    <t>Tap</t>
  </si>
  <si>
    <r>
      <rPr>
        <sz val="10"/>
        <rFont val="Times New Roman"/>
        <family val="1"/>
        <charset val="1"/>
      </rPr>
      <t>Inductance
(</t>
    </r>
    <r>
      <rPr>
        <sz val="10"/>
        <rFont val="Calibri"/>
        <family val="2"/>
        <charset val="1"/>
      </rPr>
      <t>µ</t>
    </r>
    <r>
      <rPr>
        <sz val="10"/>
        <rFont val="Times New Roman"/>
        <family val="1"/>
        <charset val="1"/>
      </rPr>
      <t>H)</t>
    </r>
  </si>
  <si>
    <r>
      <rPr>
        <sz val="10"/>
        <rFont val="Times New Roman"/>
        <family val="1"/>
        <charset val="1"/>
      </rPr>
      <t>Expanded
Uncertainty
(</t>
    </r>
    <r>
      <rPr>
        <sz val="10"/>
        <rFont val="Calibri"/>
        <family val="2"/>
        <charset val="1"/>
      </rPr>
      <t>µ</t>
    </r>
    <r>
      <rPr>
        <sz val="10"/>
        <rFont val="Times New Roman"/>
        <family val="1"/>
        <charset val="1"/>
      </rPr>
      <t>H)</t>
    </r>
  </si>
  <si>
    <t>Coverage
Factor</t>
  </si>
  <si>
    <t>Resistance
(Ω)</t>
  </si>
  <si>
    <t>Expanded
Uncertainty
(Ω)</t>
  </si>
  <si>
    <t>Inductance
(µH)</t>
  </si>
  <si>
    <t>FCU10 Impedance</t>
  </si>
  <si>
    <t>Date UTC</t>
  </si>
  <si>
    <t>Temperature VSL</t>
  </si>
  <si>
    <t>Humidity VSL</t>
  </si>
  <si>
    <t>NZST_Time</t>
  </si>
  <si>
    <t>2025-05-14 20:00:09</t>
  </si>
  <si>
    <t>2025-05-14 20:02:08</t>
  </si>
  <si>
    <t>2025-05-14 20:04:09</t>
  </si>
  <si>
    <t>2025-05-14 20:06:09</t>
  </si>
  <si>
    <t>2025-05-14 20:08:09</t>
  </si>
  <si>
    <t>2025-05-14 20:10:08</t>
  </si>
  <si>
    <t>2025-05-14 20:12:09</t>
  </si>
  <si>
    <t>2025-05-14 20:14:08</t>
  </si>
  <si>
    <t>2025-05-14 20:16:08</t>
  </si>
  <si>
    <t>2025-05-14 20:18:08</t>
  </si>
  <si>
    <t>2025-05-14 20:20:09</t>
  </si>
  <si>
    <t>2025-05-14 20:22:08</t>
  </si>
  <si>
    <t>2025-05-14 20:24:09</t>
  </si>
  <si>
    <t>2025-05-14 20:26:09</t>
  </si>
  <si>
    <t>2025-05-14 20:28:09</t>
  </si>
  <si>
    <t>2025-05-14 20:30:08</t>
  </si>
  <si>
    <t>2025-05-14 20:32:09</t>
  </si>
  <si>
    <t>2025-05-14 20:34:08</t>
  </si>
  <si>
    <t>2025-05-14 20:36:08</t>
  </si>
  <si>
    <t>2025-05-14 20:38:09</t>
  </si>
  <si>
    <t>2025-05-14 20:40:09</t>
  </si>
  <si>
    <t>2025-05-14 20:42:08</t>
  </si>
  <si>
    <t>2025-05-14 20:44:09</t>
  </si>
  <si>
    <t>2025-05-14 20:46:08</t>
  </si>
  <si>
    <t>2025-05-14 20:48:09</t>
  </si>
  <si>
    <t>2025-05-14 20:50:08</t>
  </si>
  <si>
    <t>2025-05-14 20:52:09</t>
  </si>
  <si>
    <t>2025-05-14 20:54:08</t>
  </si>
  <si>
    <t>2025-05-14 20:56:09</t>
  </si>
  <si>
    <t>2025-05-14 20:58:08</t>
  </si>
  <si>
    <t>2025-05-14 21:00:09</t>
  </si>
  <si>
    <t>2025-05-14 21:02:09</t>
  </si>
  <si>
    <t>2025-05-14 21:04:09</t>
  </si>
  <si>
    <t>2025-05-14 21:06:08</t>
  </si>
  <si>
    <t>2025-05-14 21:08:09</t>
  </si>
  <si>
    <t>2025-05-14 21:10:09</t>
  </si>
  <si>
    <t>2025-05-14 21:12:08</t>
  </si>
  <si>
    <t>2025-05-14 21:14:08</t>
  </si>
  <si>
    <t>2025-05-14 21:16:09</t>
  </si>
  <si>
    <t>2025-05-14 21:18:09</t>
  </si>
  <si>
    <t>2025-05-14 21:20:09</t>
  </si>
  <si>
    <t>2025-05-14 21:22:08</t>
  </si>
  <si>
    <t>2025-05-14 21:24:09</t>
  </si>
  <si>
    <t>2025-05-14 21:26:08</t>
  </si>
  <si>
    <t>2025-05-14 21:28:08</t>
  </si>
  <si>
    <t>2025-05-14 21:30:08</t>
  </si>
  <si>
    <t>2025-05-14 21:32:09</t>
  </si>
  <si>
    <t>2025-05-14 21:34:08</t>
  </si>
  <si>
    <t>2025-05-14 21:36:08</t>
  </si>
  <si>
    <t>2025-05-14 21:38:09</t>
  </si>
  <si>
    <t>2025-05-14 21:40:09</t>
  </si>
  <si>
    <t>2025-05-14 21:42:08</t>
  </si>
  <si>
    <t>2025-05-14 21:44:09</t>
  </si>
  <si>
    <t>2025-05-14 21:46:08</t>
  </si>
  <si>
    <t>2025-05-14 21:48:08</t>
  </si>
  <si>
    <t>2025-05-14 21:50:08</t>
  </si>
  <si>
    <t>2025-05-14 21:52:09</t>
  </si>
  <si>
    <t>2025-05-14 21:54:08</t>
  </si>
  <si>
    <t>2025-05-14 21:56:08</t>
  </si>
  <si>
    <t>2025-05-14 21:58:08</t>
  </si>
  <si>
    <t>2025-05-14 22:00:09</t>
  </si>
  <si>
    <t>2025-05-14 22:02:08</t>
  </si>
  <si>
    <t>2025-05-14 22:04:08</t>
  </si>
  <si>
    <t>2025-05-14 22:06:08</t>
  </si>
  <si>
    <t>2025-05-14 22:08:09</t>
  </si>
  <si>
    <t>2025-05-14 22:10:08</t>
  </si>
  <si>
    <t>2025-05-14 22:12:08</t>
  </si>
  <si>
    <t>2025-05-14 22:14:08</t>
  </si>
  <si>
    <t>2025-05-14 22:16:09</t>
  </si>
  <si>
    <t>2025-05-14 22:18:08</t>
  </si>
  <si>
    <t>2025-05-14 22:20:09</t>
  </si>
  <si>
    <t>2025-05-14 22:22:08</t>
  </si>
  <si>
    <t>2025-05-14 22:24:09</t>
  </si>
  <si>
    <t>2025-05-14 22:26:09</t>
  </si>
  <si>
    <t>2025-05-14 22:28:09</t>
  </si>
  <si>
    <t>2025-05-14 22:30:08</t>
  </si>
  <si>
    <t>2025-05-14 22:32:09</t>
  </si>
  <si>
    <t>2025-05-14 22:34:08</t>
  </si>
  <si>
    <t>2025-05-14 22:36:08</t>
  </si>
  <si>
    <t>2025-05-14 22:38:08</t>
  </si>
  <si>
    <t>2025-05-14 22:40:09</t>
  </si>
  <si>
    <t>2025-05-14 22:42:09</t>
  </si>
  <si>
    <t>2025-05-14 22:44:09</t>
  </si>
  <si>
    <t>2025-05-14 22:46:08</t>
  </si>
  <si>
    <t>2025-05-14 22:48:09</t>
  </si>
  <si>
    <t>2025-05-14 22:50:08</t>
  </si>
  <si>
    <t>2025-05-14 22:52:08</t>
  </si>
  <si>
    <t>2025-05-14 22:54:08</t>
  </si>
  <si>
    <t>2025-05-14 22:56:09</t>
  </si>
  <si>
    <t>2025-05-14 22:58:08</t>
  </si>
  <si>
    <t>2025-05-14 23:00:08</t>
  </si>
  <si>
    <t>2025-05-14 23:02:08</t>
  </si>
  <si>
    <t>2025-05-14 23:04:09</t>
  </si>
  <si>
    <t>2025-05-14 23:06:08</t>
  </si>
  <si>
    <t>2025-05-14 23:08:08</t>
  </si>
  <si>
    <t>2025-05-14 23:10:08</t>
  </si>
  <si>
    <t>2025-05-14 23:12:09</t>
  </si>
  <si>
    <t>2025-05-14 23:14:09</t>
  </si>
  <si>
    <t>2025-05-14 23:16:09</t>
  </si>
  <si>
    <t>2025-05-14 23:18:08</t>
  </si>
  <si>
    <t>2025-05-14 23:20:09</t>
  </si>
  <si>
    <t>2025-05-14 23:22:08</t>
  </si>
  <si>
    <t>2025-05-14 23:24:08</t>
  </si>
  <si>
    <t>2025-05-14 23:26:08</t>
  </si>
  <si>
    <t>2025-05-14 23:28:09</t>
  </si>
  <si>
    <t>2025-05-14 23:30:08</t>
  </si>
  <si>
    <t>2025-05-14 23:32:08</t>
  </si>
  <si>
    <t>2025-05-14 23:34:08</t>
  </si>
  <si>
    <t>2025-05-14 23:36:09</t>
  </si>
  <si>
    <t>2025-05-14 23:38:09</t>
  </si>
  <si>
    <t>2025-05-14 23:40:09</t>
  </si>
  <si>
    <t>2025-05-14 23:42:08</t>
  </si>
  <si>
    <t>2025-05-14 23:44:09</t>
  </si>
  <si>
    <t>2025-05-14 23:46:08</t>
  </si>
  <si>
    <t>2025-05-14 23:48:08</t>
  </si>
  <si>
    <t>2025-05-14 23:50:08</t>
  </si>
  <si>
    <t>2025-05-14 23:52:09</t>
  </si>
  <si>
    <t>2025-05-14 23:54:08</t>
  </si>
  <si>
    <t>2025-05-14 23:56:09</t>
  </si>
  <si>
    <t>2025-05-14 23:58:08</t>
  </si>
  <si>
    <t>2025-05-15 00:00:09</t>
  </si>
  <si>
    <t>2025-05-15 00:02:08</t>
  </si>
  <si>
    <t>2025-05-15 00:04:08</t>
  </si>
  <si>
    <t>2025-05-15 00:06:08</t>
  </si>
  <si>
    <t>2025-05-15 00:08:09</t>
  </si>
  <si>
    <t>2025-05-15 00:10:08</t>
  </si>
  <si>
    <t>2025-05-15 00:12:09</t>
  </si>
  <si>
    <t>2025-05-15 00:14:08</t>
  </si>
  <si>
    <t>2025-05-15 00:16:09</t>
  </si>
  <si>
    <t>2025-05-15 00:18:08</t>
  </si>
  <si>
    <t>2025-05-15 00:20:09</t>
  </si>
  <si>
    <t>2025-05-15 00:22:08</t>
  </si>
  <si>
    <t>2025-05-15 00:24:09</t>
  </si>
  <si>
    <t>2025-05-15 00:26:09</t>
  </si>
  <si>
    <t>2025-05-15 00:28:09</t>
  </si>
  <si>
    <t>2025-05-15 00:30:08</t>
  </si>
  <si>
    <t>2025-05-15 00:32:09</t>
  </si>
  <si>
    <t>2025-05-15 00:34:09</t>
  </si>
  <si>
    <t>2025-05-15 00:36:09</t>
  </si>
  <si>
    <t>2025-05-15 00:38:08</t>
  </si>
  <si>
    <t>2025-05-15 00:40:09</t>
  </si>
  <si>
    <t>2025-05-15 00:42:08</t>
  </si>
  <si>
    <t>2025-05-15 00:44:09</t>
  </si>
  <si>
    <t>2025-05-15 00:46:08</t>
  </si>
  <si>
    <t>2025-05-15 00:48:09</t>
  </si>
  <si>
    <t>2025-05-15 00:50:09</t>
  </si>
  <si>
    <t>2025-05-15 00:52:09</t>
  </si>
  <si>
    <t>2025-05-15 00:54:08</t>
  </si>
  <si>
    <t>2025-05-15 00:56:09</t>
  </si>
  <si>
    <t>2025-05-15 00:58:09</t>
  </si>
  <si>
    <t>2025-05-15 01:00:09</t>
  </si>
  <si>
    <t>2025-05-15 01:02:08</t>
  </si>
  <si>
    <t>2025-05-15 01:04:09</t>
  </si>
  <si>
    <t>2025-05-15 01:06:09</t>
  </si>
  <si>
    <t>2025-05-15 01:08:09</t>
  </si>
  <si>
    <t>2025-05-15 01:10:08</t>
  </si>
  <si>
    <t>2025-05-15 01:12:09</t>
  </si>
  <si>
    <t>2025-05-15 01:14:09</t>
  </si>
  <si>
    <t>2025-05-15 01:16:09</t>
  </si>
  <si>
    <t>2025-05-15 01:18:08</t>
  </si>
  <si>
    <t>2025-05-15 01:20:09</t>
  </si>
  <si>
    <t>2025-05-15 01:22:09</t>
  </si>
  <si>
    <t>2025-05-15 01:24:09</t>
  </si>
  <si>
    <t>2025-05-15 01:26:08</t>
  </si>
  <si>
    <t>2025-05-15 01:28:08</t>
  </si>
  <si>
    <t>2025-05-15 01:30:08</t>
  </si>
  <si>
    <t>2025-05-15 01:32:09</t>
  </si>
  <si>
    <t>2025-05-15 01:34:08</t>
  </si>
  <si>
    <t>2025-05-15 01:36:08</t>
  </si>
  <si>
    <t>2025-05-15 01:38:08</t>
  </si>
  <si>
    <t>2025-05-15 01:40:09</t>
  </si>
  <si>
    <t>2025-05-15 01:42:08</t>
  </si>
  <si>
    <t>2025-05-15 01:44:08</t>
  </si>
  <si>
    <t>2025-05-15 01:46:08</t>
  </si>
  <si>
    <t>2025-05-15 01:48:09</t>
  </si>
  <si>
    <t>2025-05-15 01:50:08</t>
  </si>
  <si>
    <t>2025-05-15 01:52:09</t>
  </si>
  <si>
    <t>2025-05-15 01:54:08</t>
  </si>
  <si>
    <t>2025-05-15 01:56:09</t>
  </si>
  <si>
    <t>2025-05-15 01:58:08</t>
  </si>
  <si>
    <t>2025-05-15 02:00:08</t>
  </si>
  <si>
    <t>2025-05-15 02:02:08</t>
  </si>
  <si>
    <t>2025-05-15 02:04:09</t>
  </si>
  <si>
    <t>2025-05-15 02:06:09</t>
  </si>
  <si>
    <t>2025-05-15 02:08:09</t>
  </si>
  <si>
    <t>2025-05-15 02:10:08</t>
  </si>
  <si>
    <t>2025-05-15 02:12:09</t>
  </si>
  <si>
    <t>2025-05-15 02:14:09</t>
  </si>
  <si>
    <t>2025-05-15 02:16:09</t>
  </si>
  <si>
    <t>2025-05-15 02:18:08</t>
  </si>
  <si>
    <t>2025-05-15 02:20:09</t>
  </si>
  <si>
    <t>2025-05-15 02:22:08</t>
  </si>
  <si>
    <t>2025-05-15 02:24:09</t>
  </si>
  <si>
    <t>2025-05-15 02:26:08</t>
  </si>
  <si>
    <t>2025-05-15 02:28:09</t>
  </si>
  <si>
    <t>2025-05-15 02:30:08</t>
  </si>
  <si>
    <t>2025-05-15 02:32:09</t>
  </si>
  <si>
    <t>2025-05-15 02:34:08</t>
  </si>
  <si>
    <t>2025-05-15 02:36:09</t>
  </si>
  <si>
    <t>2025-05-15 02:38:09</t>
  </si>
  <si>
    <t>2025-05-15 02:40:09</t>
  </si>
  <si>
    <t>2025-05-15 02:42:08</t>
  </si>
  <si>
    <t>2025-05-15 02:44:09</t>
  </si>
  <si>
    <t>2025-05-15 02:46:09</t>
  </si>
  <si>
    <t>2025-05-15 02:48:09</t>
  </si>
  <si>
    <t>2025-05-15 02:50:08</t>
  </si>
  <si>
    <t>2025-05-15 02:52:08</t>
  </si>
  <si>
    <t>2025-05-15 02:54:08</t>
  </si>
  <si>
    <t>2025-05-15 02:56:09</t>
  </si>
  <si>
    <t>2025-05-15 02:58:09</t>
  </si>
  <si>
    <t>2025-05-15 03:00:09</t>
  </si>
  <si>
    <t>2025-05-15 03:02:08</t>
  </si>
  <si>
    <t>2025-05-15 03:04:09</t>
  </si>
  <si>
    <t>2025-05-15 03:06:09</t>
  </si>
  <si>
    <t>2025-05-15 03:08:09</t>
  </si>
  <si>
    <t>2025-05-15 03:10:08</t>
  </si>
  <si>
    <t>2025-05-15 03:12:09</t>
  </si>
  <si>
    <t>2025-05-15 03:14:08</t>
  </si>
  <si>
    <t>2025-05-15 03:16:09</t>
  </si>
  <si>
    <t>2025-05-15 03:18:08</t>
  </si>
  <si>
    <t>2025-05-15 03:20:08</t>
  </si>
  <si>
    <t>2025-05-15 03:22:08</t>
  </si>
  <si>
    <t>2025-05-15 03:24:09</t>
  </si>
  <si>
    <t>2025-05-15 03:26:09</t>
  </si>
  <si>
    <t>2025-05-15 03:28:09</t>
  </si>
  <si>
    <t>2025-05-15 03:30:08</t>
  </si>
  <si>
    <t>2025-05-15 03:32:09</t>
  </si>
  <si>
    <t>2025-05-15 03:34:08</t>
  </si>
  <si>
    <t>2025-05-15 03:36:09</t>
  </si>
  <si>
    <t>2025-05-15 03:38:09</t>
  </si>
  <si>
    <t>2025-05-15 03:40:09</t>
  </si>
  <si>
    <t>2025-05-15 03:42:08</t>
  </si>
  <si>
    <t>2025-05-15 03:44:09</t>
  </si>
  <si>
    <t>2025-05-15 03:46:08</t>
  </si>
  <si>
    <t>2025-05-15 03:48:09</t>
  </si>
  <si>
    <t>2025-05-15 03:50:08</t>
  </si>
  <si>
    <t>2025-05-15 03:52:08</t>
  </si>
  <si>
    <t>2025-05-15 03:54:08</t>
  </si>
  <si>
    <t>2025-05-15 03:56:09</t>
  </si>
  <si>
    <t>2025-05-15 03:58:08</t>
  </si>
  <si>
    <t>2025-05-15 04:00:09</t>
  </si>
  <si>
    <t>2025-05-15 04:02:08</t>
  </si>
  <si>
    <t>2025-05-15 04:04:09</t>
  </si>
  <si>
    <t>2025-05-15 04:06:08</t>
  </si>
  <si>
    <t>2025-05-15 04:08:09</t>
  </si>
  <si>
    <t>2025-05-15 04:10:08</t>
  </si>
  <si>
    <t>2025-05-15 04:12:09</t>
  </si>
  <si>
    <t>2025-05-15 04:14:08</t>
  </si>
  <si>
    <t>2025-05-15 04:16:09</t>
  </si>
  <si>
    <t>2025-05-15 04:18:08</t>
  </si>
  <si>
    <t>2025-05-15 04:20:09</t>
  </si>
  <si>
    <t>2025-05-15 04:22:08</t>
  </si>
  <si>
    <t>2025-05-15 04:24:09</t>
  </si>
  <si>
    <t>2025-05-15 04:26:08</t>
  </si>
  <si>
    <t>2025-05-15 04:28:08</t>
  </si>
  <si>
    <t>2025-05-15 04:30:08</t>
  </si>
  <si>
    <t>2025-05-15 04:32:09</t>
  </si>
  <si>
    <t>2025-05-15 04:34:08</t>
  </si>
  <si>
    <t>2025-05-15 04:36:08</t>
  </si>
  <si>
    <t>2025-05-15 04:38:09</t>
  </si>
  <si>
    <t>2025-05-15 04:40:09</t>
  </si>
  <si>
    <t>2025-05-15 04:42:08</t>
  </si>
  <si>
    <t>2025-05-15 04:44:09</t>
  </si>
  <si>
    <t>2025-05-15 04:46:09</t>
  </si>
  <si>
    <t>2025-05-15 04:48:09</t>
  </si>
  <si>
    <t>2025-05-15 04:50:08</t>
  </si>
  <si>
    <t>2025-05-15 04:52:09</t>
  </si>
  <si>
    <t>2025-05-15 04:54:09</t>
  </si>
  <si>
    <t>2025-05-15 04:56:09</t>
  </si>
  <si>
    <t>2025-05-15 04:58:08</t>
  </si>
  <si>
    <t>2025-05-15 05:00:08</t>
  </si>
  <si>
    <t>2025-05-15 05:02:08</t>
  </si>
  <si>
    <t>2025-05-15 05:04:09</t>
  </si>
  <si>
    <t>2025-05-15 05:06:08</t>
  </si>
  <si>
    <t>2025-05-15 05:08:09</t>
  </si>
  <si>
    <t>2025-05-15 05:10:09</t>
  </si>
  <si>
    <t>2025-05-15 05:12:09</t>
  </si>
  <si>
    <t>2025-05-15 05:14:08</t>
  </si>
  <si>
    <t>2025-05-15 05:16:08</t>
  </si>
  <si>
    <t>2025-05-15 05:18:09</t>
  </si>
  <si>
    <t>2025-05-15 05:20:09</t>
  </si>
  <si>
    <t>2025-05-15 05:22:08</t>
  </si>
  <si>
    <t>2025-05-15 05:24:09</t>
  </si>
  <si>
    <t>2025-05-15 05:26:09</t>
  </si>
  <si>
    <t>2025-05-15 05:28:09</t>
  </si>
  <si>
    <t>2025-05-15 05:30:08</t>
  </si>
  <si>
    <t>2025-05-15 05:32:08</t>
  </si>
  <si>
    <t>2025-05-15 05:34:08</t>
  </si>
  <si>
    <t>2025-05-15 05:36:09</t>
  </si>
  <si>
    <t>2025-05-15 05:38:08</t>
  </si>
  <si>
    <t>2025-05-15 05:40:09</t>
  </si>
  <si>
    <t>2025-05-15 05:42:08</t>
  </si>
  <si>
    <t>2025-05-15 05:44:09</t>
  </si>
  <si>
    <t>2025-05-15 05:46:08</t>
  </si>
  <si>
    <t>2025-05-15 05:48:08</t>
  </si>
  <si>
    <t>2025-05-15 05:50:08</t>
  </si>
  <si>
    <t>2025-05-15 05:52:09</t>
  </si>
  <si>
    <t>2025-05-15 05:54:08</t>
  </si>
  <si>
    <t>2025-05-15 05:56:09</t>
  </si>
  <si>
    <t>2025-05-15 05:58:08</t>
  </si>
  <si>
    <t>2025-05-15 06:00:09</t>
  </si>
  <si>
    <t>2025-05-15 06:02:08</t>
  </si>
  <si>
    <t>2025-05-15 06:04:09</t>
  </si>
  <si>
    <t>2025-05-15 06:06:08</t>
  </si>
  <si>
    <t>2025-05-15 06:08:08</t>
  </si>
  <si>
    <t>2025-05-15 06:10:08</t>
  </si>
  <si>
    <t>2025-05-15 06:12:09</t>
  </si>
  <si>
    <t>2025-05-15 06:14:08</t>
  </si>
  <si>
    <t>2025-05-15 06:16:08</t>
  </si>
  <si>
    <t>2025-05-15 06:18:08</t>
  </si>
  <si>
    <t>2025-05-15 06:20:09</t>
  </si>
  <si>
    <t>2025-05-15 06:22:08</t>
  </si>
  <si>
    <t>2025-05-15 06:24:08</t>
  </si>
  <si>
    <t>2025-05-15 06:26:08</t>
  </si>
  <si>
    <t>2025-05-15 06:28:09</t>
  </si>
  <si>
    <t>2025-05-15 06:30:09</t>
  </si>
  <si>
    <t>2025-05-15 06:32:09</t>
  </si>
  <si>
    <t>2025-05-15 06:34:08</t>
  </si>
  <si>
    <t>2025-05-15 06:36:09</t>
  </si>
  <si>
    <t>2025-05-15 06:38:09</t>
  </si>
  <si>
    <t>2025-05-15 06:40:09</t>
  </si>
  <si>
    <t>2025-05-15 06:42:08</t>
  </si>
  <si>
    <t>2025-05-15 06:44:09</t>
  </si>
  <si>
    <t>2025-05-15 06:46:09</t>
  </si>
  <si>
    <t>2025-05-15 06:48:09</t>
  </si>
  <si>
    <t>2025-05-15 06:50:08</t>
  </si>
  <si>
    <t>2025-05-15 06:52:09</t>
  </si>
  <si>
    <t>2025-05-15 06:54:08</t>
  </si>
  <si>
    <t>2025-05-15 06:56:09</t>
  </si>
  <si>
    <t>2025-05-15 06:58:08</t>
  </si>
  <si>
    <t>2025-05-15 07:00:09</t>
  </si>
  <si>
    <t>2025-05-15 07:02:09</t>
  </si>
  <si>
    <t>2025-05-15 07:04:08</t>
  </si>
  <si>
    <t>2025-05-15 07:06:08</t>
  </si>
  <si>
    <t>2025-05-15 07:08:09</t>
  </si>
  <si>
    <t>2025-05-15 07:10:09</t>
  </si>
  <si>
    <t>2025-05-15 07:12:09</t>
  </si>
  <si>
    <t>2025-05-15 07:14:08</t>
  </si>
  <si>
    <t>2025-05-15 07:16:09</t>
  </si>
  <si>
    <t>2025-05-15 07:18:09</t>
  </si>
  <si>
    <t>2025-05-15 07:20:09</t>
  </si>
  <si>
    <t>2025-05-15 07:22:08</t>
  </si>
  <si>
    <t>2025-05-15 07:24:09</t>
  </si>
  <si>
    <t>2025-05-15 07:26:09</t>
  </si>
  <si>
    <t>2025-05-15 07:28:09</t>
  </si>
  <si>
    <t>2025-05-15 07:30:08</t>
  </si>
  <si>
    <t>2025-05-15 07:32:09</t>
  </si>
  <si>
    <t>2025-05-15 07:34:08</t>
  </si>
  <si>
    <t>2025-05-15 07:36:09</t>
  </si>
  <si>
    <t>2025-05-15 07:38:09</t>
  </si>
  <si>
    <t>2025-05-15 07:40:09</t>
  </si>
  <si>
    <t>2025-05-15 07:42:08</t>
  </si>
  <si>
    <t>2025-05-15 07:44:09</t>
  </si>
  <si>
    <t>2025-05-15 07:46:08</t>
  </si>
  <si>
    <t>2025-05-15 07:48:09</t>
  </si>
  <si>
    <t>2025-05-15 07:50:09</t>
  </si>
  <si>
    <t>2025-05-15 07:52:09</t>
  </si>
  <si>
    <t>2025-05-15 07:54:08</t>
  </si>
  <si>
    <t>2025-05-15 07:56:09</t>
  </si>
  <si>
    <t>2025-05-15 07:58:08</t>
  </si>
  <si>
    <t>2025-05-15 08:00:09</t>
  </si>
  <si>
    <t>2025-05-15 08:02:08</t>
  </si>
  <si>
    <t>2025-05-15 08:04:09</t>
  </si>
  <si>
    <t>2025-05-15 08:06:09</t>
  </si>
  <si>
    <t>2025-05-15 08:08:09</t>
  </si>
  <si>
    <t>2025-05-15 08:10:08</t>
  </si>
  <si>
    <t>2025-05-15 08:12:09</t>
  </si>
  <si>
    <t>2025-05-15 08:14:09</t>
  </si>
  <si>
    <t>2025-05-15 08:16:09</t>
  </si>
  <si>
    <t>2025-05-15 08:18:08</t>
  </si>
  <si>
    <t>2025-05-15 08:20:09</t>
  </si>
  <si>
    <t>2025-05-15 08:22:08</t>
  </si>
  <si>
    <t>2025-05-15 08:24:09</t>
  </si>
  <si>
    <t>2025-05-15 08:26:09</t>
  </si>
  <si>
    <t>2025-05-15 08:28:09</t>
  </si>
  <si>
    <t>2025-05-15 08:30:08</t>
  </si>
  <si>
    <t>2025-05-15 08:32:08</t>
  </si>
  <si>
    <t>2025-05-15 08:34:09</t>
  </si>
  <si>
    <t>2025-05-15 08:36:09</t>
  </si>
  <si>
    <t>2025-05-15 08:38:08</t>
  </si>
  <si>
    <t>2025-05-15 08:40:09</t>
  </si>
  <si>
    <t>2025-05-15 08:42:08</t>
  </si>
  <si>
    <t>2025-05-15 08:44:09</t>
  </si>
  <si>
    <t>2025-05-15 08:46:08</t>
  </si>
  <si>
    <t>2025-05-15 08:48:10</t>
  </si>
  <si>
    <t>2025-05-15 08:50:08</t>
  </si>
  <si>
    <t>2025-05-15 08:52:09</t>
  </si>
  <si>
    <t>2025-05-15 08:54:08</t>
  </si>
  <si>
    <t>2025-05-15 08:56:10</t>
  </si>
  <si>
    <t>2025-05-15 08:58:08</t>
  </si>
  <si>
    <t>2025-05-15 09:00:09</t>
  </si>
  <si>
    <t>2025-05-15 09:02:09</t>
  </si>
  <si>
    <t>2025-05-15 09:04:09</t>
  </si>
  <si>
    <t>2025-05-15 09:06:08</t>
  </si>
  <si>
    <t>2025-05-15 09:08:09</t>
  </si>
  <si>
    <t>2025-05-15 09:10:08</t>
  </si>
  <si>
    <t>2025-05-15 09:12:08</t>
  </si>
  <si>
    <t>2025-05-15 09:14:08</t>
  </si>
  <si>
    <t>2025-05-15 09:16:09</t>
  </si>
  <si>
    <t>2025-05-15 09:18:08</t>
  </si>
  <si>
    <t>2025-05-15 09:20:09</t>
  </si>
  <si>
    <t>2025-05-15 09:22:08</t>
  </si>
  <si>
    <t>2025-05-15 09:24:09</t>
  </si>
  <si>
    <t>2025-05-15 09:26:08</t>
  </si>
  <si>
    <t>2025-05-15 09:28:09</t>
  </si>
  <si>
    <t>2025-05-15 09:30:09</t>
  </si>
  <si>
    <t>2025-05-15 09:32:09</t>
  </si>
  <si>
    <t>2025-05-15 09:34:08</t>
  </si>
  <si>
    <t>2025-05-15 09:36:09</t>
  </si>
  <si>
    <t>2025-05-15 09:38:09</t>
  </si>
  <si>
    <t>2025-05-15 09:40:09</t>
  </si>
  <si>
    <t>2025-05-15 09:42:08</t>
  </si>
  <si>
    <t>2025-05-15 09:44:09</t>
  </si>
  <si>
    <t>2025-05-15 09:46:09</t>
  </si>
  <si>
    <t>2025-05-15 09:48:09</t>
  </si>
  <si>
    <t>2025-05-15 09:50:08</t>
  </si>
  <si>
    <t>2025-05-15 09:52:09</t>
  </si>
  <si>
    <t>2025-05-15 09:54:08</t>
  </si>
  <si>
    <t>2025-05-15 09:56:08</t>
  </si>
  <si>
    <t>2025-05-15 09:58:08</t>
  </si>
  <si>
    <t>2025-05-15 10:00:09</t>
  </si>
  <si>
    <t>2025-05-15 10:02:08</t>
  </si>
  <si>
    <t>2025-05-15 10:04:09</t>
  </si>
  <si>
    <t>2025-05-15 10:06:09</t>
  </si>
  <si>
    <t>2025-05-15 10:08:09</t>
  </si>
  <si>
    <t>2025-05-15 10:10:08</t>
  </si>
  <si>
    <t>2025-05-15 10:12:09</t>
  </si>
  <si>
    <t>2025-05-15 10:14:09</t>
  </si>
  <si>
    <t>2025-05-15 10:16:09</t>
  </si>
  <si>
    <t>2025-05-15 10:18:08</t>
  </si>
  <si>
    <t>2025-05-15 10:20:09</t>
  </si>
  <si>
    <t>2025-05-15 10:22:08</t>
  </si>
  <si>
    <t>2025-05-15 10:24:09</t>
  </si>
  <si>
    <t>2025-05-15 10:26:08</t>
  </si>
  <si>
    <t>2025-05-15 10:28:09</t>
  </si>
  <si>
    <t>2025-05-15 10:30:08</t>
  </si>
  <si>
    <t>2025-05-15 10:32:08</t>
  </si>
  <si>
    <t>2025-05-15 10:34:09</t>
  </si>
  <si>
    <t>2025-05-15 10:36:09</t>
  </si>
  <si>
    <t>2025-05-15 10:38:08</t>
  </si>
  <si>
    <t>2025-05-15 10:40:09</t>
  </si>
  <si>
    <t>2025-05-15 10:42:08</t>
  </si>
  <si>
    <t>2025-05-15 10:44:09</t>
  </si>
  <si>
    <t>2025-05-15 10:46:08</t>
  </si>
  <si>
    <t>2025-05-15 10:48:09</t>
  </si>
  <si>
    <t>2025-05-15 10:50:09</t>
  </si>
  <si>
    <t>2025-05-15 10:52:09</t>
  </si>
  <si>
    <t>2025-05-15 10:54:08</t>
  </si>
  <si>
    <t>2025-05-15 10:56:09</t>
  </si>
  <si>
    <t>2025-05-15 10:58:08</t>
  </si>
  <si>
    <t>2025-05-15 11:00:09</t>
  </si>
  <si>
    <t>2025-05-15 11:02:08</t>
  </si>
  <si>
    <t>2025-05-15 11:04:08</t>
  </si>
  <si>
    <t>2025-05-15 11:06:09</t>
  </si>
  <si>
    <t>2025-05-15 11:08:09</t>
  </si>
  <si>
    <t>2025-05-15 11:10:08</t>
  </si>
  <si>
    <t>2025-05-15 11:12:08</t>
  </si>
  <si>
    <t>2025-05-15 11:14:08</t>
  </si>
  <si>
    <t>2025-05-15 11:16:10</t>
  </si>
  <si>
    <t>2025-05-15 11:18:09</t>
  </si>
  <si>
    <t>2025-05-15 11:20:09</t>
  </si>
  <si>
    <t>2025-05-15 11:22:08</t>
  </si>
  <si>
    <t>2025-05-15 11:24:08</t>
  </si>
  <si>
    <t>2025-05-15 11:26:08</t>
  </si>
  <si>
    <t>2025-05-15 11:28:09</t>
  </si>
  <si>
    <t>2025-05-15 11:30:08</t>
  </si>
  <si>
    <t>2025-05-15 11:32:09</t>
  </si>
  <si>
    <t>2025-05-15 11:34:08</t>
  </si>
  <si>
    <t>2025-05-15 11:36:09</t>
  </si>
  <si>
    <t>2025-05-15 11:38:09</t>
  </si>
  <si>
    <t>2025-05-15 11:40:09</t>
  </si>
  <si>
    <t>2025-05-15 11:42:08</t>
  </si>
  <si>
    <t>2025-05-15 11:44:08</t>
  </si>
  <si>
    <t>2025-05-15 11:46:08</t>
  </si>
  <si>
    <t>2025-05-15 11:48:09</t>
  </si>
  <si>
    <t>2025-05-15 11:50:08</t>
  </si>
  <si>
    <t>2025-05-15 11:52:09</t>
  </si>
  <si>
    <t>2025-05-15 11:54:08</t>
  </si>
  <si>
    <t>2025-05-15 11:56:09</t>
  </si>
  <si>
    <t>2025-05-15 11:58:08</t>
  </si>
  <si>
    <t>2025-05-15 12:00:09</t>
  </si>
  <si>
    <t>2025-05-15 12:02:09</t>
  </si>
  <si>
    <t>2025-05-15 12:04:09</t>
  </si>
  <si>
    <t>2025-05-15 12:06:08</t>
  </si>
  <si>
    <t>2025-05-15 12:08:09</t>
  </si>
  <si>
    <t>2025-05-15 12:10:09</t>
  </si>
  <si>
    <t>2025-05-15 12:12:08</t>
  </si>
  <si>
    <t>2025-05-15 12:14:08</t>
  </si>
  <si>
    <t>2025-05-15 12:16:09</t>
  </si>
  <si>
    <t>2025-05-15 12:18:08</t>
  </si>
  <si>
    <t>2025-05-15 12:20:08</t>
  </si>
  <si>
    <t>2025-05-15 12:22:08</t>
  </si>
  <si>
    <t>2025-05-15 12:24:09</t>
  </si>
  <si>
    <t>2025-05-15 12:26:08</t>
  </si>
  <si>
    <t>2025-05-15 12:28:09</t>
  </si>
  <si>
    <t>2025-05-15 12:30:09</t>
  </si>
  <si>
    <t>2025-05-15 12:32:09</t>
  </si>
  <si>
    <t>2025-05-15 12:34:08</t>
  </si>
  <si>
    <t>2025-05-15 12:36:09</t>
  </si>
  <si>
    <t>2025-05-15 12:38:09</t>
  </si>
  <si>
    <t>2025-05-15 12:40:09</t>
  </si>
  <si>
    <t>2025-05-15 12:42:08</t>
  </si>
  <si>
    <t>2025-05-15 12:44:09</t>
  </si>
  <si>
    <t>2025-05-15 12:46:09</t>
  </si>
  <si>
    <t>2025-05-15 12:48:09</t>
  </si>
  <si>
    <t>2025-05-15 12:50:08</t>
  </si>
  <si>
    <t>2025-05-15 12:52:09</t>
  </si>
  <si>
    <t>2025-05-15 12:54:09</t>
  </si>
  <si>
    <t>2025-05-15 12:56:09</t>
  </si>
  <si>
    <t>2025-05-15 12:58:08</t>
  </si>
  <si>
    <t>2025-05-15 13:00:09</t>
  </si>
  <si>
    <t>2025-05-15 13:02:08</t>
  </si>
  <si>
    <t>2025-05-15 13:04:08</t>
  </si>
  <si>
    <t>2025-05-15 13:06:08</t>
  </si>
  <si>
    <t>2025-05-15 13:08:09</t>
  </si>
  <si>
    <t>2025-05-15 13:10:08</t>
  </si>
  <si>
    <t>2025-05-15 13:12:09</t>
  </si>
  <si>
    <t>2025-05-15 13:14:09</t>
  </si>
  <si>
    <t>2025-05-15 13:16:09</t>
  </si>
  <si>
    <t>2025-05-15 13:18:08</t>
  </si>
  <si>
    <t>2025-05-15 13:20:09</t>
  </si>
  <si>
    <t>2025-05-15 13:22:09</t>
  </si>
  <si>
    <t>2025-05-15 13:24:09</t>
  </si>
  <si>
    <t>2025-05-15 13:26:08</t>
  </si>
  <si>
    <t>2025-05-15 13:28:09</t>
  </si>
  <si>
    <t>2025-05-15 13:30:08</t>
  </si>
  <si>
    <t>2025-05-15 13:32:08</t>
  </si>
  <si>
    <t>2025-05-15 13:34:08</t>
  </si>
  <si>
    <t>2025-05-15 13:36:09</t>
  </si>
  <si>
    <t>2025-05-15 13:38:08</t>
  </si>
  <si>
    <t>2025-05-15 13:40:08</t>
  </si>
  <si>
    <t>2025-05-15 13:42:08</t>
  </si>
  <si>
    <t>2025-05-15 13:44:09</t>
  </si>
  <si>
    <t>2025-05-15 13:46:08</t>
  </si>
  <si>
    <t>2025-05-15 13:48:08</t>
  </si>
  <si>
    <t>2025-05-15 13:50:08</t>
  </si>
  <si>
    <t>2025-05-15 13:52:09</t>
  </si>
  <si>
    <t>2025-05-15 13:54:08</t>
  </si>
  <si>
    <t>2025-05-15 13:56:09</t>
  </si>
  <si>
    <t>2025-05-15 13:58:08</t>
  </si>
  <si>
    <t>2025-05-15 14:00:09</t>
  </si>
  <si>
    <t>2025-05-15 14:02:08</t>
  </si>
  <si>
    <t>2025-05-15 14:04:09</t>
  </si>
  <si>
    <t>2025-05-15 14:06:08</t>
  </si>
  <si>
    <t>2025-05-15 14:08:09</t>
  </si>
  <si>
    <t>2025-05-15 14:10:08</t>
  </si>
  <si>
    <t>2025-05-15 14:12:08</t>
  </si>
  <si>
    <t>2025-05-15 14:14:08</t>
  </si>
  <si>
    <t>2025-05-15 14:16:09</t>
  </si>
  <si>
    <t>2025-05-15 14:18:08</t>
  </si>
  <si>
    <t>2025-05-15 14:20:09</t>
  </si>
  <si>
    <t>2025-05-15 14:22:08</t>
  </si>
  <si>
    <t>2025-05-15 14:24:09</t>
  </si>
  <si>
    <t>2025-05-15 14:26:08</t>
  </si>
  <si>
    <t>2025-05-15 14:28:08</t>
  </si>
  <si>
    <t>2025-05-15 14:30:08</t>
  </si>
  <si>
    <t>2025-05-15 14:32:09</t>
  </si>
  <si>
    <t>2025-05-15 14:34:08</t>
  </si>
  <si>
    <t>2025-05-15 14:36:09</t>
  </si>
  <si>
    <t>2025-05-15 14:38:09</t>
  </si>
  <si>
    <t>2025-05-15 14:40:09</t>
  </si>
  <si>
    <t>2025-05-15 14:42:08</t>
  </si>
  <si>
    <t>2025-05-15 14:44:09</t>
  </si>
  <si>
    <t>2025-05-15 14:46:09</t>
  </si>
  <si>
    <t>2025-05-15 14:48:09</t>
  </si>
  <si>
    <t>2025-05-15 14:50:08</t>
  </si>
  <si>
    <t>2025-05-15 14:52:09</t>
  </si>
  <si>
    <t>2025-05-15 14:54:09</t>
  </si>
  <si>
    <t>2025-05-15 14:56:09</t>
  </si>
  <si>
    <t>2025-05-15 14:58:08</t>
  </si>
  <si>
    <t>2025-05-15 15:00:09</t>
  </si>
  <si>
    <t>2025-05-15 15:02:09</t>
  </si>
  <si>
    <t>2025-05-15 15:04:09</t>
  </si>
  <si>
    <t>2025-05-15 15:06:08</t>
  </si>
  <si>
    <t>2025-05-15 15:08:09</t>
  </si>
  <si>
    <t>2025-05-15 15:10:08</t>
  </si>
  <si>
    <t>2025-05-15 15:12:09</t>
  </si>
  <si>
    <t>2025-05-15 15:14:08</t>
  </si>
  <si>
    <t>2025-05-15 15:16:09</t>
  </si>
  <si>
    <t>2025-05-15 15:18:09</t>
  </si>
  <si>
    <t>2025-05-15 15:20:09</t>
  </si>
  <si>
    <t>2025-05-15 15:22:08</t>
  </si>
  <si>
    <t>2025-05-15 15:24:09</t>
  </si>
  <si>
    <t>2025-05-15 15:26:08</t>
  </si>
  <si>
    <t>2025-05-15 15:28:08</t>
  </si>
  <si>
    <t>2025-05-15 15:30:08</t>
  </si>
  <si>
    <t>2025-05-15 15:32:09</t>
  </si>
  <si>
    <t>2025-05-15 15:34:08</t>
  </si>
  <si>
    <t>2025-05-15 15:36:09</t>
  </si>
  <si>
    <t>2025-05-15 15:38:09</t>
  </si>
  <si>
    <t>2025-05-15 15:40:09</t>
  </si>
  <si>
    <t>2025-05-15 15:42:08</t>
  </si>
  <si>
    <t>2025-05-15 15:44:09</t>
  </si>
  <si>
    <t>2025-05-15 15:46:08</t>
  </si>
  <si>
    <t>2025-05-15 15:48:08</t>
  </si>
  <si>
    <t>2025-05-15 15:50:08</t>
  </si>
  <si>
    <t>2025-05-15 15:52:09</t>
  </si>
  <si>
    <t>2025-05-15 15:54:08</t>
  </si>
  <si>
    <t>2025-05-15 15:56:09</t>
  </si>
  <si>
    <t>2025-05-15 15:58:08</t>
  </si>
  <si>
    <t>2025-05-15 16:00:09</t>
  </si>
  <si>
    <t>2025-05-15 16:02:08</t>
  </si>
  <si>
    <t>2025-05-15 16:04:09</t>
  </si>
  <si>
    <t>2025-05-15 16:06:09</t>
  </si>
  <si>
    <t>2025-05-15 16:08:09</t>
  </si>
  <si>
    <t>2025-05-15 16:10:08</t>
  </si>
  <si>
    <t>2025-05-15 16:12:09</t>
  </si>
  <si>
    <t>2025-05-15 16:14:08</t>
  </si>
  <si>
    <t>2025-05-15 16:16:08</t>
  </si>
  <si>
    <t>2025-05-15 16:18:08</t>
  </si>
  <si>
    <t>2025-05-15 16:20:09</t>
  </si>
  <si>
    <t>2025-05-15 16:22:08</t>
  </si>
  <si>
    <t>2025-05-15 16:24:09</t>
  </si>
  <si>
    <t>2025-05-15 16:26:08</t>
  </si>
  <si>
    <t>2025-05-15 16:28:08</t>
  </si>
  <si>
    <t>2025-05-15 16:30:08</t>
  </si>
  <si>
    <t>2025-05-15 16:32:09</t>
  </si>
  <si>
    <t>2025-05-15 16:34:08</t>
  </si>
  <si>
    <t>2025-05-15 16:36:09</t>
  </si>
  <si>
    <t>2025-05-15 16:38:08</t>
  </si>
  <si>
    <t>2025-05-15 16:40:08</t>
  </si>
  <si>
    <t>2025-05-15 16:42:08</t>
  </si>
  <si>
    <t>2025-05-15 16:44:09</t>
  </si>
  <si>
    <t>2025-05-15 16:46:08</t>
  </si>
  <si>
    <t>2025-05-15 16:48:08</t>
  </si>
  <si>
    <t>2025-05-15 16:50:08</t>
  </si>
  <si>
    <t>2025-05-15 16:52:09</t>
  </si>
  <si>
    <t>2025-05-15 16:54:08</t>
  </si>
  <si>
    <t>2025-05-15 16:56:09</t>
  </si>
  <si>
    <t>2025-05-15 16:58:08</t>
  </si>
  <si>
    <t>2025-05-15 17:00:09</t>
  </si>
  <si>
    <t>2025-05-15 17:02:08</t>
  </si>
  <si>
    <t>2025-05-15 17:04:09</t>
  </si>
  <si>
    <t>2025-05-15 17:06:09</t>
  </si>
  <si>
    <t>2025-05-15 17:08:09</t>
  </si>
  <si>
    <t>2025-05-15 17:10:08</t>
  </si>
  <si>
    <t>2025-05-15 17:12:09</t>
  </si>
  <si>
    <t>2025-05-15 17:14:09</t>
  </si>
  <si>
    <t>2025-05-15 17:16:09</t>
  </si>
  <si>
    <t>2025-05-15 17:18:08</t>
  </si>
  <si>
    <t>2025-05-15 17:20:09</t>
  </si>
  <si>
    <t>2025-05-15 17:22:08</t>
  </si>
  <si>
    <t>2025-05-15 17:24:09</t>
  </si>
  <si>
    <t>2025-05-15 17:26:08</t>
  </si>
  <si>
    <t>2025-05-15 17:28:09</t>
  </si>
  <si>
    <t>2025-05-15 17:30:08</t>
  </si>
  <si>
    <t>2025-05-15 17:32:08</t>
  </si>
  <si>
    <t>2025-05-15 17:34:08</t>
  </si>
  <si>
    <t>2025-05-15 17:36:09</t>
  </si>
  <si>
    <t>2025-05-15 17:38:08</t>
  </si>
  <si>
    <t>2025-05-15 17:40:09</t>
  </si>
  <si>
    <t>2025-05-15 17:42:09</t>
  </si>
  <si>
    <t>2025-05-15 17:44:09</t>
  </si>
  <si>
    <t>2025-05-15 17:46:08</t>
  </si>
  <si>
    <t>2025-05-15 17:48:09</t>
  </si>
  <si>
    <t>2025-05-15 17:50:08</t>
  </si>
  <si>
    <t>2025-05-15 17:52:08</t>
  </si>
  <si>
    <t>2025-05-15 17:54:08</t>
  </si>
  <si>
    <t>2025-05-15 17:56:09</t>
  </si>
  <si>
    <t>2025-05-15 17:58:08</t>
  </si>
  <si>
    <t>2025-05-15 18:00:09</t>
  </si>
  <si>
    <t>2025-05-15 18:02:09</t>
  </si>
  <si>
    <t>2025-05-15 18:04:09</t>
  </si>
  <si>
    <t>2025-05-15 18:06:08</t>
  </si>
  <si>
    <t>2025-05-15 18:08:09</t>
  </si>
  <si>
    <t>2025-05-15 18:10:08</t>
  </si>
  <si>
    <t>2025-05-15 18:12:08</t>
  </si>
  <si>
    <t>2025-05-15 18:14:08</t>
  </si>
  <si>
    <t>2025-05-15 18:16:09</t>
  </si>
  <si>
    <t>2025-05-15 18:18:08</t>
  </si>
  <si>
    <t>2025-05-15 18:20:09</t>
  </si>
  <si>
    <t>2025-05-15 18:22:08</t>
  </si>
  <si>
    <t>2025-05-15 18:24:09</t>
  </si>
  <si>
    <t>2025-05-15 18:26:08</t>
  </si>
  <si>
    <t>2025-05-15 18:28:09</t>
  </si>
  <si>
    <t>2025-05-15 18:30:08</t>
  </si>
  <si>
    <t>2025-05-15 18:32:08</t>
  </si>
  <si>
    <t>2025-05-15 18:34:08</t>
  </si>
  <si>
    <t>2025-05-15 18:36:09</t>
  </si>
  <si>
    <t>2025-05-15 18:38:09</t>
  </si>
  <si>
    <t>2025-05-15 18:40:09</t>
  </si>
  <si>
    <t>2025-05-15 18:42:08</t>
  </si>
  <si>
    <t>2025-05-15 18:44:09</t>
  </si>
  <si>
    <t>2025-05-15 18:46:08</t>
  </si>
  <si>
    <t>2025-05-15 18:48:08</t>
  </si>
  <si>
    <t>2025-05-15 18:50:08</t>
  </si>
  <si>
    <t>2025-05-15 18:52:09</t>
  </si>
  <si>
    <t>2025-05-15 18:54:08</t>
  </si>
  <si>
    <t>2025-05-15 18:56:09</t>
  </si>
  <si>
    <t>2025-05-15 18:58:08</t>
  </si>
  <si>
    <t>2025-05-15 19:00:09</t>
  </si>
  <si>
    <t>2025-05-15 19:02:08</t>
  </si>
  <si>
    <t>2025-05-15 19:04:09</t>
  </si>
  <si>
    <t>2025-05-15 19:06:08</t>
  </si>
  <si>
    <t>2025-05-15 19:08:09</t>
  </si>
  <si>
    <t>2025-05-15 19:10:08</t>
  </si>
  <si>
    <t>2025-05-15 19:12:09</t>
  </si>
  <si>
    <t>2025-05-15 19:14:08</t>
  </si>
  <si>
    <t>2025-05-15 19:16:09</t>
  </si>
  <si>
    <t>2025-05-15 19:18:09</t>
  </si>
  <si>
    <t>2025-05-15 19:20:09</t>
  </si>
  <si>
    <t>2025-05-15 19:22:08</t>
  </si>
  <si>
    <t>2025-05-15 19:24:09</t>
  </si>
  <si>
    <t>2025-05-15 19:26:09</t>
  </si>
  <si>
    <t>2025-05-15 19:28:09</t>
  </si>
  <si>
    <t>2025-05-15 19:30:08</t>
  </si>
  <si>
    <t>2025-05-15 19:32:09</t>
  </si>
  <si>
    <t>2025-05-15 19:34:09</t>
  </si>
  <si>
    <t>2025-05-15 19:36:08</t>
  </si>
  <si>
    <t>2025-05-15 19:38:08</t>
  </si>
  <si>
    <t>2025-05-15 19:40:09</t>
  </si>
  <si>
    <t>2025-05-15 19:42:08</t>
  </si>
  <si>
    <t>2025-05-15 19:44:08</t>
  </si>
  <si>
    <t>2025-05-15 19:46:08</t>
  </si>
  <si>
    <t>2025-05-15 19:48:09</t>
  </si>
  <si>
    <t>2025-05-15 19:50:08</t>
  </si>
  <si>
    <t>2025-05-15 19:52:09</t>
  </si>
  <si>
    <t>2025-05-15 19:54:08</t>
  </si>
  <si>
    <t>2025-05-15 19:56:09</t>
  </si>
  <si>
    <t>2025-05-15 19:58:08</t>
  </si>
  <si>
    <t>2025-05-15 20:00:09</t>
  </si>
  <si>
    <t>2025-05-15 20:02:08</t>
  </si>
  <si>
    <t>2025-05-15 20:04:08</t>
  </si>
  <si>
    <t>2025-05-15 20:06:08</t>
  </si>
  <si>
    <t>2025-05-15 20:08:09</t>
  </si>
  <si>
    <t>2025-05-15 20:10:08</t>
  </si>
  <si>
    <t>2025-05-15 20:12:08</t>
  </si>
  <si>
    <t>2025-05-15 20:14:09</t>
  </si>
  <si>
    <t>2025-05-15 20:16:09</t>
  </si>
  <si>
    <t>2025-05-15 20:18:08</t>
  </si>
  <si>
    <t>2025-05-15 20:20:09</t>
  </si>
  <si>
    <t>2025-05-15 20:22:08</t>
  </si>
  <si>
    <t>2025-05-15 20:24:09</t>
  </si>
  <si>
    <t>2025-05-15 20:26:08</t>
  </si>
  <si>
    <t>2025-05-15 20:28:09</t>
  </si>
  <si>
    <t>2025-05-15 20:30:08</t>
  </si>
  <si>
    <t>2025-05-15 20:32:08</t>
  </si>
  <si>
    <t>2025-05-15 20:34:09</t>
  </si>
  <si>
    <t>2025-05-15 20:36:09</t>
  </si>
  <si>
    <t>2025-05-15 20:38:08</t>
  </si>
  <si>
    <t>2025-05-15 20:40:09</t>
  </si>
  <si>
    <t>2025-05-15 20:42:08</t>
  </si>
  <si>
    <t>2025-05-15 20:44:09</t>
  </si>
  <si>
    <t>2025-05-15 20:46:08</t>
  </si>
  <si>
    <t>2025-05-15 20:48:09</t>
  </si>
  <si>
    <t>2025-05-15 20:50:08</t>
  </si>
  <si>
    <t>2025-05-15 20:52:08</t>
  </si>
  <si>
    <t>2025-05-15 20:54:08</t>
  </si>
  <si>
    <t>2025-05-15 20:56:09</t>
  </si>
  <si>
    <t>2025-05-15 20:58:08</t>
  </si>
  <si>
    <t>2025-05-15 21:00:09</t>
  </si>
  <si>
    <t>2025-05-15 21:02:09</t>
  </si>
  <si>
    <t>2025-05-15 21:04:09</t>
  </si>
  <si>
    <t>2025-05-15 21:06:08</t>
  </si>
  <si>
    <t>2025-05-15 21:08:09</t>
  </si>
  <si>
    <t>2025-05-15 21:10:08</t>
  </si>
  <si>
    <t>2025-05-15 21:12:08</t>
  </si>
  <si>
    <t>2025-05-15 21:14:08</t>
  </si>
  <si>
    <t>2025-05-15 21:16:09</t>
  </si>
  <si>
    <t>2025-05-15 21:18:08</t>
  </si>
  <si>
    <t>2025-05-15 21:20:09</t>
  </si>
  <si>
    <t>2025-05-15 21:22:08</t>
  </si>
  <si>
    <t>2025-05-15 21:24:09</t>
  </si>
  <si>
    <t>2025-05-15 21:26:08</t>
  </si>
  <si>
    <t>2025-05-15 21:28:09</t>
  </si>
  <si>
    <t>2025-05-15 21:30:09</t>
  </si>
  <si>
    <t>2025-05-15 21:32:09</t>
  </si>
  <si>
    <t>2025-05-15 21:34:08</t>
  </si>
  <si>
    <t>2025-05-15 21:36:09</t>
  </si>
  <si>
    <t>2025-05-15 21:38:08</t>
  </si>
  <si>
    <t>2025-05-15 21:40:08</t>
  </si>
  <si>
    <t>2025-05-15 21:42:08</t>
  </si>
  <si>
    <t>2025-05-15 21:44:09</t>
  </si>
  <si>
    <t>2025-05-15 21:46:08</t>
  </si>
  <si>
    <t>2025-05-15 21:48:08</t>
  </si>
  <si>
    <t>2025-05-15 21:50:08</t>
  </si>
  <si>
    <t>2025-05-15 21:52:09</t>
  </si>
  <si>
    <t>2025-05-15 21:54:08</t>
  </si>
  <si>
    <t>2025-05-15 21:56:09</t>
  </si>
  <si>
    <t>2025-05-15 21:58:08</t>
  </si>
  <si>
    <t>2025-05-15 22:00:09</t>
  </si>
  <si>
    <t>2025-05-15 22:02:08</t>
  </si>
  <si>
    <t>2025-05-15 22:04:08</t>
  </si>
  <si>
    <t>2025-05-15 22:06:08</t>
  </si>
  <si>
    <t>2025-05-15 22:08:09</t>
  </si>
  <si>
    <t>2025-05-15 22:10:08</t>
  </si>
  <si>
    <t>2025-05-15 22:12:09</t>
  </si>
  <si>
    <t>2025-05-15 22:14:08</t>
  </si>
  <si>
    <t>2025-05-15 22:16:09</t>
  </si>
  <si>
    <t>2025-05-15 22:18:08</t>
  </si>
  <si>
    <t>2025-05-15 22:20:08</t>
  </si>
  <si>
    <t>2025-05-15 22:22:08</t>
  </si>
  <si>
    <t>2025-05-15 22:24:09</t>
  </si>
  <si>
    <t>2025-05-15 22:26:08</t>
  </si>
  <si>
    <t>2025-05-15 22:28:09</t>
  </si>
  <si>
    <t>2025-05-15 22:30:09</t>
  </si>
  <si>
    <t>2025-05-15 22:32:09</t>
  </si>
  <si>
    <t>2025-05-15 22:34:08</t>
  </si>
  <si>
    <t>2025-05-15 22:36:09</t>
  </si>
  <si>
    <t>2025-05-15 22:38:09</t>
  </si>
  <si>
    <t>2025-05-15 22:40:09</t>
  </si>
  <si>
    <t>2025-05-15 22:42:08</t>
  </si>
  <si>
    <t>2025-05-15 22:44:09</t>
  </si>
  <si>
    <t>2025-05-15 22:46:08</t>
  </si>
  <si>
    <t>2025-05-15 22:48:08</t>
  </si>
  <si>
    <t>2025-05-15 22:50:08</t>
  </si>
  <si>
    <t>2025-05-15 22:52:09</t>
  </si>
  <si>
    <t>2025-05-15 22:54:09</t>
  </si>
  <si>
    <t>2025-05-15 22:56:09</t>
  </si>
  <si>
    <t>2025-05-15 22:58:08</t>
  </si>
  <si>
    <t>2025-05-15 23:00:09</t>
  </si>
  <si>
    <t>2025-05-15 23:02:08</t>
  </si>
  <si>
    <t>2025-05-15 23:04:08</t>
  </si>
  <si>
    <t>2025-05-15 23:06:08</t>
  </si>
  <si>
    <t>2025-05-15 23:08:09</t>
  </si>
  <si>
    <t>2025-05-15 23:10:08</t>
  </si>
  <si>
    <t>2025-05-15 23:12:08</t>
  </si>
  <si>
    <t>2025-05-15 23:14:08</t>
  </si>
  <si>
    <t>2025-05-15 23:16:09</t>
  </si>
  <si>
    <t>2025-05-15 23:18:08</t>
  </si>
  <si>
    <t>2025-05-15 23:20:08</t>
  </si>
  <si>
    <t>2025-05-15 23:22:08</t>
  </si>
  <si>
    <t>2025-05-15 23:24:09</t>
  </si>
  <si>
    <t>2025-05-15 23:26:08</t>
  </si>
  <si>
    <t>2025-05-15 23:28:09</t>
  </si>
  <si>
    <t>2025-05-15 23:30:08</t>
  </si>
  <si>
    <t>2025-05-15 23:32:08</t>
  </si>
  <si>
    <t>2025-05-15 23:34:08</t>
  </si>
  <si>
    <t>2025-05-15 23:36:09</t>
  </si>
  <si>
    <t>2025-05-15 23:38:08</t>
  </si>
  <si>
    <t>2025-05-15 23:40:09</t>
  </si>
  <si>
    <t>2025-05-15 23:42:09</t>
  </si>
  <si>
    <t>2025-05-15 23:44:09</t>
  </si>
  <si>
    <t>2025-05-15 23:46:08</t>
  </si>
  <si>
    <t>2025-05-15 23:48:09</t>
  </si>
  <si>
    <t>2025-05-15 23:50:08</t>
  </si>
  <si>
    <t>2025-05-15 23:52:09</t>
  </si>
  <si>
    <t>2025-05-15 23:54:08</t>
  </si>
  <si>
    <t>2025-05-15 23:56:09</t>
  </si>
  <si>
    <t>2025-05-15 23:58:08</t>
  </si>
  <si>
    <t>2025-05-16 00:00:09</t>
  </si>
  <si>
    <t>2025-05-16 00:02:08</t>
  </si>
  <si>
    <t>2025-05-16 00:04:08</t>
  </si>
  <si>
    <t>2025-05-16 00:06:08</t>
  </si>
  <si>
    <t>2025-05-16 00:08:09</t>
  </si>
  <si>
    <t>2025-05-16 00:10:08</t>
  </si>
  <si>
    <t>2025-05-16 00:12:09</t>
  </si>
  <si>
    <t>2025-05-16 00:14:09</t>
  </si>
  <si>
    <t>2025-05-16 00:16:09</t>
  </si>
  <si>
    <t>2025-05-16 00:18:08</t>
  </si>
  <si>
    <t>2025-05-16 00:20:09</t>
  </si>
  <si>
    <t>2025-05-16 00:22:09</t>
  </si>
  <si>
    <t>2025-05-16 00:24:09</t>
  </si>
  <si>
    <t>2025-05-16 00:26:08</t>
  </si>
  <si>
    <t>2025-05-16 00:28:09</t>
  </si>
  <si>
    <t>2025-05-16 00:30:08</t>
  </si>
  <si>
    <t>2025-05-16 00:32:08</t>
  </si>
  <si>
    <t>2025-05-16 00:34:08</t>
  </si>
  <si>
    <t>2025-05-16 00:36:09</t>
  </si>
  <si>
    <t>2025-05-16 00:38:08</t>
  </si>
  <si>
    <t>2025-05-16 00:40:08</t>
  </si>
  <si>
    <t>2025-05-16 00:42:08</t>
  </si>
  <si>
    <t>2025-05-16 00:44:09</t>
  </si>
  <si>
    <t>2025-05-16 00:46:08</t>
  </si>
  <si>
    <t>2025-05-16 00:48:09</t>
  </si>
  <si>
    <t>2025-05-16 00:50:09</t>
  </si>
  <si>
    <t>2025-05-16 00:52:09</t>
  </si>
  <si>
    <t>2025-05-16 00:54:08</t>
  </si>
  <si>
    <t>2025-05-16 00:56:09</t>
  </si>
  <si>
    <t>2025-05-16 00:58:08</t>
  </si>
  <si>
    <t>2025-05-16 01:00:08</t>
  </si>
  <si>
    <t>2025-05-16 01:02:08</t>
  </si>
  <si>
    <t>2025-05-16 01:04:09</t>
  </si>
  <si>
    <t>2025-05-16 01:06:08</t>
  </si>
  <si>
    <t>2025-05-16 01:08:09</t>
  </si>
  <si>
    <t>2025-05-16 01:10:08</t>
  </si>
  <si>
    <t>2025-05-16 01:12:09</t>
  </si>
  <si>
    <t>2025-05-16 01:14:09</t>
  </si>
  <si>
    <t>2025-05-16 01:16:09</t>
  </si>
  <si>
    <t>2025-05-16 01:18:08</t>
  </si>
  <si>
    <t>2025-05-16 01:20:09</t>
  </si>
  <si>
    <t>2025-05-16 01:22:08</t>
  </si>
  <si>
    <t>2025-05-16 01:24:08</t>
  </si>
  <si>
    <t>2025-05-16 01:26:08</t>
  </si>
  <si>
    <t>2025-05-16 01:28:09</t>
  </si>
  <si>
    <t>2025-05-16 01:30:08</t>
  </si>
  <si>
    <t>2025-05-16 01:32:09</t>
  </si>
  <si>
    <t>2025-05-16 01:34:09</t>
  </si>
  <si>
    <t>2025-05-16 01:36:09</t>
  </si>
  <si>
    <t>2025-05-16 01:38:08</t>
  </si>
  <si>
    <t>2025-05-16 01:40:09</t>
  </si>
  <si>
    <t>2025-05-16 01:42:08</t>
  </si>
  <si>
    <t>2025-05-16 01:44:08</t>
  </si>
  <si>
    <t>2025-05-16 01:46:08</t>
  </si>
  <si>
    <t>2025-05-16 01:48:09</t>
  </si>
  <si>
    <t>2025-05-16 01:50:08</t>
  </si>
  <si>
    <t>2025-05-16 01:52:08</t>
  </si>
  <si>
    <t>2025-05-16 01:54:08</t>
  </si>
  <si>
    <t>2025-05-16 01:56:09</t>
  </si>
  <si>
    <t>2025-05-16 01:58:08</t>
  </si>
  <si>
    <t>2025-05-16 02:00:08</t>
  </si>
  <si>
    <t>2025-05-16 02:02:08</t>
  </si>
  <si>
    <t>2025-05-16 02:04:09</t>
  </si>
  <si>
    <t>2025-05-16 02:06:09</t>
  </si>
  <si>
    <t>2025-05-16 02:08:09</t>
  </si>
  <si>
    <t>2025-05-16 02:10:08</t>
  </si>
  <si>
    <t>2025-05-16 02:12:09</t>
  </si>
  <si>
    <t>2025-05-16 02:14:08</t>
  </si>
  <si>
    <t>2025-05-16 02:16:08</t>
  </si>
  <si>
    <t>2025-05-16 02:18:08</t>
  </si>
  <si>
    <t>2025-05-16 02:20:09</t>
  </si>
  <si>
    <t>2025-05-16 02:22:08</t>
  </si>
  <si>
    <t>2025-05-16 02:24:09</t>
  </si>
  <si>
    <t>2025-05-16 02:26:09</t>
  </si>
  <si>
    <t>2025-05-16 02:28:09</t>
  </si>
  <si>
    <t>2025-05-16 02:30:08</t>
  </si>
  <si>
    <t>2025-05-16 02:32:09</t>
  </si>
  <si>
    <t>2025-05-16 02:34:08</t>
  </si>
  <si>
    <t>2025-05-16 02:36:08</t>
  </si>
  <si>
    <t>2025-05-16 02:38:08</t>
  </si>
  <si>
    <t>2025-05-16 02:40:09</t>
  </si>
  <si>
    <t>2025-05-16 02:42:08</t>
  </si>
  <si>
    <t>2025-05-16 02:44:08</t>
  </si>
  <si>
    <t>2025-05-16 02:46:09</t>
  </si>
  <si>
    <t>2025-05-16 02:48:09</t>
  </si>
  <si>
    <t>2025-05-16 02:50:08</t>
  </si>
  <si>
    <t>2025-05-16 02:52:09</t>
  </si>
  <si>
    <t>2025-05-16 02:54:09</t>
  </si>
  <si>
    <t>2025-05-16 02:56:09</t>
  </si>
  <si>
    <t>2025-05-16 02:58:08</t>
  </si>
  <si>
    <t>2025-05-16 03:00:09</t>
  </si>
  <si>
    <t>2025-05-16 03:02:09</t>
  </si>
  <si>
    <t>2025-05-16 03:04:09</t>
  </si>
  <si>
    <t>2025-05-16 03:06:08</t>
  </si>
  <si>
    <t>2025-05-16 03:08:09</t>
  </si>
  <si>
    <t>2025-05-16 03:10:08</t>
  </si>
  <si>
    <t>2025-05-16 03:12:09</t>
  </si>
  <si>
    <t>2025-05-16 03:14:08</t>
  </si>
  <si>
    <t>2025-05-16 03:16:09</t>
  </si>
  <si>
    <t>2025-05-16 03:18:08</t>
  </si>
  <si>
    <t>2025-05-16 03:20:08</t>
  </si>
  <si>
    <t>2025-05-16 03:22:08</t>
  </si>
  <si>
    <t>2025-05-16 03:24:09</t>
  </si>
  <si>
    <t>2025-05-16 03:26:08</t>
  </si>
  <si>
    <t>2025-05-16 03:28:09</t>
  </si>
  <si>
    <t>2025-05-16 03:30:08</t>
  </si>
  <si>
    <t>2025-05-16 03:32:09</t>
  </si>
  <si>
    <t>2025-05-16 03:34:08</t>
  </si>
  <si>
    <t>2025-05-16 03:36:09</t>
  </si>
  <si>
    <t>2025-05-16 03:38:08</t>
  </si>
  <si>
    <t>2025-05-16 03:40:08</t>
  </si>
  <si>
    <t>2025-05-16 03:42:08</t>
  </si>
  <si>
    <t>2025-05-16 03:44:09</t>
  </si>
  <si>
    <t>2025-05-16 03:46:08</t>
  </si>
  <si>
    <t>2025-05-16 03:48:08</t>
  </si>
  <si>
    <t>2025-05-16 03:50:08</t>
  </si>
  <si>
    <t>2025-05-16 03:52:09</t>
  </si>
  <si>
    <t>2025-05-16 03:54:08</t>
  </si>
  <si>
    <t>2025-05-16 03:56:09</t>
  </si>
  <si>
    <t>2025-05-16 03:58:09</t>
  </si>
  <si>
    <t>2025-05-16 04:00:09</t>
  </si>
  <si>
    <t>2025-05-16 04:02:08</t>
  </si>
  <si>
    <t>2025-05-16 04:04:09</t>
  </si>
  <si>
    <t>2025-05-16 04:06:09</t>
  </si>
  <si>
    <t>2025-05-16 04:08:09</t>
  </si>
  <si>
    <t>2025-05-16 04:10:08</t>
  </si>
  <si>
    <t>2025-05-16 04:12:09</t>
  </si>
  <si>
    <t>2025-05-16 04:14:08</t>
  </si>
  <si>
    <t>2025-05-16 04:16:08</t>
  </si>
  <si>
    <t>2025-05-16 04:18:08</t>
  </si>
  <si>
    <t>2025-05-16 04:20:09</t>
  </si>
  <si>
    <t>2025-05-16 04:22:08</t>
  </si>
  <si>
    <t>2025-05-16 04:24:09</t>
  </si>
  <si>
    <t>2025-05-16 04:26:08</t>
  </si>
  <si>
    <t>2025-05-16 04:28:09</t>
  </si>
  <si>
    <t>2025-05-16 04:30:08</t>
  </si>
  <si>
    <t>2025-05-16 04:32:09</t>
  </si>
  <si>
    <t>2025-05-16 04:34:08</t>
  </si>
  <si>
    <t>2025-05-16 04:36:08</t>
  </si>
  <si>
    <t>2025-05-16 04:38:08</t>
  </si>
  <si>
    <t>2025-05-16 04:40:09</t>
  </si>
  <si>
    <t>2025-05-16 04:42:08</t>
  </si>
  <si>
    <t>2025-05-16 04:44:08</t>
  </si>
  <si>
    <t>2025-05-16 04:46:09</t>
  </si>
  <si>
    <t>2025-05-16 04:48:09</t>
  </si>
  <si>
    <t>2025-05-16 04:50:08</t>
  </si>
  <si>
    <t>2025-05-16 04:52:09</t>
  </si>
  <si>
    <t>2025-05-16 04:54:08</t>
  </si>
  <si>
    <t>2025-05-16 04:56:08</t>
  </si>
  <si>
    <t>2025-05-16 04:58:08</t>
  </si>
  <si>
    <t>2025-05-16 05:00:09</t>
  </si>
  <si>
    <t>2025-05-16 05:02:08</t>
  </si>
  <si>
    <t>2025-05-16 05:04:09</t>
  </si>
  <si>
    <t>2025-05-16 05:06:08</t>
  </si>
  <si>
    <t>2025-05-16 05:08:09</t>
  </si>
  <si>
    <t>2025-05-16 05:10:08</t>
  </si>
  <si>
    <t>2025-05-16 05:12:09</t>
  </si>
  <si>
    <t>2025-05-16 05:14:09</t>
  </si>
  <si>
    <t>2025-05-16 05:16:09</t>
  </si>
  <si>
    <t>2025-05-16 05:18:08</t>
  </si>
  <si>
    <t>2025-05-16 05:20:09</t>
  </si>
  <si>
    <t>2025-05-16 05:22:09</t>
  </si>
  <si>
    <t>2025-05-16 05:24:09</t>
  </si>
  <si>
    <t>2025-05-16 05:26:08</t>
  </si>
  <si>
    <t>2025-05-16 05:28:09</t>
  </si>
  <si>
    <t>2025-05-16 05:30:08</t>
  </si>
  <si>
    <t>2025-05-16 05:32:08</t>
  </si>
  <si>
    <t>2025-05-16 05:34:08</t>
  </si>
  <si>
    <t>2025-05-16 05:36:09</t>
  </si>
  <si>
    <t>2025-05-16 05:38:08</t>
  </si>
  <si>
    <t>2025-05-16 05:40:09</t>
  </si>
  <si>
    <t>2025-05-16 05:42:09</t>
  </si>
  <si>
    <t>2025-05-16 05:44:09</t>
  </si>
  <si>
    <t>2025-05-16 05:46:08</t>
  </si>
  <si>
    <t>2025-05-16 05:48:09</t>
  </si>
  <si>
    <t>2025-05-16 05:50:09</t>
  </si>
  <si>
    <t>2025-05-16 05:52:09</t>
  </si>
  <si>
    <t>2025-05-16 05:54:08</t>
  </si>
  <si>
    <t>2025-05-16 05:56:09</t>
  </si>
  <si>
    <t>2025-05-16 05:58:08</t>
  </si>
  <si>
    <t>Mea Date</t>
  </si>
  <si>
    <t>S No.</t>
  </si>
  <si>
    <t>S21069</t>
  </si>
  <si>
    <t>S21384</t>
  </si>
  <si>
    <t>S21586</t>
  </si>
  <si>
    <t>S21740</t>
  </si>
  <si>
    <t>S21952</t>
  </si>
  <si>
    <t>S22086</t>
  </si>
  <si>
    <t>S22176</t>
  </si>
  <si>
    <t>Note</t>
  </si>
  <si>
    <t>##</t>
  </si>
  <si>
    <t>No report for S21069 found</t>
  </si>
  <si>
    <t>All figures from report S2****</t>
  </si>
  <si>
    <t>b10</t>
  </si>
  <si>
    <t>checked by:</t>
  </si>
  <si>
    <t>humidity</t>
  </si>
  <si>
    <t>%RH</t>
  </si>
  <si>
    <t>09-10/11/2020</t>
  </si>
  <si>
    <t>dial code</t>
  </si>
  <si>
    <t>Inductance</t>
  </si>
  <si>
    <t xml:space="preserve">Expanded </t>
  </si>
  <si>
    <t xml:space="preserve">Coverage </t>
  </si>
  <si>
    <t>Resistance</t>
  </si>
  <si>
    <t>Coverage</t>
  </si>
  <si>
    <t>uncertainty</t>
  </si>
  <si>
    <t>factor</t>
  </si>
  <si>
    <r>
      <rPr>
        <sz val="10"/>
        <rFont val="Times New Roman"/>
        <family val="1"/>
        <charset val="1"/>
      </rPr>
      <t>(</t>
    </r>
    <r>
      <rPr>
        <sz val="10"/>
        <rFont val="Symbol"/>
        <family val="1"/>
        <charset val="2"/>
      </rPr>
      <t>m</t>
    </r>
    <r>
      <rPr>
        <sz val="10"/>
        <rFont val="Times New Roman"/>
        <family val="1"/>
        <charset val="1"/>
      </rPr>
      <t>H)</t>
    </r>
  </si>
  <si>
    <r>
      <rPr>
        <sz val="10"/>
        <rFont val="Times New Roman"/>
        <family val="1"/>
        <charset val="1"/>
      </rPr>
      <t>(</t>
    </r>
    <r>
      <rPr>
        <sz val="10"/>
        <rFont val="Symbol"/>
        <family val="1"/>
        <charset val="2"/>
      </rPr>
      <t>W</t>
    </r>
    <r>
      <rPr>
        <sz val="10"/>
        <rFont val="Times New Roman"/>
        <family val="1"/>
        <charset val="1"/>
      </rPr>
      <t>)</t>
    </r>
  </si>
  <si>
    <t>(mH)</t>
  </si>
  <si>
    <t>(W)</t>
  </si>
  <si>
    <t>Expanded
Uncertainty
(µH)</t>
  </si>
  <si>
    <t>Date</t>
  </si>
  <si>
    <t>Babcock (NZ) Limited</t>
  </si>
  <si>
    <t>Report Number</t>
  </si>
  <si>
    <t>For</t>
  </si>
  <si>
    <t>1592Hz</t>
  </si>
  <si>
    <t>Results Using Universal Bridge</t>
  </si>
  <si>
    <t>Dial</t>
  </si>
  <si>
    <t>a</t>
  </si>
  <si>
    <t>b</t>
  </si>
  <si>
    <t>Frequency (kHz)</t>
  </si>
  <si>
    <t>Corrected T</t>
  </si>
  <si>
    <t>corrrection for GMH51</t>
  </si>
  <si>
    <t>A</t>
  </si>
  <si>
    <t>A0</t>
  </si>
  <si>
    <t>B</t>
  </si>
  <si>
    <t>B0</t>
  </si>
  <si>
    <t>C</t>
  </si>
  <si>
    <t>D</t>
  </si>
  <si>
    <t>E</t>
  </si>
  <si>
    <t>F</t>
  </si>
  <si>
    <t>G</t>
  </si>
  <si>
    <t>HP4284 check</t>
  </si>
  <si>
    <t>zero corrected</t>
  </si>
  <si>
    <t>UB/HP (scale factor)</t>
  </si>
  <si>
    <t>average of 500 and 700</t>
  </si>
  <si>
    <t>% difference at 600</t>
  </si>
  <si>
    <t>Conclude 600 result is good to at least 0.01% for L</t>
  </si>
  <si>
    <t>Reported U</t>
  </si>
  <si>
    <t>%</t>
  </si>
  <si>
    <t>Conclude that HP4284 is not inconsistent with UB</t>
  </si>
  <si>
    <t>short</t>
  </si>
  <si>
    <t>from 'FinalDecadeCapacitor.xlsx' for S20885</t>
  </si>
  <si>
    <t>Start with internal cal.</t>
  </si>
  <si>
    <t>AH2700 will be calibrated 'on the day' against known reference capacitors.</t>
  </si>
  <si>
    <t>Use these results to have a correction factor adequate for this calibration.</t>
  </si>
  <si>
    <t>subtract zero</t>
  </si>
  <si>
    <t>Value from capacitance scale, out.csv</t>
  </si>
  <si>
    <t>measured</t>
  </si>
  <si>
    <t>NMIA</t>
  </si>
  <si>
    <t>Reference</t>
  </si>
  <si>
    <t>sdC</t>
  </si>
  <si>
    <t>sdG</t>
  </si>
  <si>
    <t>mean</t>
  </si>
  <si>
    <t>stdev</t>
  </si>
  <si>
    <t>tan delta</t>
  </si>
  <si>
    <t>pF</t>
  </si>
  <si>
    <t>nS</t>
  </si>
  <si>
    <t>correction</t>
  </si>
  <si>
    <t>zero</t>
  </si>
  <si>
    <t>ppm correction</t>
  </si>
  <si>
    <t>mrad</t>
  </si>
  <si>
    <t>AH111A</t>
  </si>
  <si>
    <t>AH111B</t>
  </si>
  <si>
    <t>AH111C</t>
  </si>
  <si>
    <t>AH111D</t>
  </si>
  <si>
    <t>GR1000A</t>
  </si>
  <si>
    <t>GR1000B</t>
  </si>
  <si>
    <t>UB1000</t>
  </si>
  <si>
    <t>ppm</t>
  </si>
  <si>
    <t>Average</t>
  </si>
  <si>
    <t>Readings from p.51 of UBIII</t>
  </si>
  <si>
    <t>from cap scale</t>
  </si>
  <si>
    <t>Correction</t>
  </si>
  <si>
    <t>Primary Lab</t>
  </si>
  <si>
    <t>average</t>
  </si>
  <si>
    <t>sd</t>
  </si>
  <si>
    <t>New UB calibrations need to be entered in Data block and accessed through the Date</t>
  </si>
  <si>
    <t>This table is the usual form for calculating spreadsheet corrections</t>
  </si>
  <si>
    <t>C1</t>
  </si>
  <si>
    <t>R4A</t>
  </si>
  <si>
    <t>R4B</t>
  </si>
  <si>
    <t>R4C</t>
  </si>
  <si>
    <t>G1</t>
  </si>
  <si>
    <t>G2</t>
  </si>
  <si>
    <t>c</t>
  </si>
  <si>
    <t>d</t>
  </si>
  <si>
    <t xml:space="preserve">Component </t>
  </si>
  <si>
    <t>Value</t>
  </si>
  <si>
    <t>1.6 kHz</t>
  </si>
  <si>
    <t>&lt;10</t>
  </si>
  <si>
    <t>except for range  4, up to 44?</t>
  </si>
  <si>
    <t>(ppm)</t>
  </si>
  <si>
    <t>DC for resistors</t>
  </si>
  <si>
    <t>Record</t>
  </si>
  <si>
    <t>Comments</t>
  </si>
  <si>
    <t>C_1</t>
  </si>
  <si>
    <t>PEL Meas V</t>
  </si>
  <si>
    <t>Check Y&amp;Z ranges 6 &amp; 4 @ 400 Hz</t>
  </si>
  <si>
    <t>R_4A</t>
  </si>
  <si>
    <t>Universal Bridge II</t>
  </si>
  <si>
    <t>Full calibration of standards and of all dial ratios and performance checks.</t>
  </si>
  <si>
    <t>R_4B</t>
  </si>
  <si>
    <t>completion of above</t>
  </si>
  <si>
    <t>R_4C</t>
  </si>
  <si>
    <t>UB II</t>
  </si>
  <si>
    <t>component values measured</t>
  </si>
  <si>
    <t>G_1</t>
  </si>
  <si>
    <t>G_2</t>
  </si>
  <si>
    <t>problem with '6' dial, repaired!</t>
  </si>
  <si>
    <t>AI III</t>
  </si>
  <si>
    <r>
      <rPr>
        <sz val="10"/>
        <rFont val="Arial"/>
        <charset val="1"/>
      </rPr>
      <t xml:space="preserve">problem with 0.01 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  <charset val="1"/>
      </rPr>
      <t>F on range 5Y, lack of DC path for current pump, AVOID</t>
    </r>
  </si>
  <si>
    <r>
      <rPr>
        <sz val="10"/>
        <rFont val="Arial"/>
        <charset val="1"/>
      </rPr>
      <t>Z3=(R4/G2)(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  <charset val="1"/>
      </rPr>
      <t>G1+ßj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  <charset val="1"/>
      </rPr>
      <t>C1)(1+c+jd)</t>
    </r>
  </si>
  <si>
    <t>assume negligible c,d</t>
  </si>
  <si>
    <t>bridge calibration</t>
  </si>
  <si>
    <t>where Z3=R+jwC</t>
  </si>
  <si>
    <t>correction_c</t>
  </si>
  <si>
    <t>bridge calibration, using HP3458 as transfer instrument</t>
  </si>
  <si>
    <r>
      <rPr>
        <sz val="10"/>
        <rFont val="Arial"/>
        <charset val="1"/>
      </rPr>
      <t>Y4=(G3/G2)(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  <charset val="1"/>
      </rPr>
      <t>G1+ßj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  <charset val="1"/>
      </rPr>
      <t>C1)(1+c+jd)</t>
    </r>
  </si>
  <si>
    <t>(G3=1/R4*)</t>
  </si>
  <si>
    <t>UBII</t>
  </si>
  <si>
    <t>bridge calibration, using HP3458 as transfer instrument: Range 5Y problem fixed</t>
  </si>
  <si>
    <r>
      <rPr>
        <sz val="10"/>
        <rFont val="Arial"/>
        <charset val="1"/>
      </rPr>
      <t>where Y4=G+j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  <charset val="1"/>
      </rPr>
      <t>C</t>
    </r>
  </si>
  <si>
    <t>bridge calibration, using HP3458 as transfer instrument: Range 5Y problem REALLY fixed</t>
  </si>
  <si>
    <t>remeasure capacitor, same dc resistance values as for 22/01/04</t>
  </si>
  <si>
    <t>R4A is used for ranges 5 to 1 inclusive</t>
  </si>
  <si>
    <t>bridge calibration, following MSLT.E.023.004.  Uncertainties have increased.</t>
  </si>
  <si>
    <t>R4B is used on range 6 only</t>
  </si>
  <si>
    <t>UBIII</t>
  </si>
  <si>
    <t>bridge calibration, following MSLT.E.023.004/5.  Uncertainties have increased slightly from 2005.</t>
  </si>
  <si>
    <t>R4C is used on range 7 only</t>
  </si>
  <si>
    <t>AH2700A</t>
  </si>
  <si>
    <t>bridge calibration, following MSLT.E.023.006.  Uncertainties unchanged from 2009.</t>
  </si>
  <si>
    <t>Zeros</t>
  </si>
  <si>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  <charset val="1"/>
      </rPr>
      <t xml:space="preserve"> correction</t>
    </r>
  </si>
  <si>
    <r>
      <rPr>
        <b/>
        <sz val="10"/>
        <rFont val="Symbol"/>
        <family val="1"/>
        <charset val="2"/>
      </rPr>
      <t>b</t>
    </r>
    <r>
      <rPr>
        <b/>
        <sz val="10"/>
        <rFont val="Arial"/>
        <family val="2"/>
        <charset val="1"/>
      </rPr>
      <t xml:space="preserve"> correction</t>
    </r>
  </si>
  <si>
    <t>1Z</t>
  </si>
  <si>
    <t>4Z</t>
  </si>
  <si>
    <t>5Z</t>
  </si>
  <si>
    <t>6Z</t>
  </si>
  <si>
    <t>7Z</t>
  </si>
  <si>
    <t>1Y</t>
  </si>
  <si>
    <t>2Y</t>
  </si>
  <si>
    <t>3Y</t>
  </si>
  <si>
    <t>4Y</t>
  </si>
  <si>
    <t>5Y</t>
  </si>
  <si>
    <t>6Y</t>
  </si>
  <si>
    <t>7Y</t>
  </si>
  <si>
    <t>Symbol font versions</t>
  </si>
  <si>
    <t>Plain version</t>
  </si>
  <si>
    <t>Multiplier (C&amp;L)</t>
  </si>
  <si>
    <t>Unit Name</t>
  </si>
  <si>
    <t>Unit Multiplier</t>
  </si>
  <si>
    <t>Multiplier (G&amp;R)</t>
  </si>
  <si>
    <t>CMC n for L</t>
  </si>
  <si>
    <t>CMC m for R</t>
  </si>
  <si>
    <t>microH</t>
  </si>
  <si>
    <t>milliohm</t>
  </si>
  <si>
    <r>
      <rPr>
        <sz val="12"/>
        <rFont val="Symbol"/>
        <family val="1"/>
        <charset val="2"/>
      </rPr>
      <t>m</t>
    </r>
    <r>
      <rPr>
        <sz val="12"/>
        <rFont val="Palatino"/>
        <family val="1"/>
        <charset val="1"/>
      </rPr>
      <t>H</t>
    </r>
  </si>
  <si>
    <r>
      <rPr>
        <sz val="12"/>
        <rFont val="Palatino"/>
        <family val="1"/>
        <charset val="1"/>
      </rPr>
      <t>m</t>
    </r>
    <r>
      <rPr>
        <sz val="12"/>
        <rFont val="Symbol"/>
        <family val="1"/>
        <charset val="2"/>
      </rPr>
      <t>W</t>
    </r>
  </si>
  <si>
    <t>ohm</t>
  </si>
  <si>
    <t>W</t>
  </si>
  <si>
    <t>milliH</t>
  </si>
  <si>
    <t>mH</t>
  </si>
  <si>
    <t>H</t>
  </si>
  <si>
    <t>kilohm</t>
  </si>
  <si>
    <r>
      <rPr>
        <sz val="12"/>
        <rFont val="Palatino"/>
        <family val="1"/>
        <charset val="1"/>
      </rPr>
      <t>k</t>
    </r>
    <r>
      <rPr>
        <sz val="12"/>
        <rFont val="Symbol"/>
        <family val="1"/>
        <charset val="2"/>
      </rPr>
      <t>W</t>
    </r>
  </si>
  <si>
    <t>microF</t>
  </si>
  <si>
    <t>milliS</t>
  </si>
  <si>
    <r>
      <rPr>
        <sz val="12"/>
        <rFont val="Symbol"/>
        <family val="1"/>
        <charset val="2"/>
      </rPr>
      <t>m</t>
    </r>
    <r>
      <rPr>
        <sz val="12"/>
        <rFont val="Palatino"/>
        <family val="1"/>
        <charset val="1"/>
      </rPr>
      <t>F</t>
    </r>
  </si>
  <si>
    <t>mS</t>
  </si>
  <si>
    <t>nF</t>
  </si>
  <si>
    <t>microS</t>
  </si>
  <si>
    <r>
      <rPr>
        <sz val="12"/>
        <rFont val="Symbol"/>
        <family val="1"/>
        <charset val="2"/>
      </rPr>
      <t>m</t>
    </r>
    <r>
      <rPr>
        <sz val="12"/>
        <rFont val="Palatino"/>
        <family val="1"/>
        <charset val="1"/>
      </rPr>
      <t>S</t>
    </r>
  </si>
  <si>
    <t>UNCERTAINTY</t>
  </si>
  <si>
    <t>Information for calculating expanded uncertainties</t>
  </si>
  <si>
    <t>Parameters could be dependent on component</t>
  </si>
  <si>
    <t>This is a data table with B9 as the column input cell.</t>
  </si>
  <si>
    <t>CMC</t>
  </si>
  <si>
    <t>GEUM uncertainty calculation template</t>
  </si>
  <si>
    <t>k-factor from degrees of freedom</t>
  </si>
  <si>
    <t>This must be re-calculated with new data sets.</t>
  </si>
  <si>
    <t>L uncert = Q[0.000014L , 0.001R, n/f ]</t>
  </si>
  <si>
    <t>R uncert = Q[0.000014R,0.0000001L , m/f ]</t>
  </si>
  <si>
    <t>The component label is the key variable for the table</t>
  </si>
  <si>
    <t>Model for uncertainty calculation.</t>
  </si>
  <si>
    <t>R alpha</t>
  </si>
  <si>
    <t>u_R alpha</t>
  </si>
  <si>
    <t>L/C alpha</t>
  </si>
  <si>
    <t>u_L/C alpha</t>
  </si>
  <si>
    <t>L/C uncertainty</t>
  </si>
  <si>
    <t>R/G uncertainty</t>
  </si>
  <si>
    <t>L/C</t>
  </si>
  <si>
    <t>mult</t>
  </si>
  <si>
    <t>n</t>
  </si>
  <si>
    <t>R/G</t>
  </si>
  <si>
    <t>m</t>
  </si>
  <si>
    <t>f</t>
  </si>
  <si>
    <t>L in microH, R in ohm</t>
  </si>
  <si>
    <t>CMC/U</t>
  </si>
  <si>
    <t>Base on formula for Universal bridge....ie assign an uncertainty to each term.</t>
  </si>
  <si>
    <t>0.4%/degree</t>
  </si>
  <si>
    <t xml:space="preserve">The 95% level of confidence expanded uncertainties are calculated using the Welch-Satterthwaite </t>
  </si>
  <si>
    <t xml:space="preserve">formula to combine standard uncertainties.   The individual degrees of freedom are derived either </t>
  </si>
  <si>
    <t xml:space="preserve">from the number of measurements used to derive the uncertainty or an estimate </t>
  </si>
  <si>
    <t>of the percentage uncertainty in the uncertainty.</t>
  </si>
  <si>
    <t>Component label</t>
  </si>
  <si>
    <t>Universal bridge reactance uncertainty</t>
  </si>
  <si>
    <t>k=a+b/v+c/v^2+d/v^3</t>
  </si>
  <si>
    <t>Standard</t>
  </si>
  <si>
    <t>for</t>
  </si>
  <si>
    <t>L/C dial setting</t>
  </si>
  <si>
    <t>Source of uncertainty</t>
  </si>
  <si>
    <t>Uncertainties</t>
  </si>
  <si>
    <t xml:space="preserve">Degrees of </t>
  </si>
  <si>
    <t xml:space="preserve"> u (counts)</t>
  </si>
  <si>
    <t>Variances</t>
  </si>
  <si>
    <t>% Accuracy</t>
  </si>
  <si>
    <t>Freedom, v</t>
  </si>
  <si>
    <t>u^4/v</t>
  </si>
  <si>
    <t>Latest comment</t>
  </si>
  <si>
    <t xml:space="preserve">ac/dc error of standards </t>
  </si>
  <si>
    <t>5ppm considered two sigma limit, essentially relying on dc values of resistors</t>
  </si>
  <si>
    <t>dial linearity</t>
  </si>
  <si>
    <t>1 ppm of full scale</t>
  </si>
  <si>
    <t>amplifier/ratio</t>
  </si>
  <si>
    <t>based on scatter of results in 1984, increased in 2004 and 2005</t>
  </si>
  <si>
    <t xml:space="preserve">Previous value was 7 ppm, now increased to 17 ppm to acount for errors on RHS of bridge.  </t>
  </si>
  <si>
    <t>temperature coefficient of resistors</t>
  </si>
  <si>
    <t>depends on matching of Vishay components</t>
  </si>
  <si>
    <t>temperature coefficient of capacitor</t>
  </si>
  <si>
    <t>2 ppm per degree for capacitor</t>
  </si>
  <si>
    <t>component stability</t>
  </si>
  <si>
    <t>some doubt on stability of capacitor in particular, increased in 2004</t>
  </si>
  <si>
    <t>Increase from 2 to 5 ppm to account for short-term instability of 1000 pF capacitor</t>
  </si>
  <si>
    <t>L/C error due to phase error in R/G</t>
  </si>
  <si>
    <t>-</t>
  </si>
  <si>
    <t>16 ppm of resistance dial setting, see comment for resistance, reduced to 5 ppm after 2004 cal</t>
  </si>
  <si>
    <t>Link to conductance setting, previously just 2 counts</t>
  </si>
  <si>
    <t>resolution</t>
  </si>
  <si>
    <t>this might be range and frequency dependent</t>
  </si>
  <si>
    <t>Previous was 2, use latest value from MSLT.E.023.005, 200/f</t>
  </si>
  <si>
    <t>Sum of variance</t>
  </si>
  <si>
    <t>Sum of u^4/v</t>
  </si>
  <si>
    <t>u combined (counts)</t>
  </si>
  <si>
    <t>effective v</t>
  </si>
  <si>
    <t>Assumptions</t>
  </si>
  <si>
    <t>expanded u (counts)</t>
  </si>
  <si>
    <t>1/ For all frequencies.  Additional noise typical at 50 Hz needs to be added</t>
  </si>
  <si>
    <t>2/ Phase angle assumed small, ie no dial interaction.</t>
  </si>
  <si>
    <r>
      <rPr>
        <sz val="10"/>
        <rFont val="Arial"/>
        <charset val="1"/>
      </rPr>
      <t>3/ Con</t>
    </r>
    <r>
      <rPr>
        <sz val="10"/>
        <rFont val="Arial"/>
        <family val="2"/>
        <charset val="1"/>
      </rPr>
      <t>sistent with 1984 calibration, the IEEE paper and recent complement checks</t>
    </r>
  </si>
  <si>
    <t>4/ Updated following 2004/5 UB calibration, see AUDIREGC</t>
  </si>
  <si>
    <t>Universal bridge resistance uncertainty</t>
  </si>
  <si>
    <t>conductance dial setting</t>
  </si>
  <si>
    <t>all references to the conductance dial are now to cell D34 (previously separate lookups back to results page)</t>
  </si>
  <si>
    <t>G/R error due to phase error in L/C</t>
  </si>
  <si>
    <t>based on standard deviation of 1984 determinations, 160 counts (16 ppm) for C at full scale</t>
  </si>
  <si>
    <t>Previous was 16, use latest value of 5 from MSLT.E.023.005</t>
  </si>
  <si>
    <t>Now return to 16 to stay consistent with CMCS</t>
  </si>
  <si>
    <t xml:space="preserve">Previous value was 2, now decreased to 1 ppm following MSLT.E023.005 </t>
  </si>
  <si>
    <t>this might be dependent on frequency and range, included below, increased from 0 to 1 in 2006, now 2000/f</t>
  </si>
  <si>
    <t>Increase to 5 for 2011 measurements.</t>
  </si>
  <si>
    <t>based on scatter of results in 1984, increased following 2004 and 2005 calibration</t>
  </si>
  <si>
    <t>stability of resistors only</t>
  </si>
  <si>
    <t xml:space="preserve">Previous value was 1, now increased to 2 ppm following MSLT.E023.005 </t>
  </si>
  <si>
    <t>1/ This scatter is consistent with Thompson's phase standards.</t>
  </si>
  <si>
    <t>2/ Updated following 200/54 UB calibration see AUDIREGC</t>
  </si>
  <si>
    <t>Resistance uncertainty for Sullivan inductor</t>
  </si>
  <si>
    <t>ubridge uncertainty</t>
  </si>
  <si>
    <t>ubridge count uncertainty</t>
  </si>
  <si>
    <t>short term stability</t>
  </si>
  <si>
    <t>temperature coefficient</t>
  </si>
  <si>
    <t xml:space="preserve">assume u_t = 0.5 degree </t>
  </si>
  <si>
    <t>auxiliary balance senstivity</t>
  </si>
  <si>
    <t>in Ubridge budget</t>
  </si>
  <si>
    <t>1/</t>
  </si>
  <si>
    <t>Inductance uncertainty for Sullivan inductor</t>
  </si>
  <si>
    <t>assume 0.5 deg at one sigma and look up the temp coefficient</t>
  </si>
  <si>
    <t>20 ppm of dial setting</t>
  </si>
  <si>
    <t>auxiliary balance sensitivity</t>
  </si>
  <si>
    <t>u combined (count)</t>
  </si>
  <si>
    <t>expanded u (count)</t>
  </si>
  <si>
    <t>Tom been here</t>
  </si>
  <si>
    <t>9171/1962</t>
  </si>
  <si>
    <t>Range 2Z</t>
  </si>
  <si>
    <t>9173/1962</t>
  </si>
  <si>
    <t>Range 3Z</t>
  </si>
  <si>
    <t>Uncertainty</t>
  </si>
  <si>
    <t>L %</t>
  </si>
  <si>
    <t>R %</t>
  </si>
  <si>
    <t>Factor</t>
  </si>
  <si>
    <t>3 Month Drift</t>
  </si>
  <si>
    <t>Some checks were made on the frequency sensitivity of the impedance measurements.</t>
  </si>
  <si>
    <t>A manual LCR check was made on 13/6/25 in AI VIII</t>
  </si>
  <si>
    <t>Ω</t>
  </si>
  <si>
    <t>kHz</t>
  </si>
  <si>
    <t>rel delta L</t>
  </si>
  <si>
    <t>rel delta R</t>
  </si>
  <si>
    <t>rel delta f</t>
  </si>
  <si>
    <t>quick assumption is that the deltas will be at least ten times smaller for the actual frequency deviation.</t>
  </si>
  <si>
    <t>rel sd</t>
  </si>
  <si>
    <t>target f</t>
  </si>
  <si>
    <t>Assume effect is largest on the higher value inductor</t>
  </si>
  <si>
    <t>From E4980_02_2025-06-18.csv gathered on lab machine</t>
  </si>
  <si>
    <t>lcr name:</t>
  </si>
  <si>
    <t>KeySight E4980A</t>
  </si>
  <si>
    <t xml:space="preserve">Name and description of Device under test: </t>
  </si>
  <si>
    <t>Sullivan A10 Coaxial GMH3I_2043</t>
  </si>
  <si>
    <t>GPIB source:</t>
  </si>
  <si>
    <t>&lt;bound method MessageBasedResource.read of &lt;'GPIBInstrument'('GPIB0::17::INSTR')&gt;&gt;</t>
  </si>
  <si>
    <t>select the freq range 90% - 110%</t>
  </si>
  <si>
    <t>[1432.4, 1512.4, 1591.5, 1670.8, 1749.6]</t>
  </si>
  <si>
    <t>Freq</t>
  </si>
  <si>
    <t>Rs</t>
  </si>
  <si>
    <t>Ls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</si>
  <si>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1432;:FUNC:DEV1:MODE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</si>
  <si>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1512;:FUNC:DEV1:MODE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</si>
  <si>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1592;:FUNC:DEV1:MODE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</si>
  <si>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1671;:FUNC:DEV1:MODE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</si>
  <si>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1750;:FUNC:DEV1:MODE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100;:OUTP:DC:ISOL:LEV:VAL 0.02;:OUTP:DC:ISOL:STAT OFF;:FUNC:DCR:RANG:AUTO ON;:FUNC:IMP:RANG:AUTO ON;:OUTP:DC:ISOL:LEV:AUTO ON;:DISP:PAGE MEASurement;
</t>
  </si>
  <si>
    <t>---------run finished---------</t>
  </si>
  <si>
    <t>Sullivan B6 Coaxial GMH3I_2066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</si>
  <si>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1432;:FUNC:DEV1:MODE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</si>
  <si>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1512;:FUNC:DEV1:MODE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</si>
  <si>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1592;:FUNC:DEV1:MODE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</si>
  <si>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1671;:FUNC:DEV1:MODE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10;:OUTP:DC:ISOL:LEV:VAL 0.02;:OUTP:DC:ISOL:STAT OFF;:FUNC:DCR:RANG:AUTO ON;:FUNC:IMP:RANG:AUTO ON;:OUTP:DC:ISOL:LEV:AUTO ON;:DISP:PAGE MEASurement;
</t>
  </si>
  <si>
    <t xml:space="preserve">:SOUR:DCS:STAT OFF;:BIAS:STAT OFF;:COMP:BIN:COUN:CLE;:LIST:CLE:ALL;:COMP:BIN:CLE;:AMPL:ALC OFF;:APER LONG,20;:BIAS:POL:AUTO OFF;:BIAS:RANG:AUTO ON;:BIAS:VOLT:LEV 0;:COMP:ABIN OFF;:COMP:BIN:COUN:STAT OFF;:COMP:MODE PTOL;:COMP:SLIM -9.9e+037,9.9e+037;:COMP:STAT OFF;:COMP:SWAP OFF;:COMP:TOL:NOM 0;:DISP:ENAB ON;:DISP:LINE "";:DISP:WIND:TEXT1:DATA:FMSD:DATA 1e-009;:DISP:WIND:TEXT2:DATA:FMSD:DATA 1e-009;:FORM:ASC:LONG ON;:FORM:BORD NORM;:FORM:DATA ASC,64;:FREQ:CW 1750;:FUNC:DEV1:MODE OFF;:FUNC:DEV1:REF:VAL 0;:FUNC:DEV2:MODE OFF;:FUNC:DEV2:REF:VAL 0;:FUNC:IMP:TYPE LSRS;:FUNC:SMON:IDC:STAT OFF;:FUNC:SMON:VDC:STAT OFF;:INIT:CONT OFF;:LIST:MODE SEQ;:LIST:STIM:TYPE FREQ,NONE;:SOUR:DCS:VOLT:LEV 0;:TRIG:DEL 0;:TRIG:SOUR INT;:TRIG:TDEL 0;:VOLT:LEV 0.1;:DISP:WIND:TEXT1:DATA:FMSD:STAT OFF;:DISP:WIND:TEXT2:DATA:FMSD:STAT OFF;:FUNC:DCR:RANG:VAL 100;:FUNC:IMP:RANG:VAL 10;:OUTP:DC:ISOL:LEV:VAL 0.02;:OUTP:DC:ISOL:STAT OFF;:FUNC:DCR:RANG:AUTO ON;:FUNC:IMP:RANG:AUTO ON;:OUTP:DC:ISOL:LEV:AUTO ON;:DISP:PAGE MEASurement;
</t>
  </si>
  <si>
    <t>A10 R</t>
  </si>
  <si>
    <t>Items A10 and B6 were measured</t>
  </si>
  <si>
    <t>B6 R</t>
  </si>
  <si>
    <t>B6 L</t>
  </si>
  <si>
    <t>A10 L</t>
  </si>
  <si>
    <t>Muirhead used ppm/Hz</t>
  </si>
  <si>
    <t>ppm/Hz</t>
  </si>
  <si>
    <t>in ppm/Hz</t>
  </si>
  <si>
    <t>Conclusion is that the frequency dependence is not significant for the Sullivan inductors</t>
  </si>
  <si>
    <t>This follows from observing that the Muirhead decade inductors showed a high, but manageable, variation of resistance with frequency. (Up to 70 ppm/Hz for resistance and up to 2.5 ppm/Hz for inductance.)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</si>
</sst>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0.0E+00"/>
    <numFmt numFmtId="165" formatCode="0.00000E+00"/>
    <numFmt numFmtId="166" formatCode="0.0"/>
    <numFmt numFmtId="167" formatCode="0.000000"/>
    <numFmt numFmtId="168" formatCode="0.00000"/>
    <numFmt numFmtId="169" formatCode="0.000"/>
    <numFmt numFmtId="170" formatCode="0.000&quot;     &quot;"/>
    <numFmt numFmtId="171" formatCode="0.000&quot;    &quot;"/>
    <numFmt numFmtId="172" formatCode="0.00&quot;       &quot;"/>
    <numFmt numFmtId="173" formatCode="0.00&quot;      &quot;"/>
    <numFmt numFmtId="174" formatCode="0.00&quot;     &quot;"/>
    <numFmt numFmtId="175" formatCode="0.0000&quot;   &quot;"/>
    <numFmt numFmtId="176" formatCode="0.000&quot;      &quot;"/>
    <numFmt numFmtId="177" formatCode="hh:mm:ss"/>
    <numFmt numFmtId="178" formatCode="dd/mm/yy"/>
    <numFmt numFmtId="179" formatCode="0.0000"/>
    <numFmt numFmtId="180" formatCode="0.0000%"/>
    <numFmt numFmtId="181" formatCode="0E+00"/>
    <numFmt numFmtId="182" formatCode="General_)"/>
    <numFmt numFmtId="183" formatCode="dd/mmm/yy_)"/>
    <numFmt numFmtId="184" formatCode="0.000000_)"/>
    <numFmt numFmtId="185" formatCode="0.E+00"/>
    <numFmt numFmtId="186" formatCode="0.0_)"/>
    <numFmt numFmtId="187" formatCode="0.0E+00_)"/>
    <numFmt numFmtId="188" formatCode="0_)"/>
    <numFmt numFmtId="189" formatCode="0.000_)"/>
    <numFmt numFmtId="190" formatCode="0.00_)"/>
    <numFmt numFmtId="191" formatCode="0.00E+00_)"/>
    <numFmt numFmtId="192" formatCode="0.0000_)"/>
    <numFmt numFmtId="193" formatCode="0.00000_)"/>
    <numFmt numFmtId="194" formatCode="dd\-mmm\-yy"/>
    <numFmt numFmtId="195" formatCode="0.000%"/>
  </numFmts>
  <fonts count="34">
    <font>
      <sz val="10"/>
      <name val="Arial"/>
      <charset val="1"/>
    </font>
    <font>
      <sz val="10"/>
      <name val="Arial"/>
      <family val="2"/>
      <charset val="1"/>
    </font>
    <font>
      <b/>
      <i/>
      <sz val="10"/>
      <name val="Arial"/>
      <charset val="1"/>
    </font>
    <font>
      <b/>
      <sz val="12"/>
      <name val="Arial"/>
      <family val="2"/>
      <charset val="1"/>
    </font>
    <font>
      <i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Calibri"/>
      <family val="2"/>
      <charset val="1"/>
    </font>
    <font>
      <sz val="10"/>
      <color rgb="FFC9211E"/>
      <name val="Arial"/>
      <charset val="1"/>
    </font>
    <font>
      <sz val="10"/>
      <name val="Palatino"/>
      <family val="1"/>
      <charset val="1"/>
    </font>
    <font>
      <sz val="10"/>
      <name val="Times New Roman"/>
      <family val="1"/>
      <charset val="1"/>
    </font>
    <font>
      <sz val="10"/>
      <color rgb="FF3465A4"/>
      <name val="Arial"/>
      <charset val="1"/>
    </font>
    <font>
      <b/>
      <i/>
      <sz val="10"/>
      <color rgb="FF3465A4"/>
      <name val="Arial"/>
      <charset val="1"/>
    </font>
    <font>
      <sz val="10"/>
      <color rgb="FF8D281E"/>
      <name val="Arial"/>
      <charset val="1"/>
    </font>
    <font>
      <b/>
      <i/>
      <sz val="10"/>
      <color rgb="FF8D281E"/>
      <name val="Arial"/>
      <charset val="1"/>
    </font>
    <font>
      <sz val="10"/>
      <color rgb="FFA7074B"/>
      <name val="Arial"/>
      <charset val="1"/>
    </font>
    <font>
      <sz val="10"/>
      <name val="Symbol"/>
      <family val="1"/>
      <charset val="2"/>
    </font>
    <font>
      <b/>
      <sz val="10"/>
      <color rgb="FFFF0000"/>
      <name val="Arial"/>
      <family val="2"/>
      <charset val="1"/>
    </font>
    <font>
      <b/>
      <sz val="10"/>
      <name val="Symbol"/>
      <family val="1"/>
      <charset val="2"/>
    </font>
    <font>
      <sz val="12"/>
      <name val="Symbol"/>
      <family val="1"/>
      <charset val="2"/>
    </font>
    <font>
      <sz val="12"/>
      <name val="Palatino"/>
      <family val="1"/>
      <charset val="1"/>
    </font>
    <font>
      <sz val="10"/>
      <name val="Arial"/>
      <family val="2"/>
    </font>
    <font>
      <sz val="8"/>
      <color rgb="FF000000"/>
      <name val="Tahoma"/>
      <family val="2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0"/>
      <color rgb="FFFF00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FF00FF"/>
      <name val="Arial"/>
      <charset val="1"/>
    </font>
    <font>
      <sz val="10"/>
      <color rgb="FFFF00FF"/>
      <name val="Arial"/>
      <family val="2"/>
      <charset val="1"/>
    </font>
    <font>
      <sz val="10"/>
      <color rgb="FF0000FF"/>
      <name val="Arial"/>
      <family val="2"/>
      <charset val="1"/>
    </font>
    <font>
      <sz val="12"/>
      <color rgb="FF000000"/>
      <name val="Palatino"/>
      <family val="1"/>
      <charset val="1"/>
    </font>
    <font>
      <sz val="10"/>
      <name val="Arial"/>
      <charset val="1"/>
    </font>
    <font>
      <sz val="10"/>
      <name val="Times New Roman"/>
      <family val="1"/>
    </font>
    <font>
      <b/>
      <sz val="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AFD095"/>
        <bgColor rgb="FFC3D69B"/>
      </patternFill>
    </fill>
    <fill>
      <patternFill patternType="solid">
        <fgColor rgb="FF00FF00"/>
        <bgColor rgb="FF33CCCC"/>
      </patternFill>
    </fill>
    <fill>
      <patternFill patternType="solid">
        <fgColor rgb="FF69FFFF"/>
        <bgColor rgb="FFB7DEE8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CC9CCC"/>
      </patternFill>
    </fill>
    <fill>
      <patternFill patternType="solid">
        <fgColor rgb="FFC0C0C0"/>
        <bgColor rgb="FFB9CDE5"/>
      </patternFill>
    </fill>
    <fill>
      <patternFill patternType="solid">
        <fgColor theme="0" tint="-0.14999847407452621"/>
        <bgColor rgb="FFE3E3E3"/>
      </patternFill>
    </fill>
    <fill>
      <patternFill patternType="solid">
        <fgColor theme="4" tint="0.59987182226020086"/>
        <bgColor rgb="FFA6CAF0"/>
      </patternFill>
    </fill>
    <fill>
      <patternFill patternType="solid">
        <fgColor theme="9" tint="0.59987182226020086"/>
        <bgColor rgb="FFFAC090"/>
      </patternFill>
    </fill>
    <fill>
      <patternFill patternType="solid">
        <fgColor theme="8" tint="0.59987182226020086"/>
        <bgColor rgb="FFB9CDE5"/>
      </patternFill>
    </fill>
    <fill>
      <patternFill patternType="solid">
        <fgColor rgb="FFFFFF00"/>
        <bgColor rgb="FFFFFF99"/>
      </patternFill>
    </fill>
    <fill>
      <patternFill patternType="solid">
        <fgColor theme="6" tint="0.39988402966399123"/>
        <bgColor rgb="FFAFD095"/>
      </patternFill>
    </fill>
    <fill>
      <patternFill patternType="solid">
        <fgColor rgb="FFF6F9D4"/>
        <bgColor rgb="FFEBF1DE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9" tint="0.39988402966399123"/>
        <bgColor rgb="FFFCD5B5"/>
      </patternFill>
    </fill>
    <fill>
      <patternFill patternType="solid">
        <fgColor rgb="FFFFFFFF"/>
        <bgColor rgb="FFF6F9D4"/>
      </patternFill>
    </fill>
    <fill>
      <patternFill patternType="solid">
        <fgColor rgb="FF008080"/>
        <bgColor rgb="FF0070C0"/>
      </patternFill>
    </fill>
    <fill>
      <patternFill patternType="solid">
        <fgColor rgb="FFFFFFC0"/>
        <bgColor rgb="FFF6F9D4"/>
      </patternFill>
    </fill>
    <fill>
      <patternFill patternType="solid">
        <fgColor theme="6" tint="0.79989013336588644"/>
        <bgColor rgb="FFF6F9D4"/>
      </patternFill>
    </fill>
    <fill>
      <patternFill patternType="solid">
        <fgColor rgb="FFA6CAF0"/>
        <bgColor rgb="FFB9CDE5"/>
      </patternFill>
    </fill>
    <fill>
      <patternFill patternType="solid">
        <fgColor rgb="FF00FFFF"/>
        <bgColor rgb="FF00CCFF"/>
      </patternFill>
    </fill>
    <fill>
      <patternFill patternType="solid">
        <fgColor theme="4" tint="0.79989013336588644"/>
        <bgColor rgb="FFDBEEF4"/>
      </patternFill>
    </fill>
    <fill>
      <patternFill patternType="solid">
        <fgColor rgb="FFFF0000"/>
        <bgColor rgb="FFC9211E"/>
      </patternFill>
    </fill>
    <fill>
      <patternFill patternType="solid">
        <fgColor rgb="FFE3E3E3"/>
        <bgColor rgb="FFDCE6F2"/>
      </patternFill>
    </fill>
    <fill>
      <patternFill patternType="solid">
        <fgColor rgb="FFFFFF99"/>
        <bgColor rgb="FFFFFFC0"/>
      </patternFill>
    </fill>
    <fill>
      <patternFill patternType="solid">
        <fgColor rgb="FFCCFFCC"/>
        <bgColor rgb="FFDBEEF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5">
    <xf numFmtId="0" fontId="0" fillId="0" borderId="0"/>
    <xf numFmtId="9" fontId="31" fillId="0" borderId="0" applyBorder="0" applyProtection="0"/>
    <xf numFmtId="0" fontId="1" fillId="0" borderId="0"/>
    <xf numFmtId="0" fontId="1" fillId="0" borderId="0" applyBorder="0"/>
    <xf numFmtId="0" fontId="1" fillId="0" borderId="0" applyBorder="0"/>
  </cellStyleXfs>
  <cellXfs count="44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0" fillId="4" borderId="0" xfId="0" applyFill="1"/>
    <xf numFmtId="0" fontId="0" fillId="3" borderId="0" xfId="0" applyFill="1"/>
    <xf numFmtId="15" fontId="1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14" fontId="5" fillId="0" borderId="0" xfId="0" applyNumberFormat="1" applyFont="1" applyAlignment="1">
      <alignment horizontal="center"/>
    </xf>
    <xf numFmtId="14" fontId="0" fillId="0" borderId="0" xfId="0" applyNumberFormat="1"/>
    <xf numFmtId="0" fontId="1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Protection="1">
      <protection locked="0"/>
    </xf>
    <xf numFmtId="0" fontId="0" fillId="7" borderId="2" xfId="0" applyFill="1" applyBorder="1"/>
    <xf numFmtId="0" fontId="0" fillId="8" borderId="3" xfId="0" applyFill="1" applyBorder="1"/>
    <xf numFmtId="0" fontId="1" fillId="8" borderId="2" xfId="0" applyFont="1" applyFill="1" applyBorder="1"/>
    <xf numFmtId="0" fontId="1" fillId="9" borderId="2" xfId="0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0" fillId="5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1" fillId="5" borderId="5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7" borderId="2" xfId="0" applyFill="1" applyBorder="1" applyAlignment="1" applyProtection="1">
      <alignment horizontal="center"/>
      <protection locked="0"/>
    </xf>
    <xf numFmtId="165" fontId="0" fillId="7" borderId="2" xfId="0" applyNumberFormat="1" applyFill="1" applyBorder="1" applyProtection="1">
      <protection locked="0"/>
    </xf>
    <xf numFmtId="0" fontId="0" fillId="7" borderId="3" xfId="0" applyFill="1" applyBorder="1"/>
    <xf numFmtId="0" fontId="0" fillId="8" borderId="2" xfId="0" applyFill="1" applyBorder="1"/>
    <xf numFmtId="11" fontId="0" fillId="9" borderId="2" xfId="0" applyNumberFormat="1" applyFill="1" applyBorder="1"/>
    <xf numFmtId="1" fontId="0" fillId="9" borderId="2" xfId="0" applyNumberFormat="1" applyFill="1" applyBorder="1" applyAlignment="1">
      <alignment horizontal="center"/>
    </xf>
    <xf numFmtId="11" fontId="0" fillId="10" borderId="2" xfId="0" applyNumberFormat="1" applyFill="1" applyBorder="1"/>
    <xf numFmtId="1" fontId="0" fillId="10" borderId="2" xfId="0" applyNumberForma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11" fontId="0" fillId="11" borderId="2" xfId="0" applyNumberFormat="1" applyFill="1" applyBorder="1"/>
    <xf numFmtId="0" fontId="1" fillId="7" borderId="2" xfId="0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65" fontId="7" fillId="7" borderId="2" xfId="0" applyNumberFormat="1" applyFont="1" applyFill="1" applyBorder="1" applyProtection="1">
      <protection locked="0"/>
    </xf>
    <xf numFmtId="0" fontId="7" fillId="7" borderId="3" xfId="0" applyFont="1" applyFill="1" applyBorder="1"/>
    <xf numFmtId="0" fontId="7" fillId="12" borderId="2" xfId="0" applyFont="1" applyFill="1" applyBorder="1" applyAlignment="1" applyProtection="1">
      <alignment horizontal="center"/>
      <protection locked="0"/>
    </xf>
    <xf numFmtId="165" fontId="7" fillId="12" borderId="2" xfId="0" applyNumberFormat="1" applyFont="1" applyFill="1" applyBorder="1" applyProtection="1">
      <protection locked="0"/>
    </xf>
    <xf numFmtId="0" fontId="7" fillId="12" borderId="3" xfId="0" applyFont="1" applyFill="1" applyBorder="1"/>
    <xf numFmtId="2" fontId="0" fillId="12" borderId="3" xfId="0" applyNumberFormat="1" applyFill="1" applyBorder="1"/>
    <xf numFmtId="165" fontId="0" fillId="7" borderId="3" xfId="0" applyNumberFormat="1" applyFill="1" applyBorder="1"/>
    <xf numFmtId="0" fontId="1" fillId="13" borderId="0" xfId="0" applyFont="1" applyFill="1" applyAlignment="1">
      <alignment horizontal="center"/>
    </xf>
    <xf numFmtId="0" fontId="1" fillId="13" borderId="0" xfId="0" applyFont="1" applyFill="1"/>
    <xf numFmtId="166" fontId="0" fillId="13" borderId="0" xfId="0" applyNumberFormat="1" applyFill="1" applyAlignment="1">
      <alignment horizontal="center"/>
    </xf>
    <xf numFmtId="0" fontId="0" fillId="13" borderId="0" xfId="0" applyFill="1"/>
    <xf numFmtId="11" fontId="0" fillId="13" borderId="0" xfId="0" applyNumberFormat="1" applyFill="1"/>
    <xf numFmtId="167" fontId="0" fillId="13" borderId="0" xfId="0" applyNumberFormat="1" applyFill="1"/>
    <xf numFmtId="168" fontId="0" fillId="13" borderId="0" xfId="0" applyNumberFormat="1" applyFill="1"/>
    <xf numFmtId="166" fontId="0" fillId="13" borderId="0" xfId="0" applyNumberFormat="1" applyFill="1"/>
    <xf numFmtId="169" fontId="0" fillId="13" borderId="0" xfId="0" applyNumberFormat="1" applyFill="1"/>
    <xf numFmtId="0" fontId="0" fillId="2" borderId="0" xfId="0" applyFill="1"/>
    <xf numFmtId="0" fontId="8" fillId="0" borderId="0" xfId="0" applyFont="1"/>
    <xf numFmtId="0" fontId="9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170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right"/>
    </xf>
    <xf numFmtId="172" fontId="9" fillId="0" borderId="0" xfId="0" applyNumberFormat="1" applyFont="1" applyAlignment="1">
      <alignment horizontal="right"/>
    </xf>
    <xf numFmtId="173" fontId="9" fillId="0" borderId="0" xfId="0" applyNumberFormat="1" applyFont="1" applyAlignment="1">
      <alignment horizontal="right"/>
    </xf>
    <xf numFmtId="174" fontId="9" fillId="0" borderId="0" xfId="0" applyNumberFormat="1" applyFont="1" applyAlignment="1">
      <alignment horizontal="right"/>
    </xf>
    <xf numFmtId="175" fontId="9" fillId="0" borderId="0" xfId="0" applyNumberFormat="1" applyFont="1" applyAlignment="1">
      <alignment horizontal="right"/>
    </xf>
    <xf numFmtId="176" fontId="9" fillId="0" borderId="0" xfId="0" applyNumberFormat="1" applyFont="1" applyAlignment="1">
      <alignment horizontal="right"/>
    </xf>
    <xf numFmtId="49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14" borderId="0" xfId="0" applyFill="1"/>
    <xf numFmtId="15" fontId="10" fillId="14" borderId="0" xfId="0" applyNumberFormat="1" applyFont="1" applyFill="1"/>
    <xf numFmtId="0" fontId="11" fillId="14" borderId="0" xfId="0" applyFont="1" applyFill="1"/>
    <xf numFmtId="0" fontId="10" fillId="0" borderId="0" xfId="0" applyFont="1"/>
    <xf numFmtId="15" fontId="12" fillId="14" borderId="7" xfId="0" applyNumberFormat="1" applyFont="1" applyFill="1" applyBorder="1"/>
    <xf numFmtId="0" fontId="13" fillId="14" borderId="8" xfId="0" applyFont="1" applyFill="1" applyBorder="1"/>
    <xf numFmtId="0" fontId="12" fillId="0" borderId="8" xfId="0" applyFont="1" applyBorder="1"/>
    <xf numFmtId="0" fontId="12" fillId="0" borderId="9" xfId="0" applyFont="1" applyBorder="1"/>
    <xf numFmtId="15" fontId="10" fillId="14" borderId="7" xfId="0" applyNumberFormat="1" applyFont="1" applyFill="1" applyBorder="1"/>
    <xf numFmtId="0" fontId="11" fillId="14" borderId="8" xfId="0" applyFont="1" applyFill="1" applyBorder="1"/>
    <xf numFmtId="0" fontId="10" fillId="0" borderId="8" xfId="0" applyFont="1" applyBorder="1"/>
    <xf numFmtId="0" fontId="10" fillId="0" borderId="9" xfId="0" applyFont="1" applyBorder="1"/>
    <xf numFmtId="15" fontId="0" fillId="14" borderId="0" xfId="0" applyNumberFormat="1" applyFill="1"/>
    <xf numFmtId="0" fontId="2" fillId="14" borderId="0" xfId="0" applyFont="1" applyFill="1"/>
    <xf numFmtId="0" fontId="10" fillId="15" borderId="7" xfId="0" applyFont="1" applyFill="1" applyBorder="1"/>
    <xf numFmtId="0" fontId="10" fillId="15" borderId="8" xfId="0" applyFont="1" applyFill="1" applyBorder="1"/>
    <xf numFmtId="0" fontId="10" fillId="15" borderId="9" xfId="0" applyFont="1" applyFill="1" applyBorder="1"/>
    <xf numFmtId="0" fontId="12" fillId="16" borderId="10" xfId="0" applyFont="1" applyFill="1" applyBorder="1"/>
    <xf numFmtId="0" fontId="12" fillId="16" borderId="0" xfId="0" applyFont="1" applyFill="1"/>
    <xf numFmtId="0" fontId="12" fillId="16" borderId="11" xfId="0" applyFont="1" applyFill="1" applyBorder="1"/>
    <xf numFmtId="0" fontId="10" fillId="15" borderId="10" xfId="0" applyFont="1" applyFill="1" applyBorder="1"/>
    <xf numFmtId="0" fontId="10" fillId="15" borderId="0" xfId="0" applyFont="1" applyFill="1"/>
    <xf numFmtId="0" fontId="10" fillId="15" borderId="11" xfId="0" applyFont="1" applyFill="1" applyBorder="1"/>
    <xf numFmtId="0" fontId="0" fillId="16" borderId="0" xfId="0" applyFill="1"/>
    <xf numFmtId="0" fontId="0" fillId="15" borderId="0" xfId="0" applyFill="1"/>
    <xf numFmtId="2" fontId="10" fillId="0" borderId="10" xfId="0" applyNumberFormat="1" applyFont="1" applyBorder="1"/>
    <xf numFmtId="2" fontId="10" fillId="0" borderId="0" xfId="0" applyNumberFormat="1" applyFont="1"/>
    <xf numFmtId="169" fontId="10" fillId="0" borderId="0" xfId="0" applyNumberFormat="1" applyFont="1"/>
    <xf numFmtId="169" fontId="10" fillId="0" borderId="11" xfId="0" applyNumberFormat="1" applyFont="1" applyBorder="1"/>
    <xf numFmtId="2" fontId="12" fillId="0" borderId="10" xfId="0" applyNumberFormat="1" applyFont="1" applyBorder="1"/>
    <xf numFmtId="2" fontId="12" fillId="0" borderId="0" xfId="0" applyNumberFormat="1" applyFont="1"/>
    <xf numFmtId="169" fontId="12" fillId="0" borderId="0" xfId="0" applyNumberFormat="1" applyFont="1"/>
    <xf numFmtId="169" fontId="12" fillId="0" borderId="11" xfId="0" applyNumberFormat="1" applyFont="1" applyBorder="1"/>
    <xf numFmtId="2" fontId="14" fillId="0" borderId="7" xfId="0" applyNumberFormat="1" applyFont="1" applyBorder="1"/>
    <xf numFmtId="2" fontId="14" fillId="0" borderId="8" xfId="0" applyNumberFormat="1" applyFont="1" applyBorder="1"/>
    <xf numFmtId="169" fontId="14" fillId="0" borderId="8" xfId="0" applyNumberFormat="1" applyFont="1" applyBorder="1"/>
    <xf numFmtId="169" fontId="14" fillId="0" borderId="9" xfId="0" applyNumberFormat="1" applyFont="1" applyBorder="1"/>
    <xf numFmtId="2" fontId="10" fillId="0" borderId="7" xfId="0" applyNumberFormat="1" applyFont="1" applyBorder="1"/>
    <xf numFmtId="2" fontId="10" fillId="0" borderId="8" xfId="0" applyNumberFormat="1" applyFont="1" applyBorder="1"/>
    <xf numFmtId="169" fontId="10" fillId="0" borderId="8" xfId="0" applyNumberFormat="1" applyFont="1" applyBorder="1"/>
    <xf numFmtId="169" fontId="10" fillId="0" borderId="9" xfId="0" applyNumberFormat="1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2" fontId="10" fillId="0" borderId="11" xfId="0" applyNumberFormat="1" applyFont="1" applyBorder="1"/>
    <xf numFmtId="2" fontId="14" fillId="0" borderId="10" xfId="0" applyNumberFormat="1" applyFont="1" applyBorder="1"/>
    <xf numFmtId="2" fontId="14" fillId="0" borderId="0" xfId="0" applyNumberFormat="1" applyFont="1"/>
    <xf numFmtId="2" fontId="14" fillId="0" borderId="11" xfId="0" applyNumberFormat="1" applyFont="1" applyBorder="1"/>
    <xf numFmtId="0" fontId="7" fillId="0" borderId="10" xfId="0" applyFont="1" applyBorder="1"/>
    <xf numFmtId="0" fontId="7" fillId="0" borderId="0" xfId="0" applyFont="1"/>
    <xf numFmtId="0" fontId="7" fillId="0" borderId="11" xfId="0" applyFont="1" applyBorder="1"/>
    <xf numFmtId="2" fontId="12" fillId="0" borderId="11" xfId="0" applyNumberFormat="1" applyFont="1" applyBorder="1"/>
    <xf numFmtId="169" fontId="14" fillId="0" borderId="0" xfId="0" applyNumberFormat="1" applyFont="1"/>
    <xf numFmtId="169" fontId="14" fillId="0" borderId="11" xfId="0" applyNumberFormat="1" applyFont="1" applyBorder="1"/>
    <xf numFmtId="2" fontId="10" fillId="0" borderId="12" xfId="0" applyNumberFormat="1" applyFont="1" applyBorder="1"/>
    <xf numFmtId="2" fontId="10" fillId="0" borderId="6" xfId="0" applyNumberFormat="1" applyFont="1" applyBorder="1"/>
    <xf numFmtId="169" fontId="10" fillId="0" borderId="6" xfId="0" applyNumberFormat="1" applyFont="1" applyBorder="1"/>
    <xf numFmtId="169" fontId="10" fillId="0" borderId="13" xfId="0" applyNumberFormat="1" applyFont="1" applyBorder="1"/>
    <xf numFmtId="2" fontId="12" fillId="0" borderId="12" xfId="0" applyNumberFormat="1" applyFont="1" applyBorder="1"/>
    <xf numFmtId="2" fontId="12" fillId="0" borderId="6" xfId="0" applyNumberFormat="1" applyFont="1" applyBorder="1"/>
    <xf numFmtId="169" fontId="12" fillId="0" borderId="6" xfId="0" applyNumberFormat="1" applyFont="1" applyBorder="1"/>
    <xf numFmtId="169" fontId="12" fillId="0" borderId="13" xfId="0" applyNumberFormat="1" applyFont="1" applyBorder="1"/>
    <xf numFmtId="2" fontId="14" fillId="0" borderId="12" xfId="0" applyNumberFormat="1" applyFont="1" applyBorder="1"/>
    <xf numFmtId="2" fontId="14" fillId="0" borderId="6" xfId="0" applyNumberFormat="1" applyFont="1" applyBorder="1"/>
    <xf numFmtId="169" fontId="14" fillId="0" borderId="6" xfId="0" applyNumberFormat="1" applyFont="1" applyBorder="1"/>
    <xf numFmtId="169" fontId="14" fillId="0" borderId="13" xfId="0" applyNumberFormat="1" applyFont="1" applyBorder="1"/>
    <xf numFmtId="0" fontId="7" fillId="0" borderId="12" xfId="0" applyFont="1" applyBorder="1"/>
    <xf numFmtId="0" fontId="7" fillId="0" borderId="6" xfId="0" applyFont="1" applyBorder="1"/>
    <xf numFmtId="0" fontId="7" fillId="0" borderId="13" xfId="0" applyFont="1" applyBorder="1"/>
    <xf numFmtId="2" fontId="10" fillId="0" borderId="13" xfId="0" applyNumberFormat="1" applyFont="1" applyBorder="1"/>
    <xf numFmtId="0" fontId="7" fillId="14" borderId="0" xfId="0" applyFont="1" applyFill="1"/>
    <xf numFmtId="178" fontId="7" fillId="14" borderId="0" xfId="0" applyNumberFormat="1" applyFont="1" applyFill="1"/>
    <xf numFmtId="0" fontId="1" fillId="17" borderId="0" xfId="0" applyFont="1" applyFill="1"/>
    <xf numFmtId="15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  <xf numFmtId="2" fontId="0" fillId="0" borderId="0" xfId="0" applyNumberFormat="1"/>
    <xf numFmtId="15" fontId="3" fillId="0" borderId="0" xfId="0" applyNumberFormat="1" applyFont="1"/>
    <xf numFmtId="0" fontId="9" fillId="0" borderId="0" xfId="0" applyFont="1"/>
    <xf numFmtId="166" fontId="8" fillId="0" borderId="0" xfId="0" applyNumberFormat="1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6" fontId="9" fillId="0" borderId="14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5" borderId="8" xfId="0" applyFont="1" applyFill="1" applyBorder="1" applyAlignment="1">
      <alignment horizontal="center"/>
    </xf>
    <xf numFmtId="166" fontId="9" fillId="15" borderId="14" xfId="0" applyNumberFormat="1" applyFont="1" applyFill="1" applyBorder="1" applyAlignment="1">
      <alignment horizontal="center"/>
    </xf>
    <xf numFmtId="166" fontId="9" fillId="15" borderId="9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66" fontId="9" fillId="0" borderId="11" xfId="0" applyNumberFormat="1" applyFont="1" applyBorder="1" applyAlignment="1">
      <alignment horizontal="center"/>
    </xf>
    <xf numFmtId="0" fontId="9" fillId="15" borderId="10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9" fillId="15" borderId="0" xfId="0" applyFont="1" applyFill="1" applyAlignment="1">
      <alignment horizontal="center"/>
    </xf>
    <xf numFmtId="166" fontId="9" fillId="15" borderId="15" xfId="0" applyNumberFormat="1" applyFont="1" applyFill="1" applyBorder="1" applyAlignment="1">
      <alignment horizontal="center"/>
    </xf>
    <xf numFmtId="166" fontId="9" fillId="15" borderId="11" xfId="0" applyNumberFormat="1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6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166" fontId="9" fillId="0" borderId="16" xfId="0" applyNumberFormat="1" applyFont="1" applyBorder="1" applyAlignment="1">
      <alignment horizontal="center" vertical="top"/>
    </xf>
    <xf numFmtId="166" fontId="9" fillId="0" borderId="13" xfId="0" applyNumberFormat="1" applyFont="1" applyBorder="1" applyAlignment="1">
      <alignment horizontal="center" vertical="top"/>
    </xf>
    <xf numFmtId="0" fontId="9" fillId="15" borderId="12" xfId="0" applyFont="1" applyFill="1" applyBorder="1" applyAlignment="1">
      <alignment horizontal="center"/>
    </xf>
    <xf numFmtId="0" fontId="9" fillId="15" borderId="16" xfId="0" applyFont="1" applyFill="1" applyBorder="1" applyAlignment="1">
      <alignment horizontal="center"/>
    </xf>
    <xf numFmtId="0" fontId="9" fillId="15" borderId="6" xfId="0" applyFont="1" applyFill="1" applyBorder="1" applyAlignment="1">
      <alignment horizontal="center"/>
    </xf>
    <xf numFmtId="166" fontId="9" fillId="15" borderId="16" xfId="0" applyNumberFormat="1" applyFont="1" applyFill="1" applyBorder="1" applyAlignment="1">
      <alignment horizontal="center"/>
    </xf>
    <xf numFmtId="166" fontId="9" fillId="15" borderId="13" xfId="0" applyNumberFormat="1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0" fontId="0" fillId="0" borderId="2" xfId="0" applyBorder="1" applyAlignment="1">
      <alignment wrapText="1"/>
    </xf>
    <xf numFmtId="2" fontId="9" fillId="18" borderId="15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69" fontId="9" fillId="0" borderId="15" xfId="0" applyNumberFormat="1" applyFont="1" applyBorder="1" applyAlignment="1">
      <alignment horizontal="center"/>
    </xf>
    <xf numFmtId="166" fontId="9" fillId="18" borderId="11" xfId="0" applyNumberFormat="1" applyFont="1" applyFill="1" applyBorder="1" applyAlignment="1">
      <alignment horizontal="center"/>
    </xf>
    <xf numFmtId="2" fontId="9" fillId="15" borderId="15" xfId="0" applyNumberFormat="1" applyFont="1" applyFill="1" applyBorder="1" applyAlignment="1">
      <alignment horizontal="center"/>
    </xf>
    <xf numFmtId="2" fontId="9" fillId="15" borderId="0" xfId="0" applyNumberFormat="1" applyFont="1" applyFill="1" applyAlignment="1">
      <alignment horizontal="center"/>
    </xf>
    <xf numFmtId="169" fontId="9" fillId="15" borderId="0" xfId="0" applyNumberFormat="1" applyFont="1" applyFill="1" applyAlignment="1">
      <alignment horizontal="center"/>
    </xf>
    <xf numFmtId="169" fontId="9" fillId="15" borderId="15" xfId="0" applyNumberFormat="1" applyFont="1" applyFill="1" applyBorder="1" applyAlignment="1">
      <alignment horizontal="center"/>
    </xf>
    <xf numFmtId="2" fontId="9" fillId="19" borderId="15" xfId="0" applyNumberFormat="1" applyFont="1" applyFill="1" applyBorder="1" applyAlignment="1">
      <alignment horizontal="center"/>
    </xf>
    <xf numFmtId="2" fontId="9" fillId="19" borderId="0" xfId="0" applyNumberFormat="1" applyFont="1" applyFill="1" applyAlignment="1">
      <alignment horizontal="center"/>
    </xf>
    <xf numFmtId="166" fontId="9" fillId="19" borderId="15" xfId="0" applyNumberFormat="1" applyFont="1" applyFill="1" applyBorder="1" applyAlignment="1">
      <alignment horizontal="center"/>
    </xf>
    <xf numFmtId="169" fontId="9" fillId="19" borderId="0" xfId="0" applyNumberFormat="1" applyFont="1" applyFill="1" applyAlignment="1">
      <alignment horizontal="center"/>
    </xf>
    <xf numFmtId="169" fontId="9" fillId="19" borderId="15" xfId="0" applyNumberFormat="1" applyFont="1" applyFill="1" applyBorder="1" applyAlignment="1">
      <alignment horizontal="center"/>
    </xf>
    <xf numFmtId="166" fontId="9" fillId="19" borderId="11" xfId="0" applyNumberFormat="1" applyFont="1" applyFill="1" applyBorder="1" applyAlignment="1">
      <alignment horizontal="center"/>
    </xf>
    <xf numFmtId="2" fontId="9" fillId="0" borderId="15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15" borderId="16" xfId="0" applyNumberFormat="1" applyFont="1" applyFill="1" applyBorder="1" applyAlignment="1">
      <alignment horizontal="center"/>
    </xf>
    <xf numFmtId="2" fontId="9" fillId="15" borderId="6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9" fontId="8" fillId="0" borderId="0" xfId="0" applyNumberFormat="1" applyFont="1" applyAlignment="1">
      <alignment horizontal="center"/>
    </xf>
    <xf numFmtId="2" fontId="0" fillId="15" borderId="0" xfId="0" applyNumberFormat="1" applyFill="1"/>
    <xf numFmtId="1" fontId="0" fillId="15" borderId="0" xfId="0" applyNumberFormat="1" applyFill="1"/>
    <xf numFmtId="166" fontId="8" fillId="0" borderId="0" xfId="0" applyNumberFormat="1" applyFont="1"/>
    <xf numFmtId="0" fontId="0" fillId="0" borderId="0" xfId="0" applyAlignment="1">
      <alignment wrapText="1"/>
    </xf>
    <xf numFmtId="169" fontId="9" fillId="0" borderId="16" xfId="0" applyNumberFormat="1" applyFont="1" applyBorder="1" applyAlignment="1">
      <alignment horizontal="center"/>
    </xf>
    <xf numFmtId="169" fontId="9" fillId="0" borderId="6" xfId="0" applyNumberFormat="1" applyFont="1" applyBorder="1" applyAlignment="1">
      <alignment horizontal="center"/>
    </xf>
    <xf numFmtId="169" fontId="9" fillId="15" borderId="16" xfId="0" applyNumberFormat="1" applyFont="1" applyFill="1" applyBorder="1" applyAlignment="1">
      <alignment horizontal="center"/>
    </xf>
    <xf numFmtId="169" fontId="9" fillId="15" borderId="6" xfId="0" applyNumberFormat="1" applyFont="1" applyFill="1" applyBorder="1" applyAlignment="1">
      <alignment horizontal="center"/>
    </xf>
    <xf numFmtId="0" fontId="7" fillId="12" borderId="0" xfId="0" applyFont="1" applyFill="1"/>
    <xf numFmtId="1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5" fontId="5" fillId="0" borderId="0" xfId="0" applyNumberFormat="1" applyFont="1"/>
    <xf numFmtId="0" fontId="0" fillId="5" borderId="1" xfId="0" applyFill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" xfId="0" applyFill="1" applyBorder="1"/>
    <xf numFmtId="0" fontId="0" fillId="15" borderId="2" xfId="0" applyFill="1" applyBorder="1"/>
    <xf numFmtId="167" fontId="0" fillId="20" borderId="2" xfId="0" applyNumberFormat="1" applyFill="1" applyBorder="1" applyAlignment="1">
      <alignment horizontal="right"/>
    </xf>
    <xf numFmtId="179" fontId="0" fillId="20" borderId="2" xfId="0" applyNumberFormat="1" applyFill="1" applyBorder="1" applyAlignment="1">
      <alignment horizontal="center"/>
    </xf>
    <xf numFmtId="179" fontId="0" fillId="20" borderId="2" xfId="0" applyNumberFormat="1" applyFill="1" applyBorder="1"/>
    <xf numFmtId="164" fontId="1" fillId="20" borderId="2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167" fontId="0" fillId="0" borderId="0" xfId="0" applyNumberFormat="1"/>
    <xf numFmtId="179" fontId="0" fillId="0" borderId="0" xfId="0" applyNumberFormat="1"/>
    <xf numFmtId="0" fontId="0" fillId="15" borderId="2" xfId="0" applyFill="1" applyBorder="1" applyAlignment="1">
      <alignment horizontal="center"/>
    </xf>
    <xf numFmtId="9" fontId="31" fillId="0" borderId="0" xfId="1" applyBorder="1" applyProtection="1"/>
    <xf numFmtId="180" fontId="31" fillId="0" borderId="0" xfId="1" applyNumberFormat="1" applyBorder="1" applyProtection="1"/>
    <xf numFmtId="10" fontId="31" fillId="0" borderId="0" xfId="1" applyNumberFormat="1" applyBorder="1" applyProtection="1"/>
    <xf numFmtId="9" fontId="0" fillId="0" borderId="0" xfId="0" applyNumberFormat="1"/>
    <xf numFmtId="0" fontId="1" fillId="20" borderId="2" xfId="0" applyFont="1" applyFill="1" applyBorder="1" applyAlignment="1">
      <alignment horizontal="center"/>
    </xf>
    <xf numFmtId="169" fontId="0" fillId="20" borderId="2" xfId="0" applyNumberFormat="1" applyFill="1" applyBorder="1" applyAlignment="1">
      <alignment horizontal="right"/>
    </xf>
    <xf numFmtId="0" fontId="4" fillId="20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" fontId="0" fillId="0" borderId="0" xfId="0" applyNumberFormat="1"/>
    <xf numFmtId="169" fontId="0" fillId="20" borderId="2" xfId="0" applyNumberFormat="1" applyFill="1" applyBorder="1"/>
    <xf numFmtId="164" fontId="4" fillId="20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9" fontId="0" fillId="0" borderId="0" xfId="0" applyNumberFormat="1"/>
    <xf numFmtId="0" fontId="5" fillId="21" borderId="0" xfId="0" applyFont="1" applyFill="1"/>
    <xf numFmtId="0" fontId="0" fillId="21" borderId="0" xfId="0" applyFill="1"/>
    <xf numFmtId="2" fontId="0" fillId="21" borderId="0" xfId="0" applyNumberFormat="1" applyFill="1"/>
    <xf numFmtId="11" fontId="0" fillId="21" borderId="0" xfId="0" applyNumberFormat="1" applyFill="1"/>
    <xf numFmtId="14" fontId="0" fillId="21" borderId="0" xfId="0" applyNumberFormat="1" applyFill="1"/>
    <xf numFmtId="179" fontId="0" fillId="21" borderId="0" xfId="0" applyNumberFormat="1" applyFill="1"/>
    <xf numFmtId="166" fontId="0" fillId="21" borderId="0" xfId="0" applyNumberFormat="1" applyFill="1"/>
    <xf numFmtId="0" fontId="5" fillId="0" borderId="0" xfId="0" applyFont="1"/>
    <xf numFmtId="22" fontId="1" fillId="0" borderId="0" xfId="2" applyNumberFormat="1"/>
    <xf numFmtId="0" fontId="1" fillId="0" borderId="0" xfId="2"/>
    <xf numFmtId="22" fontId="1" fillId="3" borderId="0" xfId="2" applyNumberFormat="1" applyFill="1"/>
    <xf numFmtId="0" fontId="1" fillId="3" borderId="0" xfId="2" applyFill="1"/>
    <xf numFmtId="0" fontId="16" fillId="0" borderId="0" xfId="0" applyFont="1"/>
    <xf numFmtId="0" fontId="5" fillId="0" borderId="0" xfId="0" applyFont="1" applyAlignment="1">
      <alignment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9" xfId="0" applyBorder="1"/>
    <xf numFmtId="14" fontId="0" fillId="22" borderId="0" xfId="0" applyNumberFormat="1" applyFill="1"/>
    <xf numFmtId="0" fontId="0" fillId="22" borderId="0" xfId="0" applyFill="1"/>
    <xf numFmtId="0" fontId="5" fillId="0" borderId="20" xfId="0" applyFont="1" applyBorder="1" applyAlignment="1">
      <alignment horizontal="center"/>
    </xf>
    <xf numFmtId="14" fontId="5" fillId="23" borderId="0" xfId="0" applyNumberFormat="1" applyFont="1" applyFill="1" applyAlignment="1">
      <alignment horizontal="center"/>
    </xf>
    <xf numFmtId="0" fontId="0" fillId="0" borderId="21" xfId="0" applyBorder="1"/>
    <xf numFmtId="1" fontId="5" fillId="0" borderId="0" xfId="0" applyNumberFormat="1" applyFont="1" applyAlignment="1">
      <alignment horizontal="center"/>
    </xf>
    <xf numFmtId="166" fontId="0" fillId="22" borderId="0" xfId="0" applyNumberFormat="1" applyFill="1"/>
    <xf numFmtId="1" fontId="0" fillId="22" borderId="0" xfId="0" applyNumberFormat="1" applyFill="1"/>
    <xf numFmtId="0" fontId="0" fillId="0" borderId="20" xfId="0" applyBorder="1"/>
    <xf numFmtId="2" fontId="0" fillId="22" borderId="0" xfId="0" applyNumberFormat="1" applyFill="1"/>
    <xf numFmtId="0" fontId="5" fillId="0" borderId="21" xfId="0" applyFont="1" applyBorder="1" applyAlignment="1" applyProtection="1">
      <alignment horizontal="center"/>
      <protection locked="0"/>
    </xf>
    <xf numFmtId="14" fontId="1" fillId="0" borderId="0" xfId="4" applyNumberFormat="1" applyBorder="1"/>
    <xf numFmtId="0" fontId="1" fillId="0" borderId="0" xfId="4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1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11" xfId="0" applyFill="1" applyBorder="1" applyAlignment="1">
      <alignment horizontal="center"/>
    </xf>
    <xf numFmtId="181" fontId="0" fillId="0" borderId="0" xfId="0" applyNumberFormat="1"/>
    <xf numFmtId="0" fontId="0" fillId="0" borderId="29" xfId="0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182" fontId="22" fillId="0" borderId="0" xfId="0" applyNumberFormat="1" applyFont="1" applyAlignment="1">
      <alignment horizontal="left"/>
    </xf>
    <xf numFmtId="182" fontId="2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/>
    <xf numFmtId="183" fontId="0" fillId="0" borderId="0" xfId="0" applyNumberFormat="1"/>
    <xf numFmtId="0" fontId="0" fillId="12" borderId="0" xfId="0" applyFill="1" applyAlignment="1">
      <alignment horizontal="center"/>
    </xf>
    <xf numFmtId="164" fontId="0" fillId="12" borderId="0" xfId="0" applyNumberForma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6" fontId="0" fillId="24" borderId="0" xfId="0" applyNumberFormat="1" applyFill="1" applyAlignment="1">
      <alignment horizontal="center"/>
    </xf>
    <xf numFmtId="184" fontId="0" fillId="0" borderId="0" xfId="0" applyNumberFormat="1"/>
    <xf numFmtId="11" fontId="0" fillId="0" borderId="0" xfId="0" applyNumberFormat="1"/>
    <xf numFmtId="169" fontId="0" fillId="24" borderId="0" xfId="0" applyNumberFormat="1" applyFill="1" applyAlignment="1">
      <alignment horizontal="center"/>
    </xf>
    <xf numFmtId="185" fontId="0" fillId="0" borderId="0" xfId="0" applyNumberFormat="1"/>
    <xf numFmtId="185" fontId="0" fillId="0" borderId="0" xfId="0" applyNumberFormat="1" applyAlignment="1">
      <alignment horizontal="center"/>
    </xf>
    <xf numFmtId="164" fontId="0" fillId="0" borderId="0" xfId="0" applyNumberFormat="1"/>
    <xf numFmtId="169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5" fillId="3" borderId="0" xfId="0" applyFont="1" applyFill="1"/>
    <xf numFmtId="184" fontId="5" fillId="3" borderId="0" xfId="0" applyNumberFormat="1" applyFont="1" applyFill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82" fontId="23" fillId="25" borderId="3" xfId="0" applyNumberFormat="1" applyFont="1" applyFill="1" applyBorder="1" applyAlignment="1">
      <alignment horizontal="left"/>
    </xf>
    <xf numFmtId="184" fontId="0" fillId="25" borderId="32" xfId="0" applyNumberFormat="1" applyFill="1" applyBorder="1"/>
    <xf numFmtId="182" fontId="0" fillId="25" borderId="32" xfId="0" applyNumberFormat="1" applyFill="1" applyBorder="1"/>
    <xf numFmtId="182" fontId="0" fillId="25" borderId="33" xfId="0" applyNumberFormat="1" applyFill="1" applyBorder="1"/>
    <xf numFmtId="182" fontId="22" fillId="0" borderId="0" xfId="0" applyNumberFormat="1" applyFont="1"/>
    <xf numFmtId="184" fontId="22" fillId="0" borderId="0" xfId="0" applyNumberFormat="1" applyFont="1" applyAlignment="1">
      <alignment horizontal="center"/>
    </xf>
    <xf numFmtId="182" fontId="24" fillId="0" borderId="0" xfId="0" applyNumberFormat="1" applyFont="1"/>
    <xf numFmtId="182" fontId="22" fillId="0" borderId="0" xfId="0" applyNumberFormat="1" applyFont="1" applyAlignment="1">
      <alignment horizontal="center"/>
    </xf>
    <xf numFmtId="182" fontId="25" fillId="0" borderId="0" xfId="0" applyNumberFormat="1" applyFont="1" applyAlignment="1">
      <alignment horizontal="center"/>
    </xf>
    <xf numFmtId="0" fontId="1" fillId="12" borderId="0" xfId="0" applyFont="1" applyFill="1" applyAlignment="1">
      <alignment horizontal="center"/>
    </xf>
    <xf numFmtId="182" fontId="23" fillId="0" borderId="0" xfId="0" applyNumberFormat="1" applyFont="1"/>
    <xf numFmtId="0" fontId="5" fillId="22" borderId="0" xfId="3" applyFont="1" applyFill="1" applyBorder="1"/>
    <xf numFmtId="182" fontId="26" fillId="0" borderId="0" xfId="0" applyNumberFormat="1" applyFont="1" applyAlignment="1">
      <alignment horizontal="left"/>
    </xf>
    <xf numFmtId="166" fontId="27" fillId="0" borderId="0" xfId="0" applyNumberFormat="1" applyFont="1"/>
    <xf numFmtId="187" fontId="0" fillId="0" borderId="0" xfId="0" applyNumberFormat="1"/>
    <xf numFmtId="182" fontId="0" fillId="0" borderId="0" xfId="0" applyNumberFormat="1"/>
    <xf numFmtId="186" fontId="0" fillId="0" borderId="0" xfId="0" applyNumberFormat="1"/>
    <xf numFmtId="0" fontId="1" fillId="0" borderId="0" xfId="3" applyBorder="1"/>
    <xf numFmtId="0" fontId="1" fillId="22" borderId="0" xfId="3" applyFill="1" applyBorder="1"/>
    <xf numFmtId="182" fontId="26" fillId="0" borderId="0" xfId="0" applyNumberFormat="1" applyFont="1"/>
    <xf numFmtId="1" fontId="27" fillId="0" borderId="0" xfId="0" applyNumberFormat="1" applyFont="1"/>
    <xf numFmtId="188" fontId="0" fillId="0" borderId="0" xfId="0" applyNumberFormat="1"/>
    <xf numFmtId="189" fontId="28" fillId="0" borderId="0" xfId="0" applyNumberFormat="1" applyFont="1"/>
    <xf numFmtId="182" fontId="0" fillId="0" borderId="0" xfId="0" applyNumberFormat="1" applyAlignment="1">
      <alignment horizontal="right"/>
    </xf>
    <xf numFmtId="184" fontId="22" fillId="0" borderId="0" xfId="0" applyNumberFormat="1" applyFont="1" applyAlignment="1">
      <alignment horizontal="left"/>
    </xf>
    <xf numFmtId="190" fontId="0" fillId="0" borderId="0" xfId="0" applyNumberFormat="1"/>
    <xf numFmtId="182" fontId="22" fillId="0" borderId="34" xfId="0" applyNumberFormat="1" applyFont="1" applyBorder="1" applyAlignment="1">
      <alignment horizontal="center"/>
    </xf>
    <xf numFmtId="188" fontId="0" fillId="0" borderId="35" xfId="0" applyNumberFormat="1" applyBorder="1"/>
    <xf numFmtId="182" fontId="22" fillId="0" borderId="36" xfId="0" applyNumberFormat="1" applyFont="1" applyBorder="1" applyAlignment="1">
      <alignment horizontal="center"/>
    </xf>
    <xf numFmtId="190" fontId="0" fillId="0" borderId="37" xfId="0" applyNumberFormat="1" applyBorder="1"/>
    <xf numFmtId="182" fontId="22" fillId="0" borderId="38" xfId="0" applyNumberFormat="1" applyFont="1" applyBorder="1" applyAlignment="1">
      <alignment horizontal="center"/>
    </xf>
    <xf numFmtId="188" fontId="0" fillId="0" borderId="39" xfId="0" applyNumberFormat="1" applyBorder="1"/>
    <xf numFmtId="189" fontId="0" fillId="0" borderId="0" xfId="0" applyNumberFormat="1"/>
    <xf numFmtId="182" fontId="24" fillId="0" borderId="0" xfId="3" applyNumberFormat="1" applyFont="1" applyBorder="1"/>
    <xf numFmtId="182" fontId="22" fillId="0" borderId="0" xfId="3" applyNumberFormat="1" applyFont="1" applyBorder="1"/>
    <xf numFmtId="182" fontId="0" fillId="0" borderId="0" xfId="0" applyNumberFormat="1" applyAlignment="1">
      <alignment horizontal="center"/>
    </xf>
    <xf numFmtId="2" fontId="0" fillId="24" borderId="0" xfId="0" applyNumberFormat="1" applyFill="1" applyAlignment="1">
      <alignment horizontal="center"/>
    </xf>
    <xf numFmtId="191" fontId="0" fillId="0" borderId="0" xfId="0" applyNumberFormat="1"/>
    <xf numFmtId="192" fontId="0" fillId="0" borderId="0" xfId="0" applyNumberFormat="1"/>
    <xf numFmtId="185" fontId="0" fillId="26" borderId="0" xfId="0" applyNumberFormat="1" applyFill="1" applyAlignment="1">
      <alignment horizontal="center"/>
    </xf>
    <xf numFmtId="2" fontId="0" fillId="26" borderId="0" xfId="0" applyNumberFormat="1" applyFill="1"/>
    <xf numFmtId="193" fontId="28" fillId="0" borderId="0" xfId="0" applyNumberFormat="1" applyFont="1"/>
    <xf numFmtId="186" fontId="0" fillId="0" borderId="37" xfId="0" applyNumberFormat="1" applyBorder="1"/>
    <xf numFmtId="190" fontId="0" fillId="0" borderId="39" xfId="0" applyNumberFormat="1" applyBorder="1"/>
    <xf numFmtId="182" fontId="5" fillId="25" borderId="33" xfId="0" applyNumberFormat="1" applyFont="1" applyFill="1" applyBorder="1"/>
    <xf numFmtId="192" fontId="28" fillId="0" borderId="0" xfId="0" applyNumberFormat="1" applyFont="1"/>
    <xf numFmtId="189" fontId="0" fillId="0" borderId="39" xfId="0" applyNumberFormat="1" applyBorder="1"/>
    <xf numFmtId="0" fontId="0" fillId="27" borderId="0" xfId="0" applyFill="1"/>
    <xf numFmtId="0" fontId="0" fillId="19" borderId="0" xfId="0" applyFill="1"/>
    <xf numFmtId="0" fontId="0" fillId="28" borderId="0" xfId="0" applyFill="1"/>
    <xf numFmtId="194" fontId="0" fillId="27" borderId="0" xfId="0" applyNumberFormat="1" applyFill="1"/>
    <xf numFmtId="194" fontId="0" fillId="28" borderId="0" xfId="0" applyNumberFormat="1" applyFill="1"/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166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6" fontId="8" fillId="0" borderId="15" xfId="0" applyNumberFormat="1" applyFont="1" applyBorder="1" applyAlignment="1">
      <alignment horizontal="center"/>
    </xf>
    <xf numFmtId="166" fontId="8" fillId="0" borderId="11" xfId="0" applyNumberFormat="1" applyFont="1" applyBorder="1" applyAlignment="1">
      <alignment horizontal="center"/>
    </xf>
    <xf numFmtId="1" fontId="1" fillId="19" borderId="0" xfId="0" applyNumberFormat="1" applyFont="1" applyFill="1"/>
    <xf numFmtId="1" fontId="1" fillId="28" borderId="0" xfId="0" applyNumberFormat="1" applyFont="1" applyFill="1"/>
    <xf numFmtId="0" fontId="8" fillId="0" borderId="1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6" fontId="8" fillId="0" borderId="16" xfId="0" applyNumberFormat="1" applyFont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9" fontId="8" fillId="0" borderId="15" xfId="0" applyNumberFormat="1" applyFont="1" applyBorder="1" applyAlignment="1">
      <alignment horizontal="center"/>
    </xf>
    <xf numFmtId="1" fontId="1" fillId="27" borderId="0" xfId="0" applyNumberFormat="1" applyFont="1" applyFill="1"/>
    <xf numFmtId="2" fontId="8" fillId="0" borderId="16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178" fontId="0" fillId="0" borderId="0" xfId="0" applyNumberFormat="1" applyAlignment="1">
      <alignment horizontal="left"/>
    </xf>
    <xf numFmtId="0" fontId="0" fillId="0" borderId="12" xfId="0" applyBorder="1" applyAlignment="1">
      <alignment horizontal="center"/>
    </xf>
    <xf numFmtId="169" fontId="8" fillId="0" borderId="6" xfId="0" applyNumberFormat="1" applyFont="1" applyBorder="1" applyAlignment="1">
      <alignment horizontal="center"/>
    </xf>
    <xf numFmtId="169" fontId="8" fillId="0" borderId="16" xfId="0" applyNumberFormat="1" applyFont="1" applyBorder="1" applyAlignment="1">
      <alignment horizontal="center"/>
    </xf>
    <xf numFmtId="0" fontId="29" fillId="0" borderId="0" xfId="0" applyFont="1"/>
    <xf numFmtId="15" fontId="0" fillId="0" borderId="0" xfId="0" applyNumberFormat="1" applyAlignment="1">
      <alignment horizontal="left"/>
    </xf>
    <xf numFmtId="0" fontId="19" fillId="0" borderId="17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1" fontId="1" fillId="0" borderId="0" xfId="0" applyNumberFormat="1" applyFont="1"/>
    <xf numFmtId="0" fontId="19" fillId="0" borderId="43" xfId="0" applyFont="1" applyBorder="1" applyAlignment="1">
      <alignment horizontal="center"/>
    </xf>
    <xf numFmtId="2" fontId="30" fillId="0" borderId="14" xfId="0" applyNumberFormat="1" applyFont="1" applyBorder="1" applyAlignment="1">
      <alignment horizontal="center"/>
    </xf>
    <xf numFmtId="2" fontId="19" fillId="0" borderId="11" xfId="0" applyNumberFormat="1" applyFont="1" applyBorder="1" applyAlignment="1">
      <alignment horizontal="center"/>
    </xf>
    <xf numFmtId="169" fontId="19" fillId="0" borderId="11" xfId="0" applyNumberFormat="1" applyFont="1" applyBorder="1" applyAlignment="1">
      <alignment horizontal="center"/>
    </xf>
    <xf numFmtId="2" fontId="19" fillId="0" borderId="21" xfId="0" applyNumberFormat="1" applyFont="1" applyBorder="1" applyAlignment="1">
      <alignment horizontal="center"/>
    </xf>
    <xf numFmtId="2" fontId="30" fillId="0" borderId="15" xfId="0" applyNumberFormat="1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166" fontId="30" fillId="0" borderId="30" xfId="0" applyNumberFormat="1" applyFont="1" applyBorder="1" applyAlignment="1">
      <alignment horizontal="center"/>
    </xf>
    <xf numFmtId="166" fontId="19" fillId="0" borderId="44" xfId="0" applyNumberFormat="1" applyFont="1" applyBorder="1" applyAlignment="1">
      <alignment horizontal="center"/>
    </xf>
    <xf numFmtId="2" fontId="19" fillId="0" borderId="44" xfId="0" applyNumberFormat="1" applyFont="1" applyBorder="1" applyAlignment="1">
      <alignment horizontal="center"/>
    </xf>
    <xf numFmtId="2" fontId="19" fillId="0" borderId="24" xfId="0" applyNumberFormat="1" applyFont="1" applyBorder="1" applyAlignment="1">
      <alignment horizontal="center"/>
    </xf>
    <xf numFmtId="169" fontId="30" fillId="0" borderId="14" xfId="0" applyNumberFormat="1" applyFont="1" applyBorder="1" applyAlignment="1">
      <alignment horizontal="center"/>
    </xf>
    <xf numFmtId="169" fontId="30" fillId="0" borderId="15" xfId="0" applyNumberFormat="1" applyFont="1" applyBorder="1" applyAlignment="1">
      <alignment horizontal="center"/>
    </xf>
    <xf numFmtId="166" fontId="30" fillId="0" borderId="15" xfId="0" applyNumberFormat="1" applyFont="1" applyBorder="1" applyAlignment="1">
      <alignment horizontal="center"/>
    </xf>
    <xf numFmtId="169" fontId="19" fillId="0" borderId="44" xfId="0" applyNumberFormat="1" applyFon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32" fillId="0" borderId="0" xfId="0" applyFont="1"/>
    <xf numFmtId="0" fontId="20" fillId="0" borderId="0" xfId="0" applyFont="1"/>
    <xf numFmtId="165" fontId="0" fillId="0" borderId="0" xfId="0" applyNumberFormat="1"/>
    <xf numFmtId="10" fontId="31" fillId="0" borderId="0" xfId="1" applyNumberFormat="1"/>
    <xf numFmtId="195" fontId="31" fillId="0" borderId="0" xfId="1" applyNumberFormat="1"/>
    <xf numFmtId="21" fontId="0" fillId="0" borderId="0" xfId="0" applyNumberFormat="1"/>
    <xf numFmtId="2" fontId="0" fillId="29" borderId="0" xfId="0" applyNumberFormat="1" applyFill="1"/>
    <xf numFmtId="0" fontId="0" fillId="29" borderId="0" xfId="0" applyFill="1"/>
    <xf numFmtId="0" fontId="33" fillId="0" borderId="0" xfId="0" applyFont="1"/>
    <xf numFmtId="0" fontId="0" fillId="0" borderId="0" xfId="0"/>
  </cellXfs>
  <cellStyles count="5">
    <cellStyle name="Normal" xfId="0" builtinId="0"/>
    <cellStyle name="Normal_Sheet1" xfId="2" xr:uid="{00000000-0005-0000-0000-000006000000}"/>
    <cellStyle name="Normal_Uncertainty" xfId="3" xr:uid="{00000000-0005-0000-0000-000007000000}"/>
    <cellStyle name="Normal_Universal Bridge" xfId="4" xr:uid="{00000000-0005-0000-0000-000008000000}"/>
    <cellStyle name="Percent" xfId="1" builtinId="5"/>
  </cellStyles>
  <dxfs count="2">
    <dxf>
      <font>
        <color rgb="FFFF0000"/>
      </font>
    </dxf>
    <dxf>
      <font>
        <color rgb="FF00FF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D9D9D9"/>
      <rgbColor rgb="FF000080"/>
      <rgbColor rgb="FF999933"/>
      <rgbColor rgb="FF800080"/>
      <rgbColor rgb="FF008080"/>
      <rgbColor rgb="FFC0C0C0"/>
      <rgbColor rgb="FF808080"/>
      <rgbColor rgb="FFB7DEE8"/>
      <rgbColor rgb="FFBE4B48"/>
      <rgbColor rgb="FFFFFFC0"/>
      <rgbColor rgb="FFDBEEF4"/>
      <rgbColor rgb="FF660066"/>
      <rgbColor rgb="FFFF8080"/>
      <rgbColor rgb="FF0070C0"/>
      <rgbColor rgb="FFB9CDE5"/>
      <rgbColor rgb="FF000080"/>
      <rgbColor rgb="FFEBF1DE"/>
      <rgbColor rgb="FFC3D69B"/>
      <rgbColor rgb="FF69FFFF"/>
      <rgbColor rgb="FFA7074B"/>
      <rgbColor rgb="FF800000"/>
      <rgbColor rgb="FF3465A4"/>
      <rgbColor rgb="FF0000FF"/>
      <rgbColor rgb="FF00CCFF"/>
      <rgbColor rgb="FFDCE6F2"/>
      <rgbColor rgb="FFCCFFCC"/>
      <rgbColor rgb="FFFFFF99"/>
      <rgbColor rgb="FFA6CAF0"/>
      <rgbColor rgb="FFCC9CCC"/>
      <rgbColor rgb="FFCC99FF"/>
      <rgbColor rgb="FFFAC090"/>
      <rgbColor rgb="FF3366FF"/>
      <rgbColor rgb="FF33CCCC"/>
      <rgbColor rgb="FFAFD095"/>
      <rgbColor rgb="FFFCD5B5"/>
      <rgbColor rgb="FFD7E4BD"/>
      <rgbColor rgb="FF996633"/>
      <rgbColor rgb="FF4A7EBB"/>
      <rgbColor rgb="FF878787"/>
      <rgbColor rgb="FF003366"/>
      <rgbColor rgb="FF339933"/>
      <rgbColor rgb="FF003300"/>
      <rgbColor rgb="FF333300"/>
      <rgbColor rgb="FF8D281E"/>
      <rgbColor rgb="FFC9211E"/>
      <rgbColor rgb="FFE3E3E3"/>
      <rgbColor rgb="FFF6F9D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freq_coeff!$T$3</c:f>
          <c:strCache>
            <c:ptCount val="1"/>
            <c:pt idx="0">
              <c:v>A10 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4923600174978126"/>
                  <c:y val="0.13164918901266379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freq_coeff!$S$4:$S$8</c:f>
              <c:numCache>
                <c:formatCode>General</c:formatCode>
                <c:ptCount val="5"/>
                <c:pt idx="0">
                  <c:v>1432.4</c:v>
                </c:pt>
                <c:pt idx="1">
                  <c:v>1512.4</c:v>
                </c:pt>
                <c:pt idx="2">
                  <c:v>1591.5</c:v>
                </c:pt>
                <c:pt idx="3">
                  <c:v>1670.8</c:v>
                </c:pt>
                <c:pt idx="4">
                  <c:v>1749.6</c:v>
                </c:pt>
              </c:numCache>
            </c:numRef>
          </c:xVal>
          <c:yVal>
            <c:numRef>
              <c:f>freq_coeff!$T$4:$T$8</c:f>
              <c:numCache>
                <c:formatCode>General</c:formatCode>
                <c:ptCount val="5"/>
                <c:pt idx="0">
                  <c:v>22.225448119374999</c:v>
                </c:pt>
                <c:pt idx="1">
                  <c:v>22.235737913125</c:v>
                </c:pt>
                <c:pt idx="2">
                  <c:v>22.245639929374999</c:v>
                </c:pt>
                <c:pt idx="3">
                  <c:v>22.25509124625</c:v>
                </c:pt>
                <c:pt idx="4">
                  <c:v>22.264582842500001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7-4AA5-9269-C8F85248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58031"/>
        <c:axId val="1095959951"/>
      </c:scatterChart>
      <c:valAx>
        <c:axId val="1095958031"/>
        <c:scaling>
          <c:orientation val="minMax"/>
          <c:max val="18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9951"/>
        <c:crosses val="autoZero"/>
        <c:crossBetween val="midCat"/>
      </c:valAx>
      <c:valAx>
        <c:axId val="10959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freq_coeff!$V$3</c:f>
          <c:strCache>
            <c:ptCount val="1"/>
            <c:pt idx="0">
              <c:v>A10 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227384076990378"/>
                  <c:y val="-0.167551806311898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freq_coeff!$S$4:$S$8</c:f>
              <c:numCache>
                <c:formatCode>General</c:formatCode>
                <c:ptCount val="5"/>
                <c:pt idx="0">
                  <c:v>1432.4</c:v>
                </c:pt>
                <c:pt idx="1">
                  <c:v>1512.4</c:v>
                </c:pt>
                <c:pt idx="2">
                  <c:v>1591.5</c:v>
                </c:pt>
                <c:pt idx="3">
                  <c:v>1670.8</c:v>
                </c:pt>
                <c:pt idx="4">
                  <c:v>1749.6</c:v>
                </c:pt>
              </c:numCache>
            </c:numRef>
          </c:xVal>
          <c:yVal>
            <c:numRef>
              <c:f>freq_coeff!$V$4:$V$8</c:f>
              <c:numCache>
                <c:formatCode>General</c:formatCode>
                <c:ptCount val="5"/>
                <c:pt idx="0">
                  <c:v>9.8071266345000005E-3</c:v>
                </c:pt>
                <c:pt idx="1">
                  <c:v>9.8060238884374994E-3</c:v>
                </c:pt>
                <c:pt idx="2">
                  <c:v>9.8049260905625005E-3</c:v>
                </c:pt>
                <c:pt idx="3">
                  <c:v>9.8038665082499903E-3</c:v>
                </c:pt>
                <c:pt idx="4">
                  <c:v>9.8028285938750008E-3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9-42A3-B377-983DC5F2C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58031"/>
        <c:axId val="1095959951"/>
      </c:scatterChart>
      <c:valAx>
        <c:axId val="1095958031"/>
        <c:scaling>
          <c:orientation val="minMax"/>
          <c:max val="18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9951"/>
        <c:crosses val="autoZero"/>
        <c:crossBetween val="midCat"/>
      </c:valAx>
      <c:valAx>
        <c:axId val="10959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freq_coeff!$T$9</c:f>
          <c:strCache>
            <c:ptCount val="1"/>
            <c:pt idx="0">
              <c:v>B6 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4923600174978126"/>
                  <c:y val="0.16802479091724581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freq_coeff!$S$10:$S$14</c:f>
              <c:numCache>
                <c:formatCode>General</c:formatCode>
                <c:ptCount val="5"/>
                <c:pt idx="0">
                  <c:v>1432.4</c:v>
                </c:pt>
                <c:pt idx="1">
                  <c:v>1512.4</c:v>
                </c:pt>
                <c:pt idx="2">
                  <c:v>1591.5</c:v>
                </c:pt>
                <c:pt idx="3">
                  <c:v>1670.8</c:v>
                </c:pt>
                <c:pt idx="4">
                  <c:v>1749.6</c:v>
                </c:pt>
              </c:numCache>
            </c:numRef>
          </c:xVal>
          <c:yVal>
            <c:numRef>
              <c:f>freq_coeff!$T$10:$T$14</c:f>
              <c:numCache>
                <c:formatCode>General</c:formatCode>
                <c:ptCount val="5"/>
                <c:pt idx="0">
                  <c:v>3.5418333413749998</c:v>
                </c:pt>
                <c:pt idx="1">
                  <c:v>3.5422765629374999</c:v>
                </c:pt>
                <c:pt idx="2">
                  <c:v>3.5427159559999999</c:v>
                </c:pt>
                <c:pt idx="3">
                  <c:v>3.543129193</c:v>
                </c:pt>
                <c:pt idx="4">
                  <c:v>3.54354921925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8-4308-9C5B-76C78DA7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58031"/>
        <c:axId val="1095959951"/>
      </c:scatterChart>
      <c:valAx>
        <c:axId val="1095958031"/>
        <c:scaling>
          <c:orientation val="minMax"/>
          <c:max val="18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9951"/>
        <c:crosses val="autoZero"/>
        <c:crossBetween val="midCat"/>
      </c:valAx>
      <c:valAx>
        <c:axId val="10959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freq_coeff!$V$9</c:f>
          <c:strCache>
            <c:ptCount val="1"/>
            <c:pt idx="0">
              <c:v>B6 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838495188101488"/>
                  <c:y val="-0.16530395150548644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freq_coeff!$S$10:$S$14</c:f>
              <c:numCache>
                <c:formatCode>General</c:formatCode>
                <c:ptCount val="5"/>
                <c:pt idx="0">
                  <c:v>1432.4</c:v>
                </c:pt>
                <c:pt idx="1">
                  <c:v>1512.4</c:v>
                </c:pt>
                <c:pt idx="2">
                  <c:v>1591.5</c:v>
                </c:pt>
                <c:pt idx="3">
                  <c:v>1670.8</c:v>
                </c:pt>
                <c:pt idx="4">
                  <c:v>1749.6</c:v>
                </c:pt>
              </c:numCache>
            </c:numRef>
          </c:xVal>
          <c:yVal>
            <c:numRef>
              <c:f>freq_coeff!$V$10:$V$14</c:f>
              <c:numCache>
                <c:formatCode>General</c:formatCode>
                <c:ptCount val="5"/>
                <c:pt idx="0">
                  <c:v>5.9356703169374998E-4</c:v>
                </c:pt>
                <c:pt idx="1">
                  <c:v>5.9353599691249999E-4</c:v>
                </c:pt>
                <c:pt idx="2">
                  <c:v>5.9350471999374997E-4</c:v>
                </c:pt>
                <c:pt idx="3">
                  <c:v>5.9347175938124998E-4</c:v>
                </c:pt>
                <c:pt idx="4">
                  <c:v>5.9343858666874999E-4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B-46CA-AA50-25F03416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958031"/>
        <c:axId val="1095959951"/>
      </c:scatterChart>
      <c:valAx>
        <c:axId val="1095958031"/>
        <c:scaling>
          <c:orientation val="minMax"/>
          <c:max val="1800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9951"/>
        <c:crosses val="autoZero"/>
        <c:crossBetween val="midCat"/>
      </c:valAx>
      <c:valAx>
        <c:axId val="10959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9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NZ" sz="1800" b="1" u="none" strike="noStrike">
                <a:solidFill>
                  <a:srgbClr val="000000"/>
                </a:solidFill>
                <a:uFillTx/>
                <a:latin typeface="Calibri"/>
              </a:rPr>
              <a:t>b10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Historical!$D$29:$D$34</c:f>
                <c:numCache>
                  <c:formatCode>General</c:formatCode>
                  <c:ptCount val="6"/>
                  <c:pt idx="0">
                    <c:v>5.1119815729893998E-2</c:v>
                  </c:pt>
                  <c:pt idx="1">
                    <c:v>5.1118057396939497E-2</c:v>
                  </c:pt>
                  <c:pt idx="2">
                    <c:v>4.2525009892841199E-2</c:v>
                  </c:pt>
                  <c:pt idx="3">
                    <c:v>5.9123218161199198E-2</c:v>
                  </c:pt>
                  <c:pt idx="4">
                    <c:v>6.1804450847096203E-2</c:v>
                  </c:pt>
                  <c:pt idx="5">
                    <c:v>4.4999999999999998E-2</c:v>
                  </c:pt>
                </c:numCache>
              </c:numRef>
            </c:plus>
            <c:minus>
              <c:numRef>
                <c:f>Historical!$D$29:$D$34</c:f>
                <c:numCache>
                  <c:formatCode>General</c:formatCode>
                  <c:ptCount val="6"/>
                  <c:pt idx="0">
                    <c:v>5.1119815729893998E-2</c:v>
                  </c:pt>
                  <c:pt idx="1">
                    <c:v>5.1118057396939497E-2</c:v>
                  </c:pt>
                  <c:pt idx="2">
                    <c:v>4.2525009892841199E-2</c:v>
                  </c:pt>
                  <c:pt idx="3">
                    <c:v>5.9123218161199198E-2</c:v>
                  </c:pt>
                  <c:pt idx="4">
                    <c:v>6.1804450847096203E-2</c:v>
                  </c:pt>
                  <c:pt idx="5">
                    <c:v>4.4999999999999998E-2</c:v>
                  </c:pt>
                </c:numCache>
              </c:numRef>
            </c:minus>
            <c:spPr>
              <a:ln w="9360">
                <a:solidFill>
                  <a:srgbClr val="0070C0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Historical!$B$29:$B$34</c:f>
              <c:numCache>
                <c:formatCode>d\-mmm\-yy</c:formatCode>
                <c:ptCount val="6"/>
                <c:pt idx="0">
                  <c:v>34971</c:v>
                </c:pt>
                <c:pt idx="1">
                  <c:v>36749</c:v>
                </c:pt>
                <c:pt idx="2">
                  <c:v>38408</c:v>
                </c:pt>
                <c:pt idx="3">
                  <c:v>39997</c:v>
                </c:pt>
                <c:pt idx="4">
                  <c:v>41921</c:v>
                </c:pt>
                <c:pt idx="5">
                  <c:v>44146</c:v>
                </c:pt>
              </c:numCache>
            </c:numRef>
          </c:xVal>
          <c:yVal>
            <c:numRef>
              <c:f>Historical!$C$29:$C$34</c:f>
              <c:numCache>
                <c:formatCode>0.00000</c:formatCode>
                <c:ptCount val="6"/>
                <c:pt idx="0">
                  <c:v>984.77052253199997</c:v>
                </c:pt>
                <c:pt idx="1">
                  <c:v>984.77752365900005</c:v>
                </c:pt>
                <c:pt idx="2">
                  <c:v>984.81803822282995</c:v>
                </c:pt>
                <c:pt idx="3">
                  <c:v>984.942022043213</c:v>
                </c:pt>
                <c:pt idx="4">
                  <c:v>984.95063994570069</c:v>
                </c:pt>
                <c:pt idx="5">
                  <c:v>984.79399999999998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7-4C4A-99D6-334D4A2E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8488"/>
        <c:axId val="84246226"/>
      </c:scatterChart>
      <c:scatterChart>
        <c:scatterStyle val="lineMarker"/>
        <c:varyColors val="0"/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Historical!$F$29:$F$34</c:f>
                <c:numCache>
                  <c:formatCode>General</c:formatCode>
                  <c:ptCount val="6"/>
                  <c:pt idx="0">
                    <c:v>2.0913459083687001E-2</c:v>
                  </c:pt>
                  <c:pt idx="1">
                    <c:v>2.08715617818571E-2</c:v>
                  </c:pt>
                  <c:pt idx="2">
                    <c:v>2.0844885511304499E-2</c:v>
                  </c:pt>
                  <c:pt idx="3">
                    <c:v>2.0781179076623201E-2</c:v>
                  </c:pt>
                  <c:pt idx="4">
                    <c:v>2.0849970335959301E-2</c:v>
                  </c:pt>
                  <c:pt idx="5">
                    <c:v>2.9000000000000001E-2</c:v>
                  </c:pt>
                </c:numCache>
              </c:numRef>
            </c:plus>
            <c:minus>
              <c:numRef>
                <c:f>Historical!$F$29:$F$34</c:f>
                <c:numCache>
                  <c:formatCode>General</c:formatCode>
                  <c:ptCount val="6"/>
                  <c:pt idx="0">
                    <c:v>2.0913459083687001E-2</c:v>
                  </c:pt>
                  <c:pt idx="1">
                    <c:v>2.08715617818571E-2</c:v>
                  </c:pt>
                  <c:pt idx="2">
                    <c:v>2.0844885511304499E-2</c:v>
                  </c:pt>
                  <c:pt idx="3">
                    <c:v>2.0781179076623201E-2</c:v>
                  </c:pt>
                  <c:pt idx="4">
                    <c:v>2.0849970335959301E-2</c:v>
                  </c:pt>
                  <c:pt idx="5">
                    <c:v>2.9000000000000001E-2</c:v>
                  </c:pt>
                </c:numCache>
              </c:numRef>
            </c:minus>
            <c:spPr>
              <a:ln w="15840">
                <a:solidFill>
                  <a:srgbClr val="FF0000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Historical!$B$29:$B$34</c:f>
              <c:numCache>
                <c:formatCode>d\-mmm\-yy</c:formatCode>
                <c:ptCount val="6"/>
                <c:pt idx="0">
                  <c:v>34971</c:v>
                </c:pt>
                <c:pt idx="1">
                  <c:v>36749</c:v>
                </c:pt>
                <c:pt idx="2">
                  <c:v>38408</c:v>
                </c:pt>
                <c:pt idx="3">
                  <c:v>39997</c:v>
                </c:pt>
                <c:pt idx="4">
                  <c:v>41921</c:v>
                </c:pt>
                <c:pt idx="5">
                  <c:v>44146</c:v>
                </c:pt>
              </c:numCache>
            </c:numRef>
          </c:xVal>
          <c:yVal>
            <c:numRef>
              <c:f>Historical!$E$29:$E$34</c:f>
              <c:numCache>
                <c:formatCode>0.00000</c:formatCode>
                <c:ptCount val="6"/>
                <c:pt idx="0">
                  <c:v>4.8375776812</c:v>
                </c:pt>
                <c:pt idx="1">
                  <c:v>4.8278862451049998</c:v>
                </c:pt>
                <c:pt idx="2">
                  <c:v>4.8219112189828799</c:v>
                </c:pt>
                <c:pt idx="3">
                  <c:v>4.8071563504590697</c:v>
                </c:pt>
                <c:pt idx="4">
                  <c:v>4.8162647563917478</c:v>
                </c:pt>
                <c:pt idx="5">
                  <c:v>4.8230000000000004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7-4C4A-99D6-334D4A2E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18190"/>
        <c:axId val="42492352"/>
      </c:scatterChart>
      <c:valAx>
        <c:axId val="68028488"/>
        <c:scaling>
          <c:orientation val="minMax"/>
          <c:max val="45000"/>
          <c:min val="34000"/>
        </c:scaling>
        <c:delete val="0"/>
        <c:axPos val="b"/>
        <c:numFmt formatCode="d\-mmm\-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192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246226"/>
        <c:crosses val="autoZero"/>
        <c:crossBetween val="midCat"/>
      </c:valAx>
      <c:valAx>
        <c:axId val="84246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8028488"/>
        <c:crosses val="autoZero"/>
        <c:crossBetween val="midCat"/>
      </c:valAx>
      <c:valAx>
        <c:axId val="7891819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42492352"/>
        <c:crosses val="autoZero"/>
        <c:crossBetween val="midCat"/>
      </c:valAx>
      <c:valAx>
        <c:axId val="42492352"/>
        <c:scaling>
          <c:orientation val="minMax"/>
        </c:scaling>
        <c:delete val="0"/>
        <c:axPos val="r"/>
        <c:numFmt formatCode="0.00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8918190"/>
        <c:crosses val="max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408367155791399"/>
          <c:y val="6.7438494934876997E-2"/>
          <c:w val="0.79058694973462396"/>
          <c:h val="0.81514712976362802"/>
        </c:manualLayout>
      </c:layout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0"/>
            <c:val val="10"/>
            <c:spPr>
              <a:ln w="12600">
                <a:solidFill>
                  <a:srgbClr val="000000"/>
                </a:solidFill>
                <a:round/>
              </a:ln>
            </c:spPr>
          </c:errBars>
          <c:xVal>
            <c:numRef>
              <c:f>'Previous History'!$G$143:$G$146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History'!$K$143:$K$146</c:f>
              <c:numCache>
                <c:formatCode>General</c:formatCode>
                <c:ptCount val="4"/>
                <c:pt idx="0" formatCode="0">
                  <c:v>691242</c:v>
                </c:pt>
                <c:pt idx="1">
                  <c:v>691241</c:v>
                </c:pt>
                <c:pt idx="2" formatCode="0">
                  <c:v>691266</c:v>
                </c:pt>
                <c:pt idx="3">
                  <c:v>691310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D-4D4B-BFC4-515BE390A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983"/>
        <c:axId val="15794921"/>
      </c:scatterChart>
      <c:valAx>
        <c:axId val="6570983"/>
        <c:scaling>
          <c:orientation val="minMax"/>
        </c:scaling>
        <c:delete val="0"/>
        <c:axPos val="b"/>
        <c:numFmt formatCode="dd/mm/yy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5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15794921"/>
        <c:crosses val="autoZero"/>
        <c:crossBetween val="midCat"/>
      </c:valAx>
      <c:valAx>
        <c:axId val="15794921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5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6570983"/>
        <c:crosses val="autoZero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3456031186746"/>
          <c:y val="6.4759478789066294E-2"/>
          <c:w val="0.65184796461503902"/>
          <c:h val="0.82815714705594201"/>
        </c:manualLayout>
      </c:layout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History'!$H$149:$H$152</c:f>
              <c:numCache>
                <c:formatCode>General</c:formatCode>
                <c:ptCount val="4"/>
                <c:pt idx="0">
                  <c:v>0.97986939188207456</c:v>
                </c:pt>
                <c:pt idx="1">
                  <c:v>0.97987635817912933</c:v>
                </c:pt>
                <c:pt idx="2">
                  <c:v>0.97990521855264234</c:v>
                </c:pt>
                <c:pt idx="3">
                  <c:v>0.98002464078786833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E-4026-A3AD-1495C6E18325}"/>
            </c:ext>
          </c:extLst>
        </c:ser>
        <c:ser>
          <c:idx val="1"/>
          <c:order val="1"/>
          <c:spPr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History'!$I$149:$I$152</c:f>
              <c:numCache>
                <c:formatCode>General</c:formatCode>
                <c:ptCount val="4"/>
                <c:pt idx="0">
                  <c:v>0.98055616034729909</c:v>
                </c:pt>
                <c:pt idx="1">
                  <c:v>0.98056389676960165</c:v>
                </c:pt>
                <c:pt idx="2">
                  <c:v>0.98058158002057894</c:v>
                </c:pt>
                <c:pt idx="3">
                  <c:v>0.98067994310413997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6E-4026-A3AD-1495C6E18325}"/>
            </c:ext>
          </c:extLst>
        </c:ser>
        <c:ser>
          <c:idx val="2"/>
          <c:order val="2"/>
          <c:spPr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History'!$J$149:$J$152</c:f>
              <c:numCache>
                <c:formatCode>General</c:formatCode>
                <c:ptCount val="4"/>
                <c:pt idx="0">
                  <c:v>0.98175273304615507</c:v>
                </c:pt>
                <c:pt idx="1">
                  <c:v>0.98174775595322528</c:v>
                </c:pt>
                <c:pt idx="2">
                  <c:v>0.98178135133050137</c:v>
                </c:pt>
                <c:pt idx="3">
                  <c:v>0.98184729781182112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6E-4026-A3AD-1495C6E18325}"/>
            </c:ext>
          </c:extLst>
        </c:ser>
        <c:ser>
          <c:idx val="3"/>
          <c:order val="3"/>
          <c:spPr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History'!$K$149:$K$152</c:f>
              <c:numCache>
                <c:formatCode>General</c:formatCode>
                <c:ptCount val="4"/>
                <c:pt idx="0">
                  <c:v>0.98310812252264557</c:v>
                </c:pt>
                <c:pt idx="1">
                  <c:v>0.98310670028828695</c:v>
                </c:pt>
                <c:pt idx="2">
                  <c:v>0.98314225614725248</c:v>
                </c:pt>
                <c:pt idx="3">
                  <c:v>0.98320483445903184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6E-4026-A3AD-1495C6E18325}"/>
            </c:ext>
          </c:extLst>
        </c:ser>
        <c:ser>
          <c:idx val="4"/>
          <c:order val="4"/>
          <c:spPr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History'!$L$149:$L$152</c:f>
              <c:numCache>
                <c:formatCode>General</c:formatCode>
                <c:ptCount val="4"/>
                <c:pt idx="0">
                  <c:v>0.98461742672496033</c:v>
                </c:pt>
                <c:pt idx="1">
                  <c:v>0.98462406358108168</c:v>
                </c:pt>
                <c:pt idx="2">
                  <c:v>0.98563950256763366</c:v>
                </c:pt>
                <c:pt idx="3">
                  <c:v>0.98476509677365831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6E-4026-A3AD-1495C6E18325}"/>
            </c:ext>
          </c:extLst>
        </c:ser>
        <c:ser>
          <c:idx val="5"/>
          <c:order val="5"/>
          <c:spPr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History'!$M$149:$M$152</c:f>
              <c:numCache>
                <c:formatCode>General</c:formatCode>
                <c:ptCount val="4"/>
                <c:pt idx="0">
                  <c:v>0.98640921587639807</c:v>
                </c:pt>
                <c:pt idx="1">
                  <c:v>0.98641320612423233</c:v>
                </c:pt>
                <c:pt idx="2">
                  <c:v>0.98644313298298958</c:v>
                </c:pt>
                <c:pt idx="3">
                  <c:v>0.98648104033741535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6E-4026-A3AD-1495C6E18325}"/>
            </c:ext>
          </c:extLst>
        </c:ser>
        <c:ser>
          <c:idx val="6"/>
          <c:order val="6"/>
          <c:spPr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History'!$N$149:$N$152</c:f>
              <c:numCache>
                <c:formatCode>General</c:formatCode>
                <c:ptCount val="4"/>
                <c:pt idx="0">
                  <c:v>0.9877406529017857</c:v>
                </c:pt>
                <c:pt idx="1">
                  <c:v>0.98773567044005106</c:v>
                </c:pt>
                <c:pt idx="2">
                  <c:v>0.98775560028698983</c:v>
                </c:pt>
                <c:pt idx="3">
                  <c:v>0.98778051259566324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6E-4026-A3AD-1495C6E18325}"/>
            </c:ext>
          </c:extLst>
        </c:ser>
        <c:ser>
          <c:idx val="7"/>
          <c:order val="7"/>
          <c:spPr>
            <a:ln w="12600">
              <a:solidFill>
                <a:srgbClr val="69FFFF"/>
              </a:solidFill>
              <a:round/>
            </a:ln>
          </c:spPr>
          <c:marker>
            <c:symbol val="diamond"/>
            <c:size val="5"/>
            <c:spPr>
              <a:solidFill>
                <a:srgbClr val="69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History'!$O$149:$O$152</c:f>
              <c:numCache>
                <c:formatCode>General</c:formatCode>
                <c:ptCount val="4"/>
                <c:pt idx="0">
                  <c:v>0.99265103426179935</c:v>
                </c:pt>
                <c:pt idx="1">
                  <c:v>0.99261098540219073</c:v>
                </c:pt>
                <c:pt idx="2">
                  <c:v>0.99263100983199504</c:v>
                </c:pt>
                <c:pt idx="3">
                  <c:v>0.99257093654258199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6E-4026-A3AD-1495C6E18325}"/>
            </c:ext>
          </c:extLst>
        </c:ser>
        <c:ser>
          <c:idx val="8"/>
          <c:order val="8"/>
          <c:spPr>
            <a:ln w="12600">
              <a:solidFill>
                <a:srgbClr val="CCFFCC"/>
              </a:solidFill>
              <a:round/>
            </a:ln>
          </c:spPr>
          <c:marker>
            <c:symbol val="square"/>
            <c:size val="5"/>
            <c:spPr>
              <a:solidFill>
                <a:srgbClr val="CCFF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History'!$P$149:$P$152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6E-4026-A3AD-1495C6E18325}"/>
            </c:ext>
          </c:extLst>
        </c:ser>
        <c:ser>
          <c:idx val="9"/>
          <c:order val="9"/>
          <c:spPr>
            <a:ln w="12600">
              <a:solidFill>
                <a:srgbClr val="FFFF99"/>
              </a:solidFill>
              <a:round/>
            </a:ln>
          </c:spPr>
          <c:marker>
            <c:symbol val="triangle"/>
            <c:size val="5"/>
            <c:spPr>
              <a:solidFill>
                <a:srgbClr val="FFFF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History'!$Q$149:$Q$152</c:f>
              <c:numCache>
                <c:formatCode>General</c:formatCode>
                <c:ptCount val="4"/>
                <c:pt idx="0">
                  <c:v>0.98005683761282025</c:v>
                </c:pt>
                <c:pt idx="1">
                  <c:v>0.98023183026312899</c:v>
                </c:pt>
                <c:pt idx="2">
                  <c:v>0.98018783211105132</c:v>
                </c:pt>
                <c:pt idx="3">
                  <c:v>0.98014883374898254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26E-4026-A3AD-1495C6E18325}"/>
            </c:ext>
          </c:extLst>
        </c:ser>
        <c:ser>
          <c:idx val="10"/>
          <c:order val="10"/>
          <c:spPr>
            <a:ln w="12600">
              <a:solidFill>
                <a:srgbClr val="A6CAF0"/>
              </a:solidFill>
              <a:round/>
            </a:ln>
          </c:spPr>
          <c:marker>
            <c:symbol val="x"/>
            <c:size val="5"/>
            <c:spPr>
              <a:solidFill>
                <a:srgbClr val="A6C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History'!$R$149:$R$152</c:f>
              <c:numCache>
                <c:formatCode>General</c:formatCode>
                <c:ptCount val="4"/>
                <c:pt idx="0">
                  <c:v>0.98106250395781003</c:v>
                </c:pt>
                <c:pt idx="1">
                  <c:v>0.98123359244722086</c:v>
                </c:pt>
                <c:pt idx="2">
                  <c:v>0.98118582098589191</c:v>
                </c:pt>
                <c:pt idx="3">
                  <c:v>0.98116360170155281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26E-4026-A3AD-1495C6E18325}"/>
            </c:ext>
          </c:extLst>
        </c:ser>
        <c:ser>
          <c:idx val="11"/>
          <c:order val="11"/>
          <c:spPr>
            <a:ln w="12600">
              <a:solidFill>
                <a:srgbClr val="CC9CCC"/>
              </a:solidFill>
              <a:round/>
            </a:ln>
          </c:spPr>
          <c:marker>
            <c:symbol val="square"/>
            <c:size val="5"/>
            <c:spPr>
              <a:solidFill>
                <a:srgbClr val="CC9C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History'!$S$149:$S$152</c:f>
              <c:numCache>
                <c:formatCode>General</c:formatCode>
                <c:ptCount val="4"/>
                <c:pt idx="0">
                  <c:v>0.98211251911295883</c:v>
                </c:pt>
                <c:pt idx="1">
                  <c:v>0.98227241837642287</c:v>
                </c:pt>
                <c:pt idx="2">
                  <c:v>0.98221620379161123</c:v>
                </c:pt>
                <c:pt idx="3">
                  <c:v>0.98222619749557782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26E-4026-A3AD-1495C6E18325}"/>
            </c:ext>
          </c:extLst>
        </c:ser>
        <c:ser>
          <c:idx val="12"/>
          <c:order val="12"/>
          <c:spPr>
            <a:ln w="12600">
              <a:solidFill>
                <a:srgbClr val="CC99FF"/>
              </a:solidFill>
              <a:round/>
            </a:ln>
          </c:spPr>
          <c:marker>
            <c:symbol val="circle"/>
            <c:size val="5"/>
            <c:spPr>
              <a:solidFill>
                <a:srgbClr val="CC99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History'!$T$149:$T$152</c:f>
              <c:numCache>
                <c:formatCode>General</c:formatCode>
                <c:ptCount val="4"/>
                <c:pt idx="0">
                  <c:v>0.98354770096072863</c:v>
                </c:pt>
                <c:pt idx="1">
                  <c:v>0.98370044681731883</c:v>
                </c:pt>
                <c:pt idx="2">
                  <c:v>0.98363906296840875</c:v>
                </c:pt>
                <c:pt idx="3">
                  <c:v>0.98365476581347877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26E-4026-A3AD-1495C6E18325}"/>
            </c:ext>
          </c:extLst>
        </c:ser>
        <c:ser>
          <c:idx val="13"/>
          <c:order val="13"/>
          <c:spPr>
            <a:ln w="12600">
              <a:solidFill>
                <a:srgbClr val="E3E3E3"/>
              </a:solidFill>
              <a:round/>
            </a:ln>
          </c:spPr>
          <c:marker>
            <c:symbol val="plus"/>
            <c:size val="5"/>
            <c:spPr>
              <a:solidFill>
                <a:srgbClr val="E3E3E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History'!$U$149:$U$152</c:f>
              <c:numCache>
                <c:formatCode>General</c:formatCode>
                <c:ptCount val="4"/>
                <c:pt idx="0">
                  <c:v>0.98486208659705898</c:v>
                </c:pt>
                <c:pt idx="1">
                  <c:v>0.98502530757994911</c:v>
                </c:pt>
                <c:pt idx="2">
                  <c:v>0.98496035229083978</c:v>
                </c:pt>
                <c:pt idx="3">
                  <c:v>0.98498866613481051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26E-4026-A3AD-1495C6E18325}"/>
            </c:ext>
          </c:extLst>
        </c:ser>
        <c:ser>
          <c:idx val="14"/>
          <c:order val="14"/>
          <c:spPr>
            <a:ln w="12600">
              <a:solidFill>
                <a:srgbClr val="3366FF"/>
              </a:solidFill>
              <a:round/>
            </a:ln>
          </c:spPr>
          <c:marker>
            <c:symbol val="triangle"/>
            <c:size val="5"/>
            <c:spPr>
              <a:solidFill>
                <a:srgbClr val="3366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History'!$V$149:$V$152</c:f>
              <c:numCache>
                <c:formatCode>General</c:formatCode>
                <c:ptCount val="4"/>
                <c:pt idx="0">
                  <c:v>0.9860367926414717</c:v>
                </c:pt>
                <c:pt idx="1">
                  <c:v>0.98618676264747052</c:v>
                </c:pt>
                <c:pt idx="2">
                  <c:v>0.98611877624475108</c:v>
                </c:pt>
                <c:pt idx="3">
                  <c:v>0.98614677064587086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26E-4026-A3AD-1495C6E18325}"/>
            </c:ext>
          </c:extLst>
        </c:ser>
        <c:ser>
          <c:idx val="15"/>
          <c:order val="15"/>
          <c:spPr>
            <a:ln w="12600">
              <a:solidFill>
                <a:srgbClr val="33CCCC"/>
              </a:solidFill>
              <a:round/>
            </a:ln>
          </c:spPr>
          <c:marker>
            <c:symbol val="dash"/>
            <c:size val="5"/>
            <c:spPr>
              <a:solidFill>
                <a:srgbClr val="33CC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History'!$W$149:$W$152</c:f>
              <c:numCache>
                <c:formatCode>General</c:formatCode>
                <c:ptCount val="4"/>
                <c:pt idx="0">
                  <c:v>0.98733996763713572</c:v>
                </c:pt>
                <c:pt idx="1">
                  <c:v>0.9874650173443944</c:v>
                </c:pt>
                <c:pt idx="2">
                  <c:v>0.98739749050247472</c:v>
                </c:pt>
                <c:pt idx="3">
                  <c:v>0.987430003426362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26E-4026-A3AD-1495C6E18325}"/>
            </c:ext>
          </c:extLst>
        </c:ser>
        <c:ser>
          <c:idx val="16"/>
          <c:order val="16"/>
          <c:spPr>
            <a:ln w="12600">
              <a:solidFill>
                <a:srgbClr val="339933"/>
              </a:solidFill>
              <a:round/>
            </a:ln>
          </c:spPr>
          <c:marker>
            <c:symbol val="diamond"/>
            <c:size val="5"/>
            <c:spPr>
              <a:solidFill>
                <a:srgbClr val="3399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History'!$X$149:$X$152</c:f>
              <c:numCache>
                <c:formatCode>General</c:formatCode>
                <c:ptCount val="4"/>
                <c:pt idx="0">
                  <c:v>0.98895285306894809</c:v>
                </c:pt>
                <c:pt idx="1">
                  <c:v>0.9905452946350044</c:v>
                </c:pt>
                <c:pt idx="2">
                  <c:v>0.98887956077929695</c:v>
                </c:pt>
                <c:pt idx="3">
                  <c:v>0.98902947682631059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26E-4026-A3AD-1495C6E18325}"/>
            </c:ext>
          </c:extLst>
        </c:ser>
        <c:ser>
          <c:idx val="17"/>
          <c:order val="17"/>
          <c:spPr>
            <a:ln w="12600">
              <a:solidFill>
                <a:srgbClr val="999933"/>
              </a:solidFill>
              <a:round/>
            </a:ln>
          </c:spPr>
          <c:marker>
            <c:symbol val="square"/>
            <c:size val="5"/>
            <c:spPr>
              <a:solidFill>
                <a:srgbClr val="9999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History'!$Y$149:$Y$152</c:f>
              <c:numCache>
                <c:formatCode>General</c:formatCode>
                <c:ptCount val="4"/>
                <c:pt idx="0">
                  <c:v>0.99005955267987056</c:v>
                </c:pt>
                <c:pt idx="1">
                  <c:v>0.99493977228975305</c:v>
                </c:pt>
                <c:pt idx="2">
                  <c:v>0.99007455335490102</c:v>
                </c:pt>
                <c:pt idx="3">
                  <c:v>0.99011955537999208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26E-4026-A3AD-1495C6E18325}"/>
            </c:ext>
          </c:extLst>
        </c:ser>
        <c:ser>
          <c:idx val="18"/>
          <c:order val="18"/>
          <c:spPr>
            <a:ln w="12600">
              <a:solidFill>
                <a:srgbClr val="996633"/>
              </a:solidFill>
              <a:round/>
            </a:ln>
          </c:spPr>
          <c:marker>
            <c:symbol val="triangle"/>
            <c:size val="5"/>
            <c:spPr>
              <a:solidFill>
                <a:srgbClr val="9966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History'!$G$149:$G$152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History'!$Z$149:$Z$152</c:f>
              <c:numCache>
                <c:formatCode>General</c:formatCode>
                <c:ptCount val="4"/>
                <c:pt idx="0">
                  <c:v>0.99209391471011021</c:v>
                </c:pt>
                <c:pt idx="1">
                  <c:v>0.99215380929563968</c:v>
                </c:pt>
                <c:pt idx="2">
                  <c:v>0.99206396741734548</c:v>
                </c:pt>
                <c:pt idx="3">
                  <c:v>0.99213384443379649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26E-4026-A3AD-1495C6E18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669"/>
        <c:axId val="9574929"/>
      </c:scatterChart>
      <c:valAx>
        <c:axId val="4186669"/>
        <c:scaling>
          <c:orientation val="minMax"/>
        </c:scaling>
        <c:delete val="0"/>
        <c:axPos val="b"/>
        <c:numFmt formatCode="dd/mm/yy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9574929"/>
        <c:crosses val="autoZero"/>
        <c:crossBetween val="midCat"/>
      </c:valAx>
      <c:valAx>
        <c:axId val="9574929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4186669"/>
        <c:crosses val="autoZero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2306163021868795"/>
          <c:y val="3.10880829015544E-2"/>
          <c:w val="0.1610337972167"/>
          <c:h val="0.93782383419689097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sz="73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8635755333386"/>
          <c:y val="6.4759478789066294E-2"/>
          <c:w val="0.63441706683460597"/>
          <c:h val="0.82815714705594201"/>
        </c:manualLayout>
      </c:layout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History'!$H$154:$H$157</c:f>
              <c:numCache>
                <c:formatCode>General</c:formatCode>
                <c:ptCount val="4"/>
                <c:pt idx="0">
                  <c:v>1</c:v>
                </c:pt>
                <c:pt idx="1">
                  <c:v>1.0000071094138796</c:v>
                </c:pt>
                <c:pt idx="2">
                  <c:v>1.0000365626999523</c:v>
                </c:pt>
                <c:pt idx="3">
                  <c:v>1.0001584383664599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D-45EC-A042-8278E08C2F9B}"/>
            </c:ext>
          </c:extLst>
        </c:ser>
        <c:ser>
          <c:idx val="1"/>
          <c:order val="1"/>
          <c:spPr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History'!$I$154:$I$157</c:f>
              <c:numCache>
                <c:formatCode>General</c:formatCode>
                <c:ptCount val="4"/>
                <c:pt idx="0">
                  <c:v>1</c:v>
                </c:pt>
                <c:pt idx="1">
                  <c:v>1.0000078898309097</c:v>
                </c:pt>
                <c:pt idx="2">
                  <c:v>1.0000259237301317</c:v>
                </c:pt>
                <c:pt idx="3">
                  <c:v>1.0001262372945543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D-45EC-A042-8278E08C2F9B}"/>
            </c:ext>
          </c:extLst>
        </c:ser>
        <c:ser>
          <c:idx val="2"/>
          <c:order val="2"/>
          <c:spPr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History'!$J$154:$J$157</c:f>
              <c:numCache>
                <c:formatCode>General</c:formatCode>
                <c:ptCount val="4"/>
                <c:pt idx="0">
                  <c:v>1</c:v>
                </c:pt>
                <c:pt idx="1">
                  <c:v>0.99999493040073917</c:v>
                </c:pt>
                <c:pt idx="2">
                  <c:v>1.0000291501957499</c:v>
                </c:pt>
                <c:pt idx="3">
                  <c:v>1.0000963223859562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3D-45EC-A042-8278E08C2F9B}"/>
            </c:ext>
          </c:extLst>
        </c:ser>
        <c:ser>
          <c:idx val="3"/>
          <c:order val="3"/>
          <c:spPr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History'!$K$154:$K$157</c:f>
              <c:numCache>
                <c:formatCode>General</c:formatCode>
                <c:ptCount val="4"/>
                <c:pt idx="0">
                  <c:v>1</c:v>
                </c:pt>
                <c:pt idx="1">
                  <c:v>0.99999855332864618</c:v>
                </c:pt>
                <c:pt idx="2">
                  <c:v>1.0000347201124931</c:v>
                </c:pt>
                <c:pt idx="3">
                  <c:v>1.0000983736520639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D-45EC-A042-8278E08C2F9B}"/>
            </c:ext>
          </c:extLst>
        </c:ser>
        <c:ser>
          <c:idx val="4"/>
          <c:order val="4"/>
          <c:spPr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History'!$L$154:$L$157</c:f>
              <c:numCache>
                <c:formatCode>General</c:formatCode>
                <c:ptCount val="4"/>
                <c:pt idx="0">
                  <c:v>1</c:v>
                </c:pt>
                <c:pt idx="1">
                  <c:v>1.0000067405430182</c:v>
                </c:pt>
                <c:pt idx="2">
                  <c:v>1.0010380436247943</c:v>
                </c:pt>
                <c:pt idx="3">
                  <c:v>1.0001499770821538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3D-45EC-A042-8278E08C2F9B}"/>
            </c:ext>
          </c:extLst>
        </c:ser>
        <c:ser>
          <c:idx val="5"/>
          <c:order val="5"/>
          <c:spPr>
            <a:ln w="12600">
              <a:solidFill>
                <a:srgbClr val="800000"/>
              </a:solidFill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History'!$M$154:$M$157</c:f>
              <c:numCache>
                <c:formatCode>General</c:formatCode>
                <c:ptCount val="4"/>
                <c:pt idx="0">
                  <c:v>1</c:v>
                </c:pt>
                <c:pt idx="1">
                  <c:v>1.0000040452256225</c:v>
                </c:pt>
                <c:pt idx="2">
                  <c:v>1.000034384417791</c:v>
                </c:pt>
                <c:pt idx="3">
                  <c:v>1.0000728140612043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3D-45EC-A042-8278E08C2F9B}"/>
            </c:ext>
          </c:extLst>
        </c:ser>
        <c:ser>
          <c:idx val="6"/>
          <c:order val="6"/>
          <c:spPr>
            <a:ln w="12600">
              <a:solidFill>
                <a:srgbClr val="008080"/>
              </a:solidFill>
              <a:round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History'!$N$154:$N$157</c:f>
              <c:numCache>
                <c:formatCode>General</c:formatCode>
                <c:ptCount val="4"/>
                <c:pt idx="0">
                  <c:v>1</c:v>
                </c:pt>
                <c:pt idx="1">
                  <c:v>0.99999495569842145</c:v>
                </c:pt>
                <c:pt idx="2">
                  <c:v>1.000015132904736</c:v>
                </c:pt>
                <c:pt idx="3">
                  <c:v>1.0000403544126288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3D-45EC-A042-8278E08C2F9B}"/>
            </c:ext>
          </c:extLst>
        </c:ser>
        <c:ser>
          <c:idx val="7"/>
          <c:order val="7"/>
          <c:spPr>
            <a:ln w="12600">
              <a:solidFill>
                <a:srgbClr val="69FFFF"/>
              </a:solidFill>
              <a:round/>
            </a:ln>
          </c:spPr>
          <c:marker>
            <c:symbol val="diamond"/>
            <c:size val="5"/>
            <c:spPr>
              <a:solidFill>
                <a:srgbClr val="69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History'!$O$154:$O$157</c:f>
              <c:numCache>
                <c:formatCode>General</c:formatCode>
                <c:ptCount val="4"/>
                <c:pt idx="0">
                  <c:v>1</c:v>
                </c:pt>
                <c:pt idx="1">
                  <c:v>0.99995965464375058</c:v>
                </c:pt>
                <c:pt idx="2">
                  <c:v>0.99997982732187529</c:v>
                </c:pt>
                <c:pt idx="3">
                  <c:v>0.99991930928750106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3D-45EC-A042-8278E08C2F9B}"/>
            </c:ext>
          </c:extLst>
        </c:ser>
        <c:ser>
          <c:idx val="8"/>
          <c:order val="8"/>
          <c:spPr>
            <a:ln w="12600">
              <a:solidFill>
                <a:srgbClr val="CCFFCC"/>
              </a:solidFill>
              <a:round/>
            </a:ln>
          </c:spPr>
          <c:marker>
            <c:symbol val="square"/>
            <c:size val="5"/>
            <c:spPr>
              <a:solidFill>
                <a:srgbClr val="CCFF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History'!$P$154:$P$157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3D-45EC-A042-8278E08C2F9B}"/>
            </c:ext>
          </c:extLst>
        </c:ser>
        <c:ser>
          <c:idx val="9"/>
          <c:order val="9"/>
          <c:spPr>
            <a:ln w="12600">
              <a:solidFill>
                <a:srgbClr val="FFFF99"/>
              </a:solidFill>
              <a:round/>
            </a:ln>
          </c:spPr>
          <c:marker>
            <c:symbol val="triangle"/>
            <c:size val="5"/>
            <c:spPr>
              <a:solidFill>
                <a:srgbClr val="FFFF9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History'!$Q$154:$Q$157</c:f>
              <c:numCache>
                <c:formatCode>General</c:formatCode>
                <c:ptCount val="4"/>
                <c:pt idx="0">
                  <c:v>1</c:v>
                </c:pt>
                <c:pt idx="1">
                  <c:v>1.0001785535732142</c:v>
                </c:pt>
                <c:pt idx="2">
                  <c:v>1.0001336601033775</c:v>
                </c:pt>
                <c:pt idx="3">
                  <c:v>1.000093868164204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3D-45EC-A042-8278E08C2F9B}"/>
            </c:ext>
          </c:extLst>
        </c:ser>
        <c:ser>
          <c:idx val="10"/>
          <c:order val="10"/>
          <c:spPr>
            <a:ln w="12600">
              <a:solidFill>
                <a:srgbClr val="A6CAF0"/>
              </a:solidFill>
              <a:round/>
            </a:ln>
          </c:spPr>
          <c:marker>
            <c:symbol val="x"/>
            <c:size val="5"/>
            <c:spPr>
              <a:solidFill>
                <a:srgbClr val="A6C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History'!$R$154:$R$157</c:f>
              <c:numCache>
                <c:formatCode>General</c:formatCode>
                <c:ptCount val="4"/>
                <c:pt idx="0">
                  <c:v>1</c:v>
                </c:pt>
                <c:pt idx="1">
                  <c:v>1.000174391018636</c:v>
                </c:pt>
                <c:pt idx="2">
                  <c:v>1.0001256974225234</c:v>
                </c:pt>
                <c:pt idx="3">
                  <c:v>1.000103049238285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93D-45EC-A042-8278E08C2F9B}"/>
            </c:ext>
          </c:extLst>
        </c:ser>
        <c:ser>
          <c:idx val="11"/>
          <c:order val="11"/>
          <c:spPr>
            <a:ln w="12600">
              <a:solidFill>
                <a:srgbClr val="CC9CCC"/>
              </a:solidFill>
              <a:round/>
            </a:ln>
          </c:spPr>
          <c:marker>
            <c:symbol val="square"/>
            <c:size val="5"/>
            <c:spPr>
              <a:solidFill>
                <a:srgbClr val="CC9C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History'!$S$154:$S$157</c:f>
              <c:numCache>
                <c:formatCode>General</c:formatCode>
                <c:ptCount val="4"/>
                <c:pt idx="0">
                  <c:v>1</c:v>
                </c:pt>
                <c:pt idx="1">
                  <c:v>1.0001628115519885</c:v>
                </c:pt>
                <c:pt idx="2">
                  <c:v>1.0001055731157424</c:v>
                </c:pt>
                <c:pt idx="3">
                  <c:v>1.0001157488377419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93D-45EC-A042-8278E08C2F9B}"/>
            </c:ext>
          </c:extLst>
        </c:ser>
        <c:ser>
          <c:idx val="12"/>
          <c:order val="12"/>
          <c:spPr>
            <a:ln w="12600">
              <a:solidFill>
                <a:srgbClr val="CC99FF"/>
              </a:solidFill>
              <a:round/>
            </a:ln>
          </c:spPr>
          <c:marker>
            <c:symbol val="circle"/>
            <c:size val="5"/>
            <c:spPr>
              <a:solidFill>
                <a:srgbClr val="CC99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History'!$T$154:$T$157</c:f>
              <c:numCache>
                <c:formatCode>General</c:formatCode>
                <c:ptCount val="4"/>
                <c:pt idx="0">
                  <c:v>1</c:v>
                </c:pt>
                <c:pt idx="1">
                  <c:v>1.0001553009136628</c:v>
                </c:pt>
                <c:pt idx="2">
                  <c:v>1.0000928902661161</c:v>
                </c:pt>
                <c:pt idx="3">
                  <c:v>1.0001088557806048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93D-45EC-A042-8278E08C2F9B}"/>
            </c:ext>
          </c:extLst>
        </c:ser>
        <c:ser>
          <c:idx val="13"/>
          <c:order val="13"/>
          <c:spPr>
            <a:ln w="12600">
              <a:solidFill>
                <a:srgbClr val="E3E3E3"/>
              </a:solidFill>
              <a:round/>
            </a:ln>
          </c:spPr>
          <c:marker>
            <c:symbol val="plus"/>
            <c:size val="5"/>
            <c:spPr>
              <a:solidFill>
                <a:srgbClr val="E3E3E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History'!$U$154:$U$157</c:f>
              <c:numCache>
                <c:formatCode>General</c:formatCode>
                <c:ptCount val="4"/>
                <c:pt idx="0">
                  <c:v>1</c:v>
                </c:pt>
                <c:pt idx="1">
                  <c:v>1.0001657297860396</c:v>
                </c:pt>
                <c:pt idx="2">
                  <c:v>1.0000997760956769</c:v>
                </c:pt>
                <c:pt idx="3">
                  <c:v>1.0001285251401939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93D-45EC-A042-8278E08C2F9B}"/>
            </c:ext>
          </c:extLst>
        </c:ser>
        <c:ser>
          <c:idx val="14"/>
          <c:order val="14"/>
          <c:spPr>
            <a:ln w="12600">
              <a:solidFill>
                <a:srgbClr val="3366FF"/>
              </a:solidFill>
              <a:round/>
            </a:ln>
          </c:spPr>
          <c:marker>
            <c:symbol val="triangle"/>
            <c:size val="5"/>
            <c:spPr>
              <a:solidFill>
                <a:srgbClr val="3366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History'!$V$154:$V$157</c:f>
              <c:numCache>
                <c:formatCode>General</c:formatCode>
                <c:ptCount val="4"/>
                <c:pt idx="0">
                  <c:v>1</c:v>
                </c:pt>
                <c:pt idx="1">
                  <c:v>1.0001520937221795</c:v>
                </c:pt>
                <c:pt idx="2">
                  <c:v>1.0000831445681249</c:v>
                </c:pt>
                <c:pt idx="3">
                  <c:v>1.0001115353962651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93D-45EC-A042-8278E08C2F9B}"/>
            </c:ext>
          </c:extLst>
        </c:ser>
        <c:ser>
          <c:idx val="15"/>
          <c:order val="15"/>
          <c:spPr>
            <a:ln w="12600">
              <a:solidFill>
                <a:srgbClr val="33CCCC"/>
              </a:solidFill>
              <a:round/>
            </a:ln>
          </c:spPr>
          <c:marker>
            <c:symbol val="dash"/>
            <c:size val="5"/>
            <c:spPr>
              <a:solidFill>
                <a:srgbClr val="33CC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History'!$W$154:$W$157</c:f>
              <c:numCache>
                <c:formatCode>General</c:formatCode>
                <c:ptCount val="4"/>
                <c:pt idx="0">
                  <c:v>1</c:v>
                </c:pt>
                <c:pt idx="1">
                  <c:v>1.0001266531401114</c:v>
                </c:pt>
                <c:pt idx="2">
                  <c:v>1.0000582604444512</c:v>
                </c:pt>
                <c:pt idx="3">
                  <c:v>1.0000911902608802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93D-45EC-A042-8278E08C2F9B}"/>
            </c:ext>
          </c:extLst>
        </c:ser>
        <c:ser>
          <c:idx val="16"/>
          <c:order val="16"/>
          <c:spPr>
            <a:ln w="12600">
              <a:solidFill>
                <a:srgbClr val="339933"/>
              </a:solidFill>
              <a:round/>
            </a:ln>
          </c:spPr>
          <c:marker>
            <c:symbol val="diamond"/>
            <c:size val="5"/>
            <c:spPr>
              <a:solidFill>
                <a:srgbClr val="3399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History'!$X$154:$X$157</c:f>
              <c:numCache>
                <c:formatCode>General</c:formatCode>
                <c:ptCount val="4"/>
                <c:pt idx="0">
                  <c:v>1</c:v>
                </c:pt>
                <c:pt idx="1">
                  <c:v>1.0016102300136094</c:v>
                </c:pt>
                <c:pt idx="2">
                  <c:v>0.99992588899518953</c:v>
                </c:pt>
                <c:pt idx="3">
                  <c:v>1.0000774796868472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93D-45EC-A042-8278E08C2F9B}"/>
            </c:ext>
          </c:extLst>
        </c:ser>
        <c:ser>
          <c:idx val="17"/>
          <c:order val="17"/>
          <c:spPr>
            <a:ln w="12600">
              <a:solidFill>
                <a:srgbClr val="999933"/>
              </a:solidFill>
              <a:round/>
            </a:ln>
          </c:spPr>
          <c:marker>
            <c:symbol val="square"/>
            <c:size val="5"/>
            <c:spPr>
              <a:solidFill>
                <a:srgbClr val="9999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History'!$Y$154:$Y$157</c:f>
              <c:numCache>
                <c:formatCode>General</c:formatCode>
                <c:ptCount val="4"/>
                <c:pt idx="0">
                  <c:v>1</c:v>
                </c:pt>
                <c:pt idx="1">
                  <c:v>1.004929218244168</c:v>
                </c:pt>
                <c:pt idx="2">
                  <c:v>1.0000151512855866</c:v>
                </c:pt>
                <c:pt idx="3">
                  <c:v>1.0000606051423464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93D-45EC-A042-8278E08C2F9B}"/>
            </c:ext>
          </c:extLst>
        </c:ser>
        <c:ser>
          <c:idx val="18"/>
          <c:order val="18"/>
          <c:spPr>
            <a:ln w="12600">
              <a:solidFill>
                <a:srgbClr val="996633"/>
              </a:solidFill>
              <a:round/>
            </a:ln>
          </c:spPr>
          <c:marker>
            <c:symbol val="triangle"/>
            <c:size val="5"/>
            <c:spPr>
              <a:solidFill>
                <a:srgbClr val="9966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'Previous History'!$G$154:$G$157</c:f>
              <c:numCache>
                <c:formatCode>dd/mm/yy</c:formatCode>
                <c:ptCount val="4"/>
                <c:pt idx="0">
                  <c:v>34971</c:v>
                </c:pt>
                <c:pt idx="1">
                  <c:v>36749</c:v>
                </c:pt>
                <c:pt idx="2">
                  <c:v>38398</c:v>
                </c:pt>
                <c:pt idx="3">
                  <c:v>39997</c:v>
                </c:pt>
              </c:numCache>
            </c:numRef>
          </c:xVal>
          <c:yVal>
            <c:numRef>
              <c:f>'Previous History'!$Z$154:$Z$157</c:f>
              <c:numCache>
                <c:formatCode>General</c:formatCode>
                <c:ptCount val="4"/>
                <c:pt idx="0">
                  <c:v>1</c:v>
                </c:pt>
                <c:pt idx="1">
                  <c:v>1.0000603718908476</c:v>
                </c:pt>
                <c:pt idx="2">
                  <c:v>0.99996981405457619</c:v>
                </c:pt>
                <c:pt idx="3">
                  <c:v>1.0000402479272317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93D-45EC-A042-8278E08C2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04673"/>
        <c:axId val="36178379"/>
      </c:scatterChart>
      <c:valAx>
        <c:axId val="34904673"/>
        <c:scaling>
          <c:orientation val="minMax"/>
          <c:min val="34971"/>
        </c:scaling>
        <c:delete val="0"/>
        <c:axPos val="b"/>
        <c:numFmt formatCode="dd/mm/yy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36178379"/>
        <c:crosses val="autoZero"/>
        <c:crossBetween val="midCat"/>
      </c:valAx>
      <c:valAx>
        <c:axId val="36178379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34904673"/>
        <c:crosses val="autoZero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81419624217119002"/>
          <c:y val="1.2953367875647701E-2"/>
          <c:w val="0.16910229645093899"/>
          <c:h val="0.97927461139896399"/>
        </c:manualLayout>
      </c:layout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sz="73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95250</xdr:colOff>
      <xdr:row>3</xdr:row>
      <xdr:rowOff>17462</xdr:rowOff>
    </xdr:from>
    <xdr:to>
      <xdr:col>31</xdr:col>
      <xdr:colOff>400050</xdr:colOff>
      <xdr:row>20</xdr:row>
      <xdr:rowOff>20637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47860-CD3D-B0AB-C205-DD8CAC522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40</xdr:col>
      <xdr:colOff>304800</xdr:colOff>
      <xdr:row>20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BCD518-39EB-4FA1-B75F-AFBC3D73E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31</xdr:col>
      <xdr:colOff>304800</xdr:colOff>
      <xdr:row>40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E13F49-E6F8-4B08-A86D-0516C2D93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23</xdr:row>
      <xdr:rowOff>0</xdr:rowOff>
    </xdr:from>
    <xdr:to>
      <xdr:col>40</xdr:col>
      <xdr:colOff>304800</xdr:colOff>
      <xdr:row>40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1698ED-68FE-474B-A392-C6A2408BE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447840</xdr:colOff>
      <xdr:row>25</xdr:row>
      <xdr:rowOff>114120</xdr:rowOff>
    </xdr:from>
    <xdr:to>
      <xdr:col>19</xdr:col>
      <xdr:colOff>218880</xdr:colOff>
      <xdr:row>52</xdr:row>
      <xdr:rowOff>15840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759960</xdr:colOff>
      <xdr:row>62</xdr:row>
      <xdr:rowOff>101160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8075160" cy="1017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53640</xdr:colOff>
      <xdr:row>0</xdr:row>
      <xdr:rowOff>0</xdr:rowOff>
    </xdr:from>
    <xdr:to>
      <xdr:col>21</xdr:col>
      <xdr:colOff>102600</xdr:colOff>
      <xdr:row>56</xdr:row>
      <xdr:rowOff>28800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181720" y="0"/>
          <a:ext cx="8989560" cy="913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294480</xdr:colOff>
      <xdr:row>0</xdr:row>
      <xdr:rowOff>0</xdr:rowOff>
    </xdr:from>
    <xdr:to>
      <xdr:col>31</xdr:col>
      <xdr:colOff>241560</xdr:colOff>
      <xdr:row>68</xdr:row>
      <xdr:rowOff>39960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363160" y="0"/>
          <a:ext cx="8075160" cy="1109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42</xdr:col>
      <xdr:colOff>623160</xdr:colOff>
      <xdr:row>70</xdr:row>
      <xdr:rowOff>10080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6009640" y="0"/>
          <a:ext cx="8751240" cy="1138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43</xdr:col>
      <xdr:colOff>0</xdr:colOff>
      <xdr:row>0</xdr:row>
      <xdr:rowOff>0</xdr:rowOff>
    </xdr:from>
    <xdr:to>
      <xdr:col>54</xdr:col>
      <xdr:colOff>391320</xdr:colOff>
      <xdr:row>54</xdr:row>
      <xdr:rowOff>154080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4950240" y="0"/>
          <a:ext cx="9332280" cy="893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54</xdr:col>
      <xdr:colOff>447120</xdr:colOff>
      <xdr:row>0</xdr:row>
      <xdr:rowOff>0</xdr:rowOff>
    </xdr:from>
    <xdr:to>
      <xdr:col>63</xdr:col>
      <xdr:colOff>426240</xdr:colOff>
      <xdr:row>54</xdr:row>
      <xdr:rowOff>96840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4338320" y="0"/>
          <a:ext cx="7294320" cy="8875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123840</xdr:colOff>
      <xdr:row>114</xdr:row>
      <xdr:rowOff>133560</xdr:rowOff>
    </xdr:from>
    <xdr:to>
      <xdr:col>12</xdr:col>
      <xdr:colOff>241200</xdr:colOff>
      <xdr:row>137</xdr:row>
      <xdr:rowOff>140400</xdr:rowOff>
    </xdr:to>
    <xdr:graphicFrame macro="">
      <xdr:nvGraphicFramePr>
        <xdr:cNvPr id="7" name="Chart 25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119</xdr:row>
      <xdr:rowOff>114120</xdr:rowOff>
    </xdr:from>
    <xdr:to>
      <xdr:col>21</xdr:col>
      <xdr:colOff>520920</xdr:colOff>
      <xdr:row>142</xdr:row>
      <xdr:rowOff>64080</xdr:rowOff>
    </xdr:to>
    <xdr:graphicFrame macro="">
      <xdr:nvGraphicFramePr>
        <xdr:cNvPr id="8" name="Chart 26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9360</xdr:colOff>
      <xdr:row>163</xdr:row>
      <xdr:rowOff>0</xdr:rowOff>
    </xdr:from>
    <xdr:to>
      <xdr:col>17</xdr:col>
      <xdr:colOff>301680</xdr:colOff>
      <xdr:row>185</xdr:row>
      <xdr:rowOff>111960</xdr:rowOff>
    </xdr:to>
    <xdr:graphicFrame macro="">
      <xdr:nvGraphicFramePr>
        <xdr:cNvPr id="9" name="Chart 27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stds\Checking\s21580\s2158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Universal Bridge"/>
      <sheetName val="Uncertainty"/>
      <sheetName val="Report"/>
      <sheetName val="HP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</a:majorFont>
    <a:minorFont>
      <a:latin typeface="Calibri" panose="020F0502020204030204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</a:majorFont>
    <a:minorFont>
      <a:latin typeface="Calibri" panose="020F0502020204030204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rgbClr val="000000"/>
    </a:dk1>
    <a:lt1>
      <a:srgbClr val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</a:majorFont>
    <a:minorFont>
      <a:latin typeface="Calibri" panose="020F0502020204030204"/>
      <a:ea typeface=""/>
      <a:cs typeface=""/>
    </a:minorFont>
  </a:fontScheme>
  <a:fmtScheme>
    <a:fillStyleLst>
      <a:solidFill>
        <a:schemeClr val="phClr"/>
      </a:solidFill>
      <a:gradFill>
        <a:gsLst>
          <a:gs pos="0">
            <a:schemeClr val="phClr">
              <a:tint val="50000"/>
            </a:schemeClr>
          </a:gs>
          <a:gs pos="35000">
            <a:schemeClr val="phClr">
              <a:tint val="37000"/>
            </a:schemeClr>
          </a:gs>
          <a:gs pos="100000">
            <a:schemeClr val="phClr">
              <a:tint val="15000"/>
            </a:schemeClr>
          </a:gs>
        </a:gsLst>
        <a:lin ang="16200000" scaled="1"/>
        <a:tileRect/>
      </a:gradFill>
      <a:gradFill>
        <a:gsLst>
          <a:gs pos="0">
            <a:schemeClr val="phClr">
              <a:shade val="51000"/>
            </a:schemeClr>
          </a:gs>
          <a:gs pos="80000">
            <a:schemeClr val="phClr">
              <a:shade val="93000"/>
            </a:schemeClr>
          </a:gs>
          <a:gs pos="100000">
            <a:schemeClr val="phClr">
              <a:shade val="94000"/>
            </a:schemeClr>
          </a:gs>
        </a:gsLst>
        <a:lin ang="16200000" scaled="0"/>
        <a:tileRect/>
      </a:gradFill>
    </a:fillStyleLst>
    <a:lnStyleLst>
      <a:ln w="9525" cap="flat" cmpd="sng" algn="ctr">
        <a:prstDash val="solid"/>
      </a:ln>
      <a:ln w="25400" cap="flat" cmpd="sng" algn="ctr">
        <a:prstDash val="solid"/>
      </a:ln>
      <a:ln w="38100" cap="flat" cmpd="sng" algn="ctr">
        <a:prstDash val="solid"/>
      </a:ln>
    </a:lnStyleLst>
    <a:effectStyleLst>
      <a:effectStyle>
        <a:effectLst/>
      </a:effectStyle>
      <a:effectStyle>
        <a:effectLst/>
      </a:effectStyle>
      <a:effectStyle>
        <a:effectLst/>
      </a:effectStyle>
    </a:effectStyleLst>
    <a:bgFillStyleLst>
      <a:solidFill>
        <a:schemeClr val="phClr"/>
      </a:solidFill>
      <a:gradFill>
        <a:gsLst>
          <a:gs pos="0">
            <a:schemeClr val="phClr">
              <a:tint val="40000"/>
            </a:schemeClr>
          </a:gs>
          <a:gs pos="40000">
            <a:schemeClr val="phClr">
              <a:tint val="45000"/>
              <a:shade val="99000"/>
            </a:schemeClr>
          </a:gs>
          <a:gs pos="100000">
            <a:schemeClr val="phClr">
              <a:shade val="20000"/>
            </a:schemeClr>
          </a:gs>
        </a:gsLst>
        <a:path path="circle">
          <a:fillToRect l="50000" t="-80000" r="50000" b="180000"/>
        </a:path>
        <a:tileRect/>
      </a:gradFill>
      <a:gradFill>
        <a:gsLst>
          <a:gs pos="0">
            <a:schemeClr val="phClr">
              <a:tint val="8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50000" t="50000" r="50000" b="50000"/>
        </a:path>
        <a:tileRect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zoomScale="110" zoomScaleNormal="110" workbookViewId="0">
      <selection activeCell="A35" sqref="A35"/>
    </sheetView>
  </sheetViews>
  <sheetFormatPr defaultColWidth="8.6328125" defaultRowHeight="12.5"/>
  <cols>
    <col min="1" max="1" width="130.17968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3" spans="1:1">
      <c r="A13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31" spans="1:1">
      <c r="A31" t="s">
        <v>17</v>
      </c>
    </row>
    <row r="32" spans="1:1" ht="13">
      <c r="A32" s="2" t="s">
        <v>18</v>
      </c>
    </row>
    <row r="33" spans="1:2">
      <c r="A33" t="s">
        <v>19</v>
      </c>
      <c r="B33" t="s">
        <v>20</v>
      </c>
    </row>
    <row r="34" spans="1:2">
      <c r="A34" t="s">
        <v>21</v>
      </c>
      <c r="B34" t="s">
        <v>22</v>
      </c>
    </row>
    <row r="35" spans="1:2">
      <c r="A35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FD095"/>
  </sheetPr>
  <dimension ref="A1:R63"/>
  <sheetViews>
    <sheetView topLeftCell="A6" zoomScale="110" zoomScaleNormal="110" workbookViewId="0">
      <selection activeCell="F9" sqref="F9:F30"/>
    </sheetView>
  </sheetViews>
  <sheetFormatPr defaultColWidth="8.6328125" defaultRowHeight="12.5"/>
  <cols>
    <col min="1" max="1" width="23.81640625" customWidth="1"/>
    <col min="2" max="2" width="20.81640625" customWidth="1"/>
    <col min="4" max="4" width="17.26953125" customWidth="1"/>
    <col min="5" max="5" width="20.7265625" customWidth="1"/>
    <col min="6" max="6" width="12.7265625" customWidth="1"/>
    <col min="7" max="7" width="13.81640625" customWidth="1"/>
    <col min="10" max="10" width="11.7265625" customWidth="1"/>
    <col min="13" max="13" width="11.26953125" customWidth="1"/>
  </cols>
  <sheetData>
    <row r="1" spans="1:18" ht="15.5">
      <c r="A1" s="3" t="s">
        <v>24</v>
      </c>
    </row>
    <row r="2" spans="1:18" ht="13">
      <c r="A2" s="4">
        <v>1</v>
      </c>
      <c r="B2" s="5">
        <v>2</v>
      </c>
      <c r="C2" s="4"/>
      <c r="D2" s="4">
        <v>3</v>
      </c>
      <c r="E2" s="5">
        <v>4</v>
      </c>
      <c r="F2" s="4">
        <v>5</v>
      </c>
      <c r="G2" s="5">
        <v>6</v>
      </c>
      <c r="H2" s="4">
        <v>7</v>
      </c>
      <c r="I2" s="5">
        <v>8</v>
      </c>
      <c r="J2" s="4">
        <v>9</v>
      </c>
      <c r="K2" s="5">
        <v>10</v>
      </c>
      <c r="L2" s="4">
        <v>11</v>
      </c>
      <c r="M2" s="5">
        <v>12</v>
      </c>
      <c r="N2" s="4">
        <v>13</v>
      </c>
      <c r="O2" s="5">
        <v>14</v>
      </c>
      <c r="P2" s="4">
        <v>15</v>
      </c>
      <c r="Q2" s="5">
        <v>16</v>
      </c>
      <c r="R2" s="4">
        <v>17</v>
      </c>
    </row>
    <row r="3" spans="1:18">
      <c r="A3" s="6" t="s">
        <v>25</v>
      </c>
      <c r="B3" s="7" t="s">
        <v>26</v>
      </c>
      <c r="C3" s="7"/>
      <c r="D3" s="8"/>
      <c r="E3" s="9" t="s">
        <v>27</v>
      </c>
      <c r="F3" s="7" t="s">
        <v>28</v>
      </c>
      <c r="G3" s="8"/>
      <c r="K3" s="1" t="s">
        <v>29</v>
      </c>
    </row>
    <row r="4" spans="1:18">
      <c r="A4" s="6" t="s">
        <v>30</v>
      </c>
      <c r="B4" s="10">
        <v>45792</v>
      </c>
      <c r="C4" s="7"/>
      <c r="D4" s="8"/>
      <c r="E4" s="9" t="s">
        <v>31</v>
      </c>
      <c r="F4" s="11" t="s">
        <v>32</v>
      </c>
      <c r="G4" s="8"/>
      <c r="K4" t="s">
        <v>33</v>
      </c>
    </row>
    <row r="5" spans="1:18">
      <c r="A5" s="6" t="s">
        <v>34</v>
      </c>
      <c r="B5" s="10">
        <v>46158</v>
      </c>
      <c r="C5" s="7"/>
      <c r="D5" s="8"/>
      <c r="E5" s="9" t="s">
        <v>35</v>
      </c>
      <c r="F5" s="7" t="s">
        <v>22</v>
      </c>
      <c r="G5" s="8"/>
    </row>
    <row r="6" spans="1:18" ht="13">
      <c r="A6" s="12"/>
      <c r="D6" s="1" t="s">
        <v>36</v>
      </c>
      <c r="F6" t="s">
        <v>37</v>
      </c>
      <c r="G6" t="s">
        <v>37</v>
      </c>
      <c r="H6" s="1" t="s">
        <v>38</v>
      </c>
      <c r="Q6" s="13"/>
    </row>
    <row r="7" spans="1:18">
      <c r="A7" s="14" t="s">
        <v>39</v>
      </c>
      <c r="B7" s="15" t="s">
        <v>40</v>
      </c>
      <c r="C7" s="16" t="s">
        <v>41</v>
      </c>
      <c r="D7" s="17" t="s">
        <v>42</v>
      </c>
      <c r="E7" s="17" t="s">
        <v>43</v>
      </c>
      <c r="F7" s="18" t="s">
        <v>44</v>
      </c>
      <c r="G7" s="19" t="s">
        <v>45</v>
      </c>
      <c r="H7" s="20" t="s">
        <v>46</v>
      </c>
      <c r="I7" s="20" t="s">
        <v>47</v>
      </c>
      <c r="J7" s="21" t="s">
        <v>48</v>
      </c>
      <c r="K7" s="21" t="s">
        <v>46</v>
      </c>
      <c r="L7" s="21" t="s">
        <v>47</v>
      </c>
      <c r="M7" s="22" t="s">
        <v>49</v>
      </c>
      <c r="N7" s="22" t="s">
        <v>46</v>
      </c>
      <c r="O7" s="22" t="s">
        <v>47</v>
      </c>
      <c r="P7" s="23" t="s">
        <v>50</v>
      </c>
      <c r="Q7" s="23" t="s">
        <v>46</v>
      </c>
      <c r="R7" s="23" t="s">
        <v>47</v>
      </c>
    </row>
    <row r="8" spans="1:18" ht="13">
      <c r="A8" s="24"/>
      <c r="B8" s="25" t="s">
        <v>51</v>
      </c>
      <c r="C8" s="16"/>
      <c r="D8" s="17"/>
      <c r="E8" s="17"/>
      <c r="F8" s="26" t="s">
        <v>51</v>
      </c>
      <c r="G8" s="27" t="s">
        <v>52</v>
      </c>
      <c r="H8" s="20"/>
      <c r="I8" s="20"/>
      <c r="J8" s="21"/>
      <c r="K8" s="28"/>
      <c r="L8" s="28"/>
      <c r="M8" s="22"/>
      <c r="N8" s="29"/>
      <c r="O8" s="29"/>
      <c r="P8" s="23"/>
      <c r="Q8" s="30"/>
      <c r="R8" s="30"/>
    </row>
    <row r="9" spans="1:18">
      <c r="A9" s="31" t="s">
        <v>53</v>
      </c>
      <c r="B9" s="15">
        <v>1591.5</v>
      </c>
      <c r="C9" s="32" t="s">
        <v>54</v>
      </c>
      <c r="D9" s="33">
        <v>-1</v>
      </c>
      <c r="E9" s="33">
        <v>-10</v>
      </c>
      <c r="F9" s="34">
        <v>1592.54</v>
      </c>
      <c r="G9" s="35">
        <v>20.76</v>
      </c>
      <c r="H9" s="20">
        <v>0.5</v>
      </c>
      <c r="I9" s="36">
        <v>10</v>
      </c>
      <c r="J9" s="37">
        <v>2.0000000000000002E-5</v>
      </c>
      <c r="K9" s="37">
        <v>9.9999999999999995E-7</v>
      </c>
      <c r="L9" s="38">
        <v>10</v>
      </c>
      <c r="M9" s="39">
        <v>4.0000000000000001E-3</v>
      </c>
      <c r="N9" s="39">
        <v>2.0000000000000001E-4</v>
      </c>
      <c r="O9" s="40">
        <v>10</v>
      </c>
      <c r="P9" s="30"/>
      <c r="Q9" s="30"/>
      <c r="R9" s="41"/>
    </row>
    <row r="10" spans="1:18">
      <c r="A10" s="31" t="s">
        <v>55</v>
      </c>
      <c r="B10" s="15">
        <v>1591.5</v>
      </c>
      <c r="C10" s="32" t="s">
        <v>54</v>
      </c>
      <c r="D10" s="33">
        <v>99364</v>
      </c>
      <c r="E10" s="33">
        <v>571520</v>
      </c>
      <c r="F10" s="34">
        <v>1592.34</v>
      </c>
      <c r="G10" s="35">
        <v>20.88</v>
      </c>
      <c r="H10" s="20">
        <v>0.5</v>
      </c>
      <c r="I10" s="36">
        <v>10</v>
      </c>
      <c r="J10" s="37">
        <v>2.0000000000000002E-5</v>
      </c>
      <c r="K10" s="37">
        <v>9.9999999999999995E-7</v>
      </c>
      <c r="L10" s="38">
        <v>10</v>
      </c>
      <c r="M10" s="39">
        <v>4.0000000000000001E-3</v>
      </c>
      <c r="N10" s="39">
        <v>2.0000000000000001E-4</v>
      </c>
      <c r="O10" s="40">
        <v>10</v>
      </c>
      <c r="P10" s="30"/>
      <c r="Q10" s="42"/>
      <c r="R10" s="41"/>
    </row>
    <row r="11" spans="1:18">
      <c r="A11" s="31" t="s">
        <v>56</v>
      </c>
      <c r="B11" s="15">
        <v>1591.5</v>
      </c>
      <c r="C11" s="32" t="s">
        <v>54</v>
      </c>
      <c r="D11" s="33">
        <v>197974</v>
      </c>
      <c r="E11" s="33">
        <v>841874</v>
      </c>
      <c r="F11" s="34">
        <v>1592.19</v>
      </c>
      <c r="G11" s="35">
        <v>20.87</v>
      </c>
      <c r="H11" s="20">
        <v>0.5</v>
      </c>
      <c r="I11" s="36">
        <v>10</v>
      </c>
      <c r="J11" s="37">
        <v>2.0000000000000002E-5</v>
      </c>
      <c r="K11" s="37">
        <v>9.9999999999999995E-7</v>
      </c>
      <c r="L11" s="38">
        <v>10</v>
      </c>
      <c r="M11" s="39">
        <v>4.0000000000000001E-3</v>
      </c>
      <c r="N11" s="39">
        <v>2.0000000000000001E-4</v>
      </c>
      <c r="O11" s="40">
        <v>10</v>
      </c>
      <c r="P11" s="30"/>
      <c r="Q11" s="42"/>
      <c r="R11" s="41"/>
    </row>
    <row r="12" spans="1:18">
      <c r="A12" s="31" t="s">
        <v>57</v>
      </c>
      <c r="B12" s="15">
        <v>1591.5</v>
      </c>
      <c r="C12" s="32" t="s">
        <v>54</v>
      </c>
      <c r="D12" s="43">
        <v>296819</v>
      </c>
      <c r="E12" s="33">
        <v>1070422</v>
      </c>
      <c r="F12" s="34">
        <v>1593.41</v>
      </c>
      <c r="G12" s="35">
        <v>20.65</v>
      </c>
      <c r="H12" s="20">
        <v>0.5</v>
      </c>
      <c r="I12" s="36">
        <v>10</v>
      </c>
      <c r="J12" s="37">
        <v>2.0000000000000002E-5</v>
      </c>
      <c r="K12" s="37">
        <v>9.9999999999999995E-7</v>
      </c>
      <c r="L12" s="38">
        <v>10</v>
      </c>
      <c r="M12" s="39">
        <v>4.0000000000000001E-3</v>
      </c>
      <c r="N12" s="39">
        <v>2.0000000000000001E-4</v>
      </c>
      <c r="O12" s="40">
        <v>10</v>
      </c>
      <c r="P12" s="30"/>
      <c r="Q12" s="42"/>
      <c r="R12" s="41"/>
    </row>
    <row r="13" spans="1:18">
      <c r="A13" s="31" t="s">
        <v>58</v>
      </c>
      <c r="B13" s="15">
        <v>1591.5</v>
      </c>
      <c r="C13" s="32" t="s">
        <v>54</v>
      </c>
      <c r="D13" s="33">
        <v>394747</v>
      </c>
      <c r="E13" s="33">
        <v>1269967</v>
      </c>
      <c r="F13" s="34">
        <v>1592.77</v>
      </c>
      <c r="G13" s="35">
        <v>20.76</v>
      </c>
      <c r="H13" s="20">
        <v>0.5</v>
      </c>
      <c r="I13" s="36">
        <v>10</v>
      </c>
      <c r="J13" s="37">
        <v>2.0000000000000002E-5</v>
      </c>
      <c r="K13" s="37">
        <v>9.9999999999999995E-7</v>
      </c>
      <c r="L13" s="38">
        <v>10</v>
      </c>
      <c r="M13" s="39">
        <v>4.0000000000000001E-3</v>
      </c>
      <c r="N13" s="39">
        <v>2.0000000000000001E-4</v>
      </c>
      <c r="O13" s="40">
        <v>10</v>
      </c>
      <c r="P13" s="30"/>
      <c r="Q13" s="42"/>
      <c r="R13" s="41"/>
    </row>
    <row r="14" spans="1:18">
      <c r="A14" s="31" t="s">
        <v>59</v>
      </c>
      <c r="B14" s="15">
        <v>1591.5</v>
      </c>
      <c r="C14" s="32" t="s">
        <v>54</v>
      </c>
      <c r="D14" s="33">
        <v>493101</v>
      </c>
      <c r="E14" s="33">
        <v>1447708</v>
      </c>
      <c r="F14" s="34">
        <v>1592.47</v>
      </c>
      <c r="G14" s="35">
        <v>20.82</v>
      </c>
      <c r="H14" s="20">
        <v>0.5</v>
      </c>
      <c r="I14" s="36">
        <v>10</v>
      </c>
      <c r="J14" s="37">
        <v>2.0000000000000002E-5</v>
      </c>
      <c r="K14" s="37">
        <v>9.9999999999999995E-7</v>
      </c>
      <c r="L14" s="38">
        <v>10</v>
      </c>
      <c r="M14" s="39">
        <v>4.0000000000000001E-3</v>
      </c>
      <c r="N14" s="39">
        <v>2.0000000000000001E-4</v>
      </c>
      <c r="O14" s="40">
        <v>10</v>
      </c>
      <c r="P14" s="30"/>
      <c r="Q14" s="42"/>
      <c r="R14" s="41"/>
    </row>
    <row r="15" spans="1:18">
      <c r="A15" s="31" t="s">
        <v>60</v>
      </c>
      <c r="B15" s="15">
        <v>1591.5</v>
      </c>
      <c r="C15" s="32" t="s">
        <v>54</v>
      </c>
      <c r="D15" s="33">
        <v>591332</v>
      </c>
      <c r="E15" s="33">
        <v>1617418</v>
      </c>
      <c r="F15" s="34">
        <v>1591.8</v>
      </c>
      <c r="G15" s="35">
        <v>20.66</v>
      </c>
      <c r="H15" s="20">
        <v>0.5</v>
      </c>
      <c r="I15" s="36">
        <v>10</v>
      </c>
      <c r="J15" s="37">
        <v>2.0000000000000002E-5</v>
      </c>
      <c r="K15" s="37">
        <v>9.9999999999999995E-7</v>
      </c>
      <c r="L15" s="38">
        <v>10</v>
      </c>
      <c r="M15" s="39">
        <v>4.0000000000000001E-3</v>
      </c>
      <c r="N15" s="39">
        <v>2.0000000000000001E-4</v>
      </c>
      <c r="O15" s="40">
        <v>10</v>
      </c>
      <c r="P15" s="30"/>
      <c r="Q15" s="30"/>
      <c r="R15" s="41"/>
    </row>
    <row r="16" spans="1:18">
      <c r="A16" s="31" t="s">
        <v>61</v>
      </c>
      <c r="B16" s="15">
        <v>1591.5</v>
      </c>
      <c r="C16" s="32" t="s">
        <v>54</v>
      </c>
      <c r="D16" s="33">
        <v>688992</v>
      </c>
      <c r="E16" s="33">
        <v>1782538</v>
      </c>
      <c r="F16" s="34">
        <v>1591.74</v>
      </c>
      <c r="G16" s="35">
        <v>20.62</v>
      </c>
      <c r="H16" s="20">
        <v>0.5</v>
      </c>
      <c r="I16" s="36">
        <v>10</v>
      </c>
      <c r="J16" s="37">
        <v>2.0000000000000002E-5</v>
      </c>
      <c r="K16" s="37">
        <v>9.9999999999999995E-7</v>
      </c>
      <c r="L16" s="38">
        <v>10</v>
      </c>
      <c r="M16" s="39">
        <v>4.0000000000000001E-3</v>
      </c>
      <c r="N16" s="39">
        <v>2.0000000000000001E-4</v>
      </c>
      <c r="O16" s="40">
        <v>10</v>
      </c>
      <c r="P16" s="30"/>
      <c r="Q16" s="42"/>
      <c r="R16" s="41"/>
    </row>
    <row r="17" spans="1:18">
      <c r="A17" s="31" t="s">
        <v>62</v>
      </c>
      <c r="B17" s="15">
        <v>1591.5</v>
      </c>
      <c r="C17" s="32" t="s">
        <v>54</v>
      </c>
      <c r="D17" s="33">
        <v>786206</v>
      </c>
      <c r="E17" s="33">
        <v>1934775</v>
      </c>
      <c r="F17" s="34">
        <v>1591.67</v>
      </c>
      <c r="G17" s="35">
        <v>20.68</v>
      </c>
      <c r="H17" s="20">
        <v>0.5</v>
      </c>
      <c r="I17" s="36">
        <v>10</v>
      </c>
      <c r="J17" s="37">
        <v>2.0000000000000002E-5</v>
      </c>
      <c r="K17" s="37">
        <v>9.9999999999999995E-7</v>
      </c>
      <c r="L17" s="38">
        <v>10</v>
      </c>
      <c r="M17" s="39">
        <v>4.0000000000000001E-3</v>
      </c>
      <c r="N17" s="39">
        <v>2.0000000000000001E-4</v>
      </c>
      <c r="O17" s="40">
        <v>10</v>
      </c>
      <c r="P17" s="30"/>
      <c r="Q17" s="42"/>
      <c r="R17" s="41"/>
    </row>
    <row r="18" spans="1:18">
      <c r="A18" s="31" t="s">
        <v>63</v>
      </c>
      <c r="B18" s="15">
        <v>1591.5</v>
      </c>
      <c r="C18" s="32" t="s">
        <v>54</v>
      </c>
      <c r="D18" s="33">
        <v>883126</v>
      </c>
      <c r="E18" s="33">
        <v>2081205</v>
      </c>
      <c r="F18" s="34">
        <v>1591.51</v>
      </c>
      <c r="G18" s="35">
        <v>20.72</v>
      </c>
      <c r="H18" s="20">
        <v>0.5</v>
      </c>
      <c r="I18" s="36">
        <v>10</v>
      </c>
      <c r="J18" s="37">
        <v>2.0000000000000002E-5</v>
      </c>
      <c r="K18" s="37">
        <v>9.9999999999999995E-7</v>
      </c>
      <c r="L18" s="38">
        <v>10</v>
      </c>
      <c r="M18" s="39">
        <v>4.0000000000000001E-3</v>
      </c>
      <c r="N18" s="39">
        <v>2.0000000000000001E-4</v>
      </c>
      <c r="O18" s="40">
        <v>10</v>
      </c>
      <c r="P18" s="30"/>
      <c r="Q18" s="42"/>
      <c r="R18" s="41"/>
    </row>
    <row r="19" spans="1:18">
      <c r="A19" s="31" t="s">
        <v>64</v>
      </c>
      <c r="B19" s="15">
        <v>1591.5</v>
      </c>
      <c r="C19" s="32" t="s">
        <v>54</v>
      </c>
      <c r="D19" s="33">
        <v>980165</v>
      </c>
      <c r="E19" s="43">
        <v>2229664</v>
      </c>
      <c r="F19" s="34">
        <v>1592.88</v>
      </c>
      <c r="G19" s="35">
        <v>20.73</v>
      </c>
      <c r="H19" s="20">
        <v>0.5</v>
      </c>
      <c r="I19" s="36">
        <v>10</v>
      </c>
      <c r="J19" s="37">
        <v>2.0000000000000002E-5</v>
      </c>
      <c r="K19" s="37">
        <v>9.9999999999999995E-7</v>
      </c>
      <c r="L19" s="38">
        <v>10</v>
      </c>
      <c r="M19" s="39">
        <v>4.0000000000000001E-3</v>
      </c>
      <c r="N19" s="39">
        <v>2.0000000000000001E-4</v>
      </c>
      <c r="O19" s="40">
        <v>10</v>
      </c>
      <c r="P19" s="30"/>
      <c r="Q19" s="42"/>
      <c r="R19" s="41"/>
    </row>
    <row r="20" spans="1:18">
      <c r="A20" s="31" t="s">
        <v>53</v>
      </c>
      <c r="B20" s="15">
        <v>1591.5</v>
      </c>
      <c r="C20" s="32" t="s">
        <v>65</v>
      </c>
      <c r="D20" s="44">
        <v>-3</v>
      </c>
      <c r="E20" s="44">
        <v>-12</v>
      </c>
      <c r="F20" s="45">
        <v>1593.08</v>
      </c>
      <c r="G20" s="46">
        <v>20.79</v>
      </c>
      <c r="H20" s="20">
        <v>0.5</v>
      </c>
      <c r="I20" s="36">
        <v>10</v>
      </c>
      <c r="J20" s="37">
        <v>2.0000000000000002E-5</v>
      </c>
      <c r="K20" s="37">
        <v>9.9999999999999995E-7</v>
      </c>
      <c r="L20" s="38">
        <v>10</v>
      </c>
      <c r="M20" s="39">
        <v>4.0000000000000001E-3</v>
      </c>
      <c r="N20" s="39">
        <v>2.0000000000000001E-4</v>
      </c>
      <c r="O20" s="40">
        <v>10</v>
      </c>
      <c r="P20" s="30"/>
      <c r="Q20" s="42"/>
      <c r="R20" s="41"/>
    </row>
    <row r="21" spans="1:18">
      <c r="A21" s="31" t="s">
        <v>66</v>
      </c>
      <c r="B21" s="15">
        <v>1591.5</v>
      </c>
      <c r="C21" s="32" t="s">
        <v>65</v>
      </c>
      <c r="D21" s="33">
        <v>99109</v>
      </c>
      <c r="E21" s="33">
        <v>1168727</v>
      </c>
      <c r="F21" s="34">
        <v>1593.85</v>
      </c>
      <c r="G21" s="35">
        <v>20.69</v>
      </c>
      <c r="H21" s="20">
        <v>0.5</v>
      </c>
      <c r="I21" s="36">
        <v>10</v>
      </c>
      <c r="J21" s="37">
        <v>2.0000000000000002E-5</v>
      </c>
      <c r="K21" s="37">
        <v>9.9999999999999995E-7</v>
      </c>
      <c r="L21" s="38">
        <v>10</v>
      </c>
      <c r="M21" s="39">
        <v>4.0000000000000001E-3</v>
      </c>
      <c r="N21" s="39">
        <v>2.0000000000000001E-4</v>
      </c>
      <c r="O21" s="40">
        <v>10</v>
      </c>
      <c r="P21" s="30"/>
      <c r="Q21" s="30"/>
      <c r="R21" s="41"/>
    </row>
    <row r="22" spans="1:18">
      <c r="A22" s="31" t="s">
        <v>67</v>
      </c>
      <c r="B22" s="15">
        <v>1591.5</v>
      </c>
      <c r="C22" s="32" t="s">
        <v>65</v>
      </c>
      <c r="D22" s="33">
        <v>198937</v>
      </c>
      <c r="E22" s="33">
        <v>1743376</v>
      </c>
      <c r="F22" s="34">
        <v>1593.64</v>
      </c>
      <c r="G22" s="35">
        <v>20.72</v>
      </c>
      <c r="H22" s="20">
        <v>0.5</v>
      </c>
      <c r="I22" s="36">
        <v>10</v>
      </c>
      <c r="J22" s="37">
        <v>2.0000000000000002E-5</v>
      </c>
      <c r="K22" s="37">
        <v>9.9999999999999995E-7</v>
      </c>
      <c r="L22" s="38">
        <v>10</v>
      </c>
      <c r="M22" s="39">
        <v>4.0000000000000001E-3</v>
      </c>
      <c r="N22" s="39">
        <v>2.0000000000000001E-4</v>
      </c>
      <c r="O22" s="40">
        <v>10</v>
      </c>
      <c r="P22" s="30"/>
      <c r="Q22" s="42"/>
      <c r="R22" s="41"/>
    </row>
    <row r="23" spans="1:18">
      <c r="A23" s="31" t="s">
        <v>68</v>
      </c>
      <c r="B23" s="15">
        <v>1591.5</v>
      </c>
      <c r="C23" s="32" t="s">
        <v>65</v>
      </c>
      <c r="D23" s="33">
        <v>298138</v>
      </c>
      <c r="E23" s="33">
        <v>2213587</v>
      </c>
      <c r="F23" s="34">
        <v>1593.08</v>
      </c>
      <c r="G23" s="35">
        <v>20.73</v>
      </c>
      <c r="H23" s="20">
        <v>0.5</v>
      </c>
      <c r="I23" s="36">
        <v>10</v>
      </c>
      <c r="J23" s="37">
        <v>2.0000000000000002E-5</v>
      </c>
      <c r="K23" s="37">
        <v>9.9999999999999995E-7</v>
      </c>
      <c r="L23" s="38">
        <v>10</v>
      </c>
      <c r="M23" s="39">
        <v>4.0000000000000001E-3</v>
      </c>
      <c r="N23" s="39">
        <v>2.0000000000000001E-4</v>
      </c>
      <c r="O23" s="40">
        <v>10</v>
      </c>
      <c r="P23" s="30"/>
      <c r="Q23" s="42"/>
      <c r="R23" s="41"/>
    </row>
    <row r="24" spans="1:18">
      <c r="A24" s="31" t="s">
        <v>69</v>
      </c>
      <c r="B24" s="15">
        <v>1591.5</v>
      </c>
      <c r="C24" s="32" t="s">
        <v>65</v>
      </c>
      <c r="D24" s="33">
        <v>396394</v>
      </c>
      <c r="E24" s="33">
        <v>2803515</v>
      </c>
      <c r="F24" s="34">
        <v>1593.56</v>
      </c>
      <c r="G24" s="35">
        <v>20.68</v>
      </c>
      <c r="H24" s="20">
        <v>0.5</v>
      </c>
      <c r="I24" s="36">
        <v>10</v>
      </c>
      <c r="J24" s="37">
        <v>2.0000000000000002E-5</v>
      </c>
      <c r="K24" s="37">
        <v>9.9999999999999995E-7</v>
      </c>
      <c r="L24" s="38">
        <v>10</v>
      </c>
      <c r="M24" s="39">
        <v>4.0000000000000001E-3</v>
      </c>
      <c r="N24" s="39">
        <v>2.0000000000000001E-4</v>
      </c>
      <c r="O24" s="40">
        <v>10</v>
      </c>
      <c r="P24" s="30"/>
      <c r="Q24" s="42"/>
      <c r="R24" s="41"/>
    </row>
    <row r="25" spans="1:18">
      <c r="A25" s="31" t="s">
        <v>70</v>
      </c>
      <c r="B25" s="15">
        <v>1591.5</v>
      </c>
      <c r="C25" s="32" t="s">
        <v>65</v>
      </c>
      <c r="D25" s="44">
        <v>494345</v>
      </c>
      <c r="E25" s="44">
        <v>3190209</v>
      </c>
      <c r="F25" s="45">
        <v>1593.49</v>
      </c>
      <c r="G25" s="46">
        <v>20.84</v>
      </c>
      <c r="H25" s="20">
        <v>0.5</v>
      </c>
      <c r="I25" s="36">
        <v>10</v>
      </c>
      <c r="J25" s="37">
        <v>2.0000000000000002E-5</v>
      </c>
      <c r="K25" s="37">
        <v>9.9999999999999995E-7</v>
      </c>
      <c r="L25" s="38">
        <v>10</v>
      </c>
      <c r="M25" s="39">
        <v>4.0000000000000001E-3</v>
      </c>
      <c r="N25" s="39">
        <v>2.0000000000000001E-4</v>
      </c>
      <c r="O25" s="40">
        <v>10</v>
      </c>
      <c r="P25" s="30"/>
      <c r="Q25" s="42"/>
      <c r="R25" s="41"/>
    </row>
    <row r="26" spans="1:18">
      <c r="A26" s="31" t="s">
        <v>71</v>
      </c>
      <c r="B26" s="15">
        <v>1591.5</v>
      </c>
      <c r="C26" s="32" t="s">
        <v>65</v>
      </c>
      <c r="D26" s="44">
        <v>593381</v>
      </c>
      <c r="E26" s="44">
        <v>3553499</v>
      </c>
      <c r="F26" s="45">
        <v>1593.17</v>
      </c>
      <c r="G26" s="46">
        <v>20.85</v>
      </c>
      <c r="H26" s="20">
        <v>0.5</v>
      </c>
      <c r="I26" s="36">
        <v>10</v>
      </c>
      <c r="J26" s="37">
        <v>2.0000000000000002E-5</v>
      </c>
      <c r="K26" s="37">
        <v>9.9999999999999995E-7</v>
      </c>
      <c r="L26" s="38">
        <v>10</v>
      </c>
      <c r="M26" s="39">
        <v>4.0000000000000001E-3</v>
      </c>
      <c r="N26" s="39">
        <v>2.0000000000000001E-4</v>
      </c>
      <c r="O26" s="40">
        <v>10</v>
      </c>
      <c r="P26" s="30"/>
      <c r="Q26" s="42"/>
      <c r="R26" s="41"/>
    </row>
    <row r="27" spans="1:18">
      <c r="A27" s="31" t="s">
        <v>72</v>
      </c>
      <c r="B27" s="15">
        <v>1591.5</v>
      </c>
      <c r="C27" s="32" t="s">
        <v>65</v>
      </c>
      <c r="D27" s="44">
        <v>691176</v>
      </c>
      <c r="E27" s="44">
        <v>3910839</v>
      </c>
      <c r="F27" s="45">
        <v>1593.32</v>
      </c>
      <c r="G27" s="46">
        <v>20.86</v>
      </c>
      <c r="H27" s="20">
        <v>0.5</v>
      </c>
      <c r="I27" s="36">
        <v>10</v>
      </c>
      <c r="J27" s="37">
        <v>2.0000000000000002E-5</v>
      </c>
      <c r="K27" s="37">
        <v>9.9999999999999995E-7</v>
      </c>
      <c r="L27" s="38">
        <v>10</v>
      </c>
      <c r="M27" s="39">
        <v>4.0000000000000001E-3</v>
      </c>
      <c r="N27" s="39">
        <v>2.0000000000000001E-4</v>
      </c>
      <c r="O27" s="40">
        <v>10</v>
      </c>
      <c r="P27" s="30"/>
      <c r="Q27" s="30"/>
      <c r="R27" s="41"/>
    </row>
    <row r="28" spans="1:18">
      <c r="A28" s="31" t="s">
        <v>73</v>
      </c>
      <c r="B28" s="15">
        <v>1591.5</v>
      </c>
      <c r="C28" s="32" t="s">
        <v>65</v>
      </c>
      <c r="D28" s="33">
        <v>788907</v>
      </c>
      <c r="E28" s="33">
        <v>4213640</v>
      </c>
      <c r="F28" s="34">
        <v>1593.89</v>
      </c>
      <c r="G28" s="35">
        <v>20.69</v>
      </c>
      <c r="H28" s="20">
        <v>0.5</v>
      </c>
      <c r="I28" s="36">
        <v>10</v>
      </c>
      <c r="J28" s="37">
        <v>2.0000000000000002E-5</v>
      </c>
      <c r="K28" s="37">
        <v>9.9999999999999995E-7</v>
      </c>
      <c r="L28" s="38">
        <v>10</v>
      </c>
      <c r="M28" s="39">
        <v>4.0000000000000001E-3</v>
      </c>
      <c r="N28" s="39">
        <v>2.0000000000000001E-4</v>
      </c>
      <c r="O28" s="40">
        <v>10</v>
      </c>
      <c r="P28" s="30"/>
      <c r="Q28" s="42"/>
      <c r="R28" s="41"/>
    </row>
    <row r="29" spans="1:18">
      <c r="A29" s="31" t="s">
        <v>74</v>
      </c>
      <c r="B29" s="15">
        <v>1591.5</v>
      </c>
      <c r="C29" s="32" t="s">
        <v>65</v>
      </c>
      <c r="D29" s="33">
        <v>887110</v>
      </c>
      <c r="E29" s="33">
        <v>4532510</v>
      </c>
      <c r="F29" s="34">
        <v>1593.65</v>
      </c>
      <c r="G29" s="35">
        <v>20.75</v>
      </c>
      <c r="H29" s="20">
        <v>0.5</v>
      </c>
      <c r="I29" s="36">
        <v>10</v>
      </c>
      <c r="J29" s="37">
        <v>2.0000000000000002E-5</v>
      </c>
      <c r="K29" s="37">
        <v>9.9999999999999995E-7</v>
      </c>
      <c r="L29" s="38">
        <v>10</v>
      </c>
      <c r="M29" s="39">
        <v>4.0000000000000001E-3</v>
      </c>
      <c r="N29" s="39">
        <v>2.0000000000000001E-4</v>
      </c>
      <c r="O29" s="40">
        <v>10</v>
      </c>
      <c r="P29" s="30"/>
      <c r="Q29" s="42"/>
      <c r="R29" s="41"/>
    </row>
    <row r="30" spans="1:18">
      <c r="A30" s="31" t="s">
        <v>75</v>
      </c>
      <c r="B30" s="15">
        <v>1591.5</v>
      </c>
      <c r="C30" s="32" t="s">
        <v>65</v>
      </c>
      <c r="D30" s="47">
        <v>984585</v>
      </c>
      <c r="E30" s="47">
        <v>4826330</v>
      </c>
      <c r="F30" s="48">
        <v>1595.54</v>
      </c>
      <c r="G30" s="49">
        <v>19.79</v>
      </c>
      <c r="H30" s="20">
        <v>0.5</v>
      </c>
      <c r="I30" s="36">
        <v>10</v>
      </c>
      <c r="J30" s="37">
        <v>2.0000000000000002E-5</v>
      </c>
      <c r="K30" s="37">
        <v>9.9999999999999995E-7</v>
      </c>
      <c r="L30" s="38">
        <v>10</v>
      </c>
      <c r="M30" s="39">
        <v>4.0000000000000001E-3</v>
      </c>
      <c r="N30" s="39">
        <v>2.0000000000000001E-4</v>
      </c>
      <c r="O30" s="40">
        <v>10</v>
      </c>
      <c r="P30" s="30"/>
      <c r="Q30" s="42"/>
      <c r="R30" s="41"/>
    </row>
    <row r="32" spans="1:18">
      <c r="A32" s="31"/>
      <c r="B32" s="15"/>
      <c r="C32" s="32"/>
      <c r="D32" s="33"/>
      <c r="E32" s="33"/>
      <c r="F32" s="34"/>
      <c r="G32" s="35"/>
      <c r="H32" s="20"/>
      <c r="I32" s="36"/>
      <c r="J32" s="28"/>
      <c r="K32" s="37"/>
      <c r="L32" s="38"/>
      <c r="M32" s="29"/>
      <c r="N32" s="39"/>
      <c r="O32" s="40"/>
      <c r="P32" s="30"/>
      <c r="Q32" s="42"/>
      <c r="R32" s="41"/>
    </row>
    <row r="33" spans="1:18">
      <c r="A33" s="31"/>
      <c r="B33" s="15"/>
      <c r="C33" s="32"/>
      <c r="D33" s="33"/>
      <c r="E33" s="33"/>
      <c r="F33" s="34"/>
      <c r="G33" s="50">
        <f>AVERAGE(G9:G31)</f>
        <v>20.706363636363641</v>
      </c>
      <c r="H33" s="20"/>
      <c r="I33" s="36"/>
      <c r="J33" s="28"/>
      <c r="K33" s="37"/>
      <c r="L33" s="38"/>
      <c r="M33" s="29"/>
      <c r="N33" s="39"/>
      <c r="O33" s="40"/>
      <c r="P33" s="30"/>
      <c r="Q33" s="42"/>
      <c r="R33" s="41"/>
    </row>
    <row r="34" spans="1:18">
      <c r="A34" s="31"/>
      <c r="B34" s="15"/>
      <c r="C34" s="32"/>
      <c r="D34" s="33"/>
      <c r="E34" s="33"/>
      <c r="F34" s="34"/>
      <c r="G34" s="50">
        <f>STDEV(G9:G31)</f>
        <v>0.21849148298853258</v>
      </c>
      <c r="H34" s="20"/>
      <c r="I34" s="36"/>
      <c r="J34" s="28"/>
      <c r="K34" s="37"/>
      <c r="L34" s="38"/>
      <c r="M34" s="29"/>
      <c r="N34" s="39"/>
      <c r="O34" s="40"/>
      <c r="P34" s="30"/>
      <c r="Q34" s="42"/>
      <c r="R34" s="41"/>
    </row>
    <row r="35" spans="1:18">
      <c r="A35" s="31"/>
      <c r="B35" s="15"/>
      <c r="C35" s="32"/>
      <c r="D35" s="33"/>
      <c r="E35" s="33"/>
      <c r="F35" s="34"/>
      <c r="G35" s="51"/>
      <c r="H35" s="20"/>
      <c r="I35" s="36"/>
      <c r="J35" s="28"/>
      <c r="K35" s="37"/>
      <c r="L35" s="38"/>
      <c r="M35" s="29"/>
      <c r="N35" s="39"/>
      <c r="O35" s="40"/>
      <c r="P35" s="30"/>
      <c r="Q35" s="30"/>
      <c r="R35" s="41"/>
    </row>
    <row r="36" spans="1:18">
      <c r="A36" s="31"/>
      <c r="B36" s="15"/>
      <c r="C36" s="32"/>
      <c r="D36" s="33"/>
      <c r="E36" s="33"/>
      <c r="F36" s="34"/>
      <c r="G36" s="51"/>
      <c r="H36" s="20"/>
      <c r="I36" s="36"/>
      <c r="J36" s="28"/>
      <c r="K36" s="37"/>
      <c r="L36" s="38"/>
      <c r="M36" s="29"/>
      <c r="N36" s="39"/>
      <c r="O36" s="40"/>
      <c r="P36" s="30"/>
      <c r="Q36" s="30"/>
      <c r="R36" s="30"/>
    </row>
    <row r="37" spans="1:18">
      <c r="A37" s="31"/>
      <c r="B37" s="15"/>
      <c r="C37" s="32"/>
      <c r="D37" s="33"/>
      <c r="E37" s="33"/>
      <c r="F37" s="34"/>
      <c r="G37" s="51"/>
      <c r="H37" s="20"/>
      <c r="I37" s="36"/>
      <c r="J37" s="28"/>
      <c r="K37" s="37"/>
      <c r="L37" s="38"/>
      <c r="M37" s="29"/>
      <c r="N37" s="39"/>
      <c r="O37" s="40"/>
      <c r="P37" s="30"/>
      <c r="Q37" s="30"/>
      <c r="R37" s="30"/>
    </row>
    <row r="38" spans="1:18">
      <c r="A38" s="31"/>
      <c r="B38" s="15"/>
      <c r="C38" s="32"/>
      <c r="D38" s="33"/>
      <c r="E38" s="33"/>
      <c r="F38" s="34"/>
      <c r="G38" s="51"/>
      <c r="H38" s="20"/>
      <c r="I38" s="36"/>
      <c r="J38" s="28"/>
      <c r="K38" s="37"/>
      <c r="L38" s="38"/>
      <c r="M38" s="29"/>
      <c r="N38" s="39"/>
      <c r="O38" s="40"/>
      <c r="P38" s="30"/>
      <c r="Q38" s="30"/>
      <c r="R38" s="30"/>
    </row>
    <row r="39" spans="1:18">
      <c r="A39" s="31"/>
      <c r="B39" s="15"/>
      <c r="C39" s="32"/>
      <c r="D39" s="33"/>
      <c r="E39" s="33"/>
      <c r="F39" s="34"/>
      <c r="G39" s="51"/>
      <c r="H39" s="20"/>
      <c r="I39" s="36"/>
      <c r="J39" s="28"/>
      <c r="K39" s="37"/>
      <c r="L39" s="38"/>
      <c r="M39" s="29"/>
      <c r="N39" s="39"/>
      <c r="O39" s="40"/>
      <c r="P39" s="30"/>
      <c r="Q39" s="30"/>
      <c r="R39" s="30"/>
    </row>
    <row r="40" spans="1:18">
      <c r="A40" s="31"/>
      <c r="B40" s="15"/>
      <c r="C40" s="32"/>
      <c r="D40" s="33"/>
      <c r="E40" s="33"/>
      <c r="F40" s="34"/>
      <c r="G40" s="51"/>
      <c r="H40" s="20"/>
      <c r="I40" s="36"/>
      <c r="J40" s="28"/>
      <c r="K40" s="37"/>
      <c r="L40" s="38"/>
      <c r="M40" s="29"/>
      <c r="N40" s="39"/>
      <c r="O40" s="40"/>
      <c r="P40" s="30"/>
      <c r="Q40" s="30"/>
      <c r="R40" s="30"/>
    </row>
    <row r="41" spans="1:18">
      <c r="A41" s="31"/>
      <c r="B41" s="15"/>
      <c r="C41" s="32"/>
      <c r="D41" s="33"/>
      <c r="E41" s="33"/>
      <c r="F41" s="34"/>
      <c r="G41" s="51"/>
      <c r="H41" s="20"/>
      <c r="I41" s="36"/>
      <c r="J41" s="28"/>
      <c r="K41" s="37"/>
      <c r="L41" s="38"/>
      <c r="M41" s="29"/>
      <c r="N41" s="39"/>
      <c r="O41" s="40"/>
      <c r="P41" s="30"/>
      <c r="Q41" s="30"/>
      <c r="R41" s="30"/>
    </row>
    <row r="42" spans="1:18">
      <c r="A42" s="31"/>
      <c r="B42" s="15"/>
      <c r="C42" s="32"/>
      <c r="D42" s="33"/>
      <c r="E42" s="33"/>
      <c r="F42" s="34"/>
      <c r="G42" s="51"/>
      <c r="H42" s="20"/>
      <c r="I42" s="36"/>
      <c r="J42" s="28"/>
      <c r="K42" s="37"/>
      <c r="L42" s="38"/>
      <c r="M42" s="29"/>
      <c r="N42" s="39"/>
      <c r="O42" s="40"/>
      <c r="P42" s="30"/>
      <c r="Q42" s="30"/>
      <c r="R42" s="30"/>
    </row>
    <row r="43" spans="1:18">
      <c r="A43" s="31"/>
      <c r="B43" s="15"/>
      <c r="C43" s="32"/>
      <c r="D43" s="33"/>
      <c r="E43" s="33"/>
      <c r="F43" s="34"/>
      <c r="G43" s="51"/>
      <c r="H43" s="20"/>
      <c r="I43" s="36"/>
      <c r="J43" s="28"/>
      <c r="K43" s="37"/>
      <c r="L43" s="38"/>
      <c r="M43" s="29"/>
      <c r="N43" s="39"/>
      <c r="O43" s="40"/>
      <c r="P43" s="30"/>
      <c r="Q43" s="30"/>
      <c r="R43" s="30"/>
    </row>
    <row r="44" spans="1:18">
      <c r="A44" s="31"/>
      <c r="B44" s="15"/>
      <c r="C44" s="32"/>
      <c r="D44" s="33"/>
      <c r="E44" s="33"/>
      <c r="F44" s="34"/>
      <c r="G44" s="51"/>
      <c r="H44" s="20"/>
      <c r="I44" s="36"/>
      <c r="J44" s="28"/>
      <c r="K44" s="37"/>
      <c r="L44" s="38"/>
      <c r="M44" s="29"/>
      <c r="N44" s="39"/>
      <c r="O44" s="40"/>
      <c r="P44" s="30"/>
      <c r="Q44" s="30"/>
      <c r="R44" s="30"/>
    </row>
    <row r="45" spans="1:18">
      <c r="A45" s="31"/>
      <c r="B45" s="15"/>
      <c r="C45" s="32"/>
      <c r="D45" s="33"/>
      <c r="E45" s="33"/>
      <c r="F45" s="34"/>
      <c r="G45" s="51"/>
      <c r="H45" s="20"/>
      <c r="I45" s="36"/>
      <c r="J45" s="28"/>
      <c r="K45" s="37"/>
      <c r="L45" s="38"/>
      <c r="M45" s="29"/>
      <c r="N45" s="39"/>
      <c r="O45" s="40"/>
      <c r="P45" s="30"/>
      <c r="Q45" s="30"/>
      <c r="R45" s="30"/>
    </row>
    <row r="46" spans="1:18">
      <c r="A46" s="31"/>
      <c r="B46" s="15"/>
      <c r="C46" s="32"/>
      <c r="D46" s="33"/>
      <c r="E46" s="33"/>
      <c r="F46" s="34"/>
      <c r="G46" s="51"/>
      <c r="H46" s="20"/>
      <c r="I46" s="36"/>
      <c r="J46" s="28"/>
      <c r="K46" s="37"/>
      <c r="L46" s="38"/>
      <c r="M46" s="29"/>
      <c r="N46" s="39"/>
      <c r="O46" s="40"/>
      <c r="P46" s="30"/>
      <c r="Q46" s="30"/>
      <c r="R46" s="30"/>
    </row>
    <row r="47" spans="1:18">
      <c r="A47" s="31"/>
      <c r="B47" s="15"/>
      <c r="C47" s="32"/>
      <c r="D47" s="33"/>
      <c r="E47" s="33"/>
      <c r="F47" s="34"/>
      <c r="G47" s="51"/>
      <c r="H47" s="20"/>
      <c r="I47" s="36"/>
      <c r="J47" s="28"/>
      <c r="K47" s="37"/>
      <c r="L47" s="38"/>
      <c r="M47" s="29"/>
      <c r="N47" s="39"/>
      <c r="O47" s="40"/>
      <c r="P47" s="30"/>
      <c r="Q47" s="30"/>
      <c r="R47" s="30"/>
    </row>
    <row r="48" spans="1:18">
      <c r="A48" s="31"/>
      <c r="B48" s="15"/>
      <c r="C48" s="32"/>
      <c r="D48" s="33"/>
      <c r="E48" s="33"/>
      <c r="F48" s="34"/>
      <c r="G48" s="51"/>
      <c r="H48" s="20"/>
      <c r="I48" s="36"/>
      <c r="J48" s="28"/>
      <c r="K48" s="37"/>
      <c r="L48" s="38"/>
      <c r="M48" s="29"/>
      <c r="N48" s="39"/>
      <c r="O48" s="40"/>
      <c r="P48" s="30"/>
      <c r="Q48" s="30"/>
      <c r="R48" s="30"/>
    </row>
    <row r="49" spans="1:18">
      <c r="A49" s="31"/>
      <c r="B49" s="15"/>
      <c r="C49" s="32"/>
      <c r="D49" s="33"/>
      <c r="E49" s="33"/>
      <c r="F49" s="34"/>
      <c r="G49" s="51"/>
      <c r="H49" s="20"/>
      <c r="I49" s="36"/>
      <c r="J49" s="28"/>
      <c r="K49" s="37"/>
      <c r="L49" s="38"/>
      <c r="M49" s="29"/>
      <c r="N49" s="39"/>
      <c r="O49" s="40"/>
      <c r="P49" s="30"/>
      <c r="Q49" s="30"/>
      <c r="R49" s="30"/>
    </row>
    <row r="50" spans="1:18">
      <c r="A50" s="31"/>
      <c r="B50" s="15"/>
      <c r="C50" s="32"/>
      <c r="D50" s="33"/>
      <c r="E50" s="33"/>
      <c r="F50" s="34"/>
      <c r="G50" s="51"/>
      <c r="H50" s="20"/>
      <c r="I50" s="36"/>
      <c r="J50" s="28"/>
      <c r="K50" s="37"/>
      <c r="L50" s="38"/>
      <c r="M50" s="29"/>
      <c r="N50" s="39"/>
      <c r="O50" s="40"/>
      <c r="P50" s="30"/>
      <c r="Q50" s="30"/>
      <c r="R50" s="30"/>
    </row>
    <row r="51" spans="1:18">
      <c r="A51" s="31"/>
      <c r="B51" s="15"/>
      <c r="C51" s="32"/>
      <c r="D51" s="33"/>
      <c r="E51" s="33"/>
      <c r="F51" s="34"/>
      <c r="G51" s="51"/>
      <c r="H51" s="20"/>
      <c r="I51" s="36"/>
      <c r="J51" s="28"/>
      <c r="K51" s="37"/>
      <c r="L51" s="38"/>
      <c r="M51" s="29"/>
      <c r="N51" s="39"/>
      <c r="O51" s="40"/>
      <c r="P51" s="30"/>
      <c r="Q51" s="30"/>
      <c r="R51" s="30"/>
    </row>
    <row r="52" spans="1:18">
      <c r="A52" s="31"/>
      <c r="B52" s="15"/>
      <c r="C52" s="32"/>
      <c r="D52" s="33"/>
      <c r="E52" s="33"/>
      <c r="F52" s="34"/>
      <c r="G52" s="51"/>
      <c r="H52" s="20"/>
      <c r="I52" s="36"/>
      <c r="J52" s="28"/>
      <c r="K52" s="37"/>
      <c r="L52" s="38"/>
      <c r="M52" s="29"/>
      <c r="N52" s="39"/>
      <c r="O52" s="40"/>
      <c r="P52" s="30"/>
      <c r="Q52" s="30"/>
      <c r="R52" s="30"/>
    </row>
    <row r="53" spans="1:18">
      <c r="A53" s="31"/>
      <c r="B53" s="15"/>
      <c r="C53" s="32"/>
      <c r="D53" s="33"/>
      <c r="E53" s="33"/>
      <c r="F53" s="34"/>
      <c r="G53" s="51"/>
      <c r="H53" s="20"/>
      <c r="I53" s="36"/>
      <c r="J53" s="28"/>
      <c r="K53" s="37"/>
      <c r="L53" s="38"/>
      <c r="M53" s="29"/>
      <c r="N53" s="39"/>
      <c r="O53" s="40"/>
      <c r="P53" s="30"/>
      <c r="Q53" s="30"/>
      <c r="R53" s="30"/>
    </row>
    <row r="54" spans="1:18">
      <c r="A54" s="31"/>
      <c r="B54" s="15"/>
      <c r="C54" s="32"/>
      <c r="D54" s="33"/>
      <c r="E54" s="33"/>
      <c r="F54" s="34"/>
      <c r="G54" s="51"/>
      <c r="H54" s="20"/>
      <c r="I54" s="36"/>
      <c r="J54" s="28"/>
      <c r="K54" s="37"/>
      <c r="L54" s="38"/>
      <c r="M54" s="29"/>
      <c r="N54" s="39"/>
      <c r="O54" s="40"/>
      <c r="P54" s="30"/>
      <c r="Q54" s="30"/>
      <c r="R54" s="30"/>
    </row>
    <row r="55" spans="1:18">
      <c r="A55" s="31"/>
      <c r="B55" s="15"/>
      <c r="C55" s="32"/>
      <c r="D55" s="33"/>
      <c r="E55" s="33"/>
      <c r="F55" s="34"/>
      <c r="G55" s="51"/>
      <c r="H55" s="20"/>
      <c r="I55" s="36"/>
      <c r="J55" s="37"/>
      <c r="K55" s="37"/>
      <c r="L55" s="38"/>
      <c r="M55" s="29"/>
      <c r="N55" s="39"/>
      <c r="O55" s="40"/>
      <c r="P55" s="30"/>
      <c r="Q55" s="30"/>
      <c r="R55" s="30"/>
    </row>
    <row r="56" spans="1:18">
      <c r="A56" s="31"/>
      <c r="B56" s="15"/>
      <c r="C56" s="32"/>
      <c r="D56" s="33"/>
      <c r="E56" s="33"/>
      <c r="F56" s="34"/>
      <c r="G56" s="51"/>
      <c r="H56" s="20"/>
      <c r="I56" s="36"/>
      <c r="J56" s="28"/>
      <c r="K56" s="37"/>
      <c r="L56" s="38"/>
      <c r="M56" s="29"/>
      <c r="N56" s="39"/>
      <c r="O56" s="40"/>
      <c r="P56" s="30"/>
      <c r="Q56" s="30"/>
      <c r="R56" s="30"/>
    </row>
    <row r="57" spans="1:18">
      <c r="A57" s="31"/>
      <c r="B57" s="15"/>
      <c r="C57" s="32"/>
      <c r="D57" s="33"/>
      <c r="E57" s="33"/>
      <c r="F57" s="34"/>
      <c r="G57" s="51"/>
      <c r="H57" s="20"/>
      <c r="I57" s="36"/>
      <c r="J57" s="37"/>
      <c r="K57" s="37"/>
      <c r="L57" s="38"/>
      <c r="M57" s="29"/>
      <c r="N57" s="39"/>
      <c r="O57" s="40"/>
      <c r="P57" s="30"/>
      <c r="Q57" s="30"/>
      <c r="R57" s="30"/>
    </row>
    <row r="58" spans="1:18">
      <c r="A58" s="31"/>
      <c r="B58" s="15"/>
      <c r="C58" s="32"/>
      <c r="D58" s="33"/>
      <c r="E58" s="33"/>
      <c r="F58" s="34"/>
      <c r="G58" s="51"/>
      <c r="H58" s="20"/>
      <c r="I58" s="36"/>
      <c r="J58" s="28"/>
      <c r="K58" s="37"/>
      <c r="L58" s="38"/>
      <c r="M58" s="29"/>
      <c r="N58" s="39"/>
      <c r="O58" s="40"/>
      <c r="P58" s="30"/>
      <c r="Q58" s="30"/>
      <c r="R58" s="30"/>
    </row>
    <row r="59" spans="1:18">
      <c r="A59" s="31"/>
      <c r="B59" s="15"/>
      <c r="C59" s="32"/>
      <c r="D59" s="33"/>
      <c r="E59" s="33"/>
      <c r="F59" s="34"/>
      <c r="G59" s="35"/>
      <c r="H59" s="20"/>
      <c r="I59" s="36"/>
      <c r="J59" s="28"/>
      <c r="K59" s="37"/>
      <c r="L59" s="38"/>
      <c r="M59" s="29"/>
      <c r="N59" s="39"/>
      <c r="O59" s="40"/>
      <c r="P59" s="30"/>
      <c r="Q59" s="30"/>
      <c r="R59" s="30"/>
    </row>
    <row r="60" spans="1:18">
      <c r="A60" s="31"/>
      <c r="B60" s="15"/>
      <c r="C60" s="32"/>
      <c r="D60" s="33"/>
      <c r="E60" s="33"/>
      <c r="F60" s="34"/>
      <c r="G60" s="35"/>
      <c r="H60" s="20"/>
      <c r="I60" s="36"/>
      <c r="J60" s="28"/>
      <c r="K60" s="37"/>
      <c r="L60" s="38"/>
      <c r="M60" s="29"/>
      <c r="N60" s="39"/>
      <c r="O60" s="40"/>
      <c r="P60" s="30"/>
      <c r="Q60" s="30"/>
      <c r="R60" s="30"/>
    </row>
    <row r="61" spans="1:18">
      <c r="A61" s="31"/>
      <c r="B61" s="15"/>
      <c r="C61" s="32"/>
      <c r="D61" s="33"/>
      <c r="E61" s="33"/>
      <c r="F61" s="34"/>
      <c r="G61" s="35"/>
      <c r="H61" s="20"/>
      <c r="I61" s="36"/>
      <c r="J61" s="28"/>
      <c r="K61" s="37"/>
      <c r="L61" s="38"/>
      <c r="M61" s="29"/>
      <c r="N61" s="39"/>
      <c r="O61" s="40"/>
      <c r="P61" s="30"/>
      <c r="Q61" s="30"/>
      <c r="R61" s="30"/>
    </row>
    <row r="62" spans="1:18">
      <c r="A62" s="31"/>
      <c r="B62" s="15"/>
      <c r="C62" s="32"/>
      <c r="D62" s="33"/>
      <c r="E62" s="33"/>
      <c r="F62" s="34"/>
      <c r="G62" s="35"/>
      <c r="H62" s="20"/>
      <c r="I62" s="36"/>
      <c r="J62" s="28"/>
      <c r="K62" s="37"/>
      <c r="L62" s="38"/>
      <c r="M62" s="29"/>
      <c r="N62" s="39"/>
      <c r="O62" s="40"/>
      <c r="P62" s="30"/>
      <c r="Q62" s="30"/>
      <c r="R62" s="30"/>
    </row>
    <row r="63" spans="1:18">
      <c r="A63" s="31"/>
      <c r="B63" s="15"/>
      <c r="C63" s="32"/>
      <c r="D63" s="33"/>
      <c r="E63" s="33"/>
      <c r="F63" s="34"/>
      <c r="G63" s="35"/>
      <c r="H63" s="20"/>
      <c r="I63" s="36"/>
      <c r="J63" s="28"/>
      <c r="K63" s="37"/>
      <c r="L63" s="38"/>
      <c r="M63" s="29"/>
      <c r="N63" s="39"/>
      <c r="O63" s="40"/>
      <c r="P63" s="30"/>
      <c r="Q63" s="30"/>
      <c r="R63" s="3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4F4E-E37A-46DB-BA88-D4E04778E2F8}">
  <sheetPr>
    <tabColor rgb="FFAFD095"/>
  </sheetPr>
  <dimension ref="A1:W240"/>
  <sheetViews>
    <sheetView workbookViewId="0">
      <selection activeCell="I10" sqref="I10"/>
    </sheetView>
  </sheetViews>
  <sheetFormatPr defaultRowHeight="12.5"/>
  <cols>
    <col min="3" max="3" width="12.453125" customWidth="1"/>
    <col min="5" max="5" width="11.1796875" bestFit="1" customWidth="1"/>
    <col min="8" max="8" width="10.81640625" customWidth="1"/>
  </cols>
  <sheetData>
    <row r="1" spans="1:23">
      <c r="A1" t="s">
        <v>1452</v>
      </c>
    </row>
    <row r="2" spans="1:23">
      <c r="A2" s="435" t="s">
        <v>1496</v>
      </c>
    </row>
    <row r="3" spans="1:23" ht="14">
      <c r="A3" s="442" t="s">
        <v>1495</v>
      </c>
      <c r="T3" s="435" t="s">
        <v>1487</v>
      </c>
      <c r="V3" s="435" t="s">
        <v>1491</v>
      </c>
    </row>
    <row r="4" spans="1:23">
      <c r="A4" s="435" t="s">
        <v>1462</v>
      </c>
      <c r="S4">
        <f>H50</f>
        <v>1432.4</v>
      </c>
      <c r="T4">
        <f>K66</f>
        <v>22.225448119374999</v>
      </c>
      <c r="U4" s="312">
        <f>L66</f>
        <v>5.3746917364733897E-5</v>
      </c>
      <c r="V4">
        <f>N66</f>
        <v>9.8071266345000005E-3</v>
      </c>
      <c r="W4" s="312">
        <f>O66</f>
        <v>1.08795767686843E-8</v>
      </c>
    </row>
    <row r="5" spans="1:23">
      <c r="A5" t="s">
        <v>1453</v>
      </c>
      <c r="S5">
        <f>H68</f>
        <v>1512.4</v>
      </c>
      <c r="T5">
        <f>K84</f>
        <v>22.235737913125</v>
      </c>
      <c r="U5">
        <f>L84</f>
        <v>1.3118908692998901E-4</v>
      </c>
      <c r="V5">
        <f>N84</f>
        <v>9.8060238884374994E-3</v>
      </c>
      <c r="W5" s="312">
        <f>O84</f>
        <v>8.20215860171218E-9</v>
      </c>
    </row>
    <row r="6" spans="1:23">
      <c r="S6">
        <f>H86</f>
        <v>1591.5</v>
      </c>
      <c r="T6">
        <f>K102</f>
        <v>22.245639929374999</v>
      </c>
      <c r="U6" s="312">
        <f>L102</f>
        <v>8.65680655106483E-5</v>
      </c>
      <c r="V6">
        <f>N102</f>
        <v>9.8049260905625005E-3</v>
      </c>
      <c r="W6" s="312">
        <f>O102</f>
        <v>1.0338129830770099E-8</v>
      </c>
    </row>
    <row r="7" spans="1:23">
      <c r="B7" t="s">
        <v>1357</v>
      </c>
      <c r="C7" t="s">
        <v>105</v>
      </c>
      <c r="D7" t="s">
        <v>101</v>
      </c>
      <c r="S7">
        <f>H104</f>
        <v>1670.8</v>
      </c>
      <c r="T7">
        <f>K120</f>
        <v>22.25509124625</v>
      </c>
      <c r="U7">
        <f>L120</f>
        <v>1.18336912408361E-4</v>
      </c>
      <c r="V7">
        <f>N120</f>
        <v>9.8038665082499903E-3</v>
      </c>
      <c r="W7" s="312">
        <f>O120</f>
        <v>7.5228710165876207E-9</v>
      </c>
    </row>
    <row r="8" spans="1:23" ht="13">
      <c r="B8" s="435" t="s">
        <v>1455</v>
      </c>
      <c r="C8" t="s">
        <v>1323</v>
      </c>
      <c r="D8" s="434" t="s">
        <v>1454</v>
      </c>
      <c r="S8">
        <f>H122</f>
        <v>1749.6</v>
      </c>
      <c r="T8">
        <f>K138</f>
        <v>22.264582842500001</v>
      </c>
      <c r="U8">
        <f>L138</f>
        <v>4.1727114921449198E-4</v>
      </c>
      <c r="V8">
        <f>N138</f>
        <v>9.8028285938750008E-3</v>
      </c>
      <c r="W8" s="312">
        <f>O138</f>
        <v>3.7970240111467397E-8</v>
      </c>
    </row>
    <row r="9" spans="1:23">
      <c r="B9">
        <v>1.5920000000000001</v>
      </c>
      <c r="C9">
        <v>9.8046319999999998</v>
      </c>
      <c r="D9">
        <v>22.233219999999999</v>
      </c>
      <c r="T9" s="435" t="s">
        <v>1489</v>
      </c>
      <c r="V9" s="435" t="s">
        <v>1490</v>
      </c>
    </row>
    <row r="10" spans="1:23">
      <c r="B10">
        <v>1.67</v>
      </c>
      <c r="C10">
        <v>9.8036169999999991</v>
      </c>
      <c r="D10">
        <v>22.242629999999998</v>
      </c>
      <c r="S10">
        <f>H148</f>
        <v>1432.4</v>
      </c>
      <c r="T10">
        <f>K164</f>
        <v>3.5418333413749998</v>
      </c>
      <c r="U10" s="312">
        <f>L164</f>
        <v>1.41969588146205E-5</v>
      </c>
      <c r="V10">
        <f>N164</f>
        <v>5.9356703169374998E-4</v>
      </c>
      <c r="W10" s="312">
        <f>O164</f>
        <v>1.57763845307614E-9</v>
      </c>
    </row>
    <row r="11" spans="1:23">
      <c r="B11">
        <v>1.5920000000000001</v>
      </c>
      <c r="C11">
        <v>9.8046439999999997</v>
      </c>
      <c r="D11">
        <v>22.23452</v>
      </c>
      <c r="E11" s="435" t="s">
        <v>1458</v>
      </c>
      <c r="F11" s="435" t="s">
        <v>1456</v>
      </c>
      <c r="G11" s="435" t="s">
        <v>1457</v>
      </c>
      <c r="S11">
        <f>H166</f>
        <v>1512.4</v>
      </c>
      <c r="T11">
        <f>K182</f>
        <v>3.5422765629374999</v>
      </c>
      <c r="U11" s="312">
        <f>L182</f>
        <v>1.28111621615497E-5</v>
      </c>
      <c r="V11">
        <f>N182</f>
        <v>5.9353599691249999E-4</v>
      </c>
      <c r="W11" s="312">
        <f>O182</f>
        <v>2.0471417696759899E-9</v>
      </c>
    </row>
    <row r="12" spans="1:23">
      <c r="E12" s="435" t="s">
        <v>1199</v>
      </c>
      <c r="F12" s="435" t="s">
        <v>1229</v>
      </c>
      <c r="G12" s="435" t="s">
        <v>1229</v>
      </c>
      <c r="S12">
        <f>H184</f>
        <v>1591.5</v>
      </c>
      <c r="T12">
        <f>K200</f>
        <v>3.5427159559999999</v>
      </c>
      <c r="U12" s="312">
        <f>L200</f>
        <v>2.0027412174289599E-5</v>
      </c>
      <c r="V12">
        <f>N200</f>
        <v>5.9350471999374997E-4</v>
      </c>
      <c r="W12" s="312">
        <f>O200</f>
        <v>1.5738237654315899E-9</v>
      </c>
    </row>
    <row r="13" spans="1:23">
      <c r="A13" s="435" t="s">
        <v>1235</v>
      </c>
      <c r="B13">
        <f>AVERAGE(B9,B11)</f>
        <v>1.5920000000000001</v>
      </c>
      <c r="C13">
        <f t="shared" ref="C13:D13" si="0">AVERAGE(C9,C11)</f>
        <v>9.8046380000000006</v>
      </c>
      <c r="D13">
        <f t="shared" si="0"/>
        <v>22.23387</v>
      </c>
      <c r="E13" s="247">
        <f>(B10/B13-1)*100</f>
        <v>4.8994974874371655</v>
      </c>
      <c r="F13" s="247">
        <f>(C10/C13-1)*1000000</f>
        <v>-104.13439027545657</v>
      </c>
      <c r="G13" s="247">
        <f>(D10/D13-1)*1000000</f>
        <v>393.99348831303803</v>
      </c>
      <c r="S13">
        <f>H202</f>
        <v>1670.8</v>
      </c>
      <c r="T13">
        <f>K218</f>
        <v>3.543129193</v>
      </c>
      <c r="U13" s="312">
        <f>L218</f>
        <v>1.9316158631215402E-5</v>
      </c>
      <c r="V13">
        <f>N218</f>
        <v>5.9347175938124998E-4</v>
      </c>
      <c r="W13" s="312">
        <f>O218</f>
        <v>1.4722295741359499E-9</v>
      </c>
    </row>
    <row r="14" spans="1:23">
      <c r="F14" s="440">
        <f>F13/(0.05*B11*1000)</f>
        <v>-1.3082209833600069</v>
      </c>
      <c r="G14" s="440">
        <f>G13/(0.05*B9*1000)</f>
        <v>4.949666938606005</v>
      </c>
      <c r="H14" s="435" t="s">
        <v>1494</v>
      </c>
      <c r="S14">
        <f>H220</f>
        <v>1749.6</v>
      </c>
      <c r="T14">
        <f>K236</f>
        <v>3.54354921925</v>
      </c>
      <c r="U14" s="312">
        <f>L236</f>
        <v>7.14062317443693E-5</v>
      </c>
      <c r="V14">
        <f>N236</f>
        <v>5.9343858666874999E-4</v>
      </c>
      <c r="W14" s="312">
        <f>O236</f>
        <v>6.6732596614415999E-9</v>
      </c>
    </row>
    <row r="15" spans="1:23">
      <c r="A15" s="435" t="s">
        <v>1459</v>
      </c>
      <c r="Q15" t="s">
        <v>1492</v>
      </c>
    </row>
    <row r="16" spans="1:23">
      <c r="T16" s="435" t="s">
        <v>101</v>
      </c>
      <c r="V16" s="435" t="s">
        <v>105</v>
      </c>
    </row>
    <row r="17" spans="2:22">
      <c r="B17" s="435" t="s">
        <v>1461</v>
      </c>
      <c r="C17">
        <f>10000/(2*PI())</f>
        <v>1591.5494309189535</v>
      </c>
      <c r="T17" s="435" t="s">
        <v>1493</v>
      </c>
      <c r="V17" s="435" t="s">
        <v>1493</v>
      </c>
    </row>
    <row r="18" spans="2:22">
      <c r="C18" s="34">
        <v>1592.54</v>
      </c>
      <c r="E18" s="438">
        <f>(C18/C$17-1)</f>
        <v>6.2239290957766258E-4</v>
      </c>
      <c r="S18" t="s">
        <v>64</v>
      </c>
      <c r="T18" s="440">
        <f>0.0001231/T6*1000000</f>
        <v>5.5336686375764135</v>
      </c>
      <c r="U18" s="441"/>
      <c r="V18" s="440">
        <f>-0.00000001356/V6*1000000</f>
        <v>-1.3829782983322902</v>
      </c>
    </row>
    <row r="19" spans="2:22">
      <c r="C19" s="34">
        <v>1592.34</v>
      </c>
      <c r="E19" s="438">
        <f t="shared" ref="E19:E40" si="1">(C19/C$17-1)</f>
        <v>4.9672920343413196E-4</v>
      </c>
      <c r="S19" s="435" t="s">
        <v>71</v>
      </c>
      <c r="T19" s="440">
        <f>0.000005404/T12*1000000</f>
        <v>1.5253833688946188</v>
      </c>
      <c r="U19" s="441"/>
      <c r="V19" s="440">
        <f>-0.000000000405/V12*1000000</f>
        <v>-0.68238715945555573</v>
      </c>
    </row>
    <row r="20" spans="2:22">
      <c r="C20" s="34">
        <v>1592.19</v>
      </c>
      <c r="E20" s="438">
        <f t="shared" si="1"/>
        <v>4.0248142382659502E-4</v>
      </c>
    </row>
    <row r="21" spans="2:22">
      <c r="C21" s="34">
        <v>1593.41</v>
      </c>
      <c r="E21" s="438">
        <f t="shared" si="1"/>
        <v>1.1690300313025315E-3</v>
      </c>
    </row>
    <row r="22" spans="2:22">
      <c r="C22" s="34">
        <v>1592.77</v>
      </c>
      <c r="E22" s="438">
        <f t="shared" si="1"/>
        <v>7.6690617164287822E-4</v>
      </c>
    </row>
    <row r="23" spans="2:22">
      <c r="C23" s="34">
        <v>1592.47</v>
      </c>
      <c r="E23" s="438">
        <f t="shared" si="1"/>
        <v>5.7841061242758229E-4</v>
      </c>
    </row>
    <row r="24" spans="2:22">
      <c r="C24" s="34">
        <v>1591.8</v>
      </c>
      <c r="E24" s="438">
        <f t="shared" si="1"/>
        <v>1.5743719684646607E-4</v>
      </c>
    </row>
    <row r="25" spans="2:22">
      <c r="C25" s="34">
        <v>1591.74</v>
      </c>
      <c r="E25" s="438">
        <f t="shared" si="1"/>
        <v>1.1973808500354011E-4</v>
      </c>
    </row>
    <row r="26" spans="2:22">
      <c r="C26" s="34">
        <v>1591.67</v>
      </c>
      <c r="E26" s="438">
        <f t="shared" si="1"/>
        <v>7.5755787853237777E-5</v>
      </c>
    </row>
    <row r="27" spans="2:22">
      <c r="C27" s="34">
        <v>1591.51</v>
      </c>
      <c r="E27" s="438">
        <f t="shared" si="1"/>
        <v>-2.4775177061675535E-5</v>
      </c>
    </row>
    <row r="28" spans="2:22">
      <c r="C28" s="34">
        <v>1592.88</v>
      </c>
      <c r="E28" s="438">
        <f t="shared" si="1"/>
        <v>8.360212100220199E-4</v>
      </c>
    </row>
    <row r="29" spans="2:22">
      <c r="C29" s="45"/>
      <c r="E29" s="438"/>
    </row>
    <row r="30" spans="2:22">
      <c r="C30" s="34">
        <v>1593.85</v>
      </c>
      <c r="E30" s="438">
        <f t="shared" si="1"/>
        <v>1.44549018481821E-3</v>
      </c>
    </row>
    <row r="31" spans="2:22">
      <c r="C31" s="34">
        <v>1593.64</v>
      </c>
      <c r="E31" s="438">
        <f t="shared" si="1"/>
        <v>1.3135432933675251E-3</v>
      </c>
    </row>
    <row r="32" spans="2:22">
      <c r="C32" s="34">
        <v>1593.08</v>
      </c>
      <c r="E32" s="438">
        <f t="shared" si="1"/>
        <v>9.6168491616555052E-4</v>
      </c>
    </row>
    <row r="33" spans="2:9">
      <c r="C33" s="34">
        <v>1593.56</v>
      </c>
      <c r="E33" s="438">
        <f t="shared" si="1"/>
        <v>1.2632778109100684E-3</v>
      </c>
    </row>
    <row r="34" spans="2:9">
      <c r="C34" s="45">
        <v>1593.49</v>
      </c>
      <c r="E34" s="438">
        <f t="shared" si="1"/>
        <v>1.2192955137597661E-3</v>
      </c>
    </row>
    <row r="35" spans="2:9">
      <c r="C35" s="45">
        <v>1593.17</v>
      </c>
      <c r="E35" s="438">
        <f t="shared" si="1"/>
        <v>1.0182335839301615E-3</v>
      </c>
    </row>
    <row r="36" spans="2:9">
      <c r="C36" s="45">
        <v>1593.32</v>
      </c>
      <c r="E36" s="438">
        <f t="shared" si="1"/>
        <v>1.1124813635376984E-3</v>
      </c>
    </row>
    <row r="37" spans="2:9">
      <c r="C37" s="34">
        <v>1593.89</v>
      </c>
      <c r="E37" s="438">
        <f t="shared" si="1"/>
        <v>1.4706229260470494E-3</v>
      </c>
    </row>
    <row r="38" spans="2:9">
      <c r="C38" s="34">
        <v>1593.65</v>
      </c>
      <c r="E38" s="438">
        <f t="shared" si="1"/>
        <v>1.3198264786746794E-3</v>
      </c>
    </row>
    <row r="39" spans="2:9">
      <c r="C39" s="48"/>
      <c r="E39" s="438"/>
    </row>
    <row r="40" spans="2:9">
      <c r="B40" s="435" t="s">
        <v>1213</v>
      </c>
      <c r="C40" s="436">
        <f>AVERAGE(C18:C38)</f>
        <v>1592.8485000000001</v>
      </c>
      <c r="E40" s="438">
        <f t="shared" si="1"/>
        <v>8.1622917630430614E-4</v>
      </c>
    </row>
    <row r="41" spans="2:9">
      <c r="B41" s="435" t="s">
        <v>1236</v>
      </c>
      <c r="C41">
        <f>STDEV(C18:C38)</f>
        <v>0.77511476230094845</v>
      </c>
    </row>
    <row r="42" spans="2:9">
      <c r="B42" s="435" t="s">
        <v>1460</v>
      </c>
      <c r="C42" s="437">
        <f>C41/C40</f>
        <v>4.8662177369721503E-4</v>
      </c>
    </row>
    <row r="43" spans="2:9">
      <c r="H43" s="435" t="s">
        <v>1463</v>
      </c>
    </row>
    <row r="44" spans="2:9">
      <c r="I44" s="435" t="s">
        <v>1488</v>
      </c>
    </row>
    <row r="45" spans="2:9">
      <c r="H45" t="s">
        <v>1464</v>
      </c>
      <c r="I45" t="s">
        <v>1465</v>
      </c>
    </row>
    <row r="46" spans="2:9">
      <c r="H46" t="s">
        <v>1466</v>
      </c>
      <c r="I46" t="s">
        <v>1467</v>
      </c>
    </row>
    <row r="47" spans="2:9">
      <c r="H47" t="s">
        <v>1468</v>
      </c>
      <c r="I47" t="s">
        <v>1469</v>
      </c>
    </row>
    <row r="48" spans="2:9">
      <c r="H48" s="13">
        <v>45826</v>
      </c>
      <c r="I48" s="439">
        <v>0.66812499999999997</v>
      </c>
    </row>
    <row r="49" spans="1:10">
      <c r="H49" t="s">
        <v>1470</v>
      </c>
      <c r="I49" t="s">
        <v>1471</v>
      </c>
    </row>
    <row r="50" spans="1:10">
      <c r="A50" s="435" t="s">
        <v>64</v>
      </c>
      <c r="H50">
        <v>1432.4</v>
      </c>
      <c r="I50">
        <v>9.8071213040000008E-3</v>
      </c>
      <c r="J50">
        <v>22.225390600000001</v>
      </c>
    </row>
    <row r="51" spans="1:10">
      <c r="H51">
        <v>1432.4</v>
      </c>
      <c r="I51">
        <v>9.8071371660000007E-3</v>
      </c>
      <c r="J51">
        <v>22.225488890000001</v>
      </c>
    </row>
    <row r="52" spans="1:10">
      <c r="H52">
        <v>1432.4</v>
      </c>
      <c r="I52">
        <v>9.8071352419999997E-3</v>
      </c>
      <c r="J52">
        <v>22.225427450000002</v>
      </c>
    </row>
    <row r="53" spans="1:10">
      <c r="H53">
        <v>1432.4</v>
      </c>
      <c r="I53">
        <v>9.8071349540000009E-3</v>
      </c>
      <c r="J53">
        <v>22.22544096</v>
      </c>
    </row>
    <row r="54" spans="1:10">
      <c r="H54">
        <v>1432.4</v>
      </c>
      <c r="I54">
        <v>9.80710544E-3</v>
      </c>
      <c r="J54">
        <v>22.225515049999998</v>
      </c>
    </row>
    <row r="55" spans="1:10">
      <c r="H55">
        <v>1432.4</v>
      </c>
      <c r="I55">
        <v>9.8071119660000008E-3</v>
      </c>
      <c r="J55">
        <v>22.225371559999999</v>
      </c>
    </row>
    <row r="56" spans="1:10">
      <c r="A56" s="435" t="s">
        <v>71</v>
      </c>
      <c r="H56">
        <v>1432.4</v>
      </c>
      <c r="I56">
        <v>9.8071158980000007E-3</v>
      </c>
      <c r="J56">
        <v>22.225446300000002</v>
      </c>
    </row>
    <row r="57" spans="1:10">
      <c r="H57">
        <v>1432.4</v>
      </c>
      <c r="I57">
        <v>9.8071231490000008E-3</v>
      </c>
      <c r="J57">
        <v>22.225436689999999</v>
      </c>
    </row>
    <row r="58" spans="1:10">
      <c r="H58">
        <v>1432.4</v>
      </c>
      <c r="I58">
        <v>9.8071345530000003E-3</v>
      </c>
      <c r="J58">
        <v>22.22552769</v>
      </c>
    </row>
    <row r="59" spans="1:10">
      <c r="H59">
        <v>1432.4</v>
      </c>
      <c r="I59">
        <v>9.8071358559999999E-3</v>
      </c>
      <c r="J59">
        <v>22.225478349999999</v>
      </c>
    </row>
    <row r="60" spans="1:10">
      <c r="H60">
        <v>1432.4</v>
      </c>
      <c r="I60">
        <v>9.8071305560000002E-3</v>
      </c>
      <c r="J60">
        <v>22.225345180000001</v>
      </c>
    </row>
    <row r="61" spans="1:10">
      <c r="H61">
        <v>1432.4</v>
      </c>
      <c r="I61">
        <v>9.8071237140000007E-3</v>
      </c>
      <c r="J61">
        <v>22.22545247</v>
      </c>
    </row>
    <row r="62" spans="1:10">
      <c r="H62">
        <v>1432.4</v>
      </c>
      <c r="I62">
        <v>9.8071354450000002E-3</v>
      </c>
      <c r="J62">
        <v>22.225426689999999</v>
      </c>
    </row>
    <row r="63" spans="1:10">
      <c r="H63">
        <v>1432.4</v>
      </c>
      <c r="I63">
        <v>9.8071294519999994E-3</v>
      </c>
      <c r="J63">
        <v>22.22542017</v>
      </c>
    </row>
    <row r="64" spans="1:10">
      <c r="H64">
        <v>1432.4</v>
      </c>
      <c r="I64">
        <v>9.8071108590000004E-3</v>
      </c>
      <c r="J64">
        <v>22.225463999999999</v>
      </c>
    </row>
    <row r="65" spans="8:15">
      <c r="H65">
        <v>1432.4</v>
      </c>
      <c r="I65">
        <v>9.8071405980000009E-3</v>
      </c>
      <c r="J65">
        <v>22.225537859999999</v>
      </c>
    </row>
    <row r="66" spans="8:15" ht="12.5" customHeight="1">
      <c r="H66" t="s">
        <v>1472</v>
      </c>
      <c r="I66">
        <v>1432.4</v>
      </c>
      <c r="J66" t="s">
        <v>1473</v>
      </c>
      <c r="K66">
        <v>22.225448119374999</v>
      </c>
      <c r="L66" s="312">
        <v>5.3746917364733897E-5</v>
      </c>
      <c r="M66" t="s">
        <v>1474</v>
      </c>
      <c r="N66">
        <v>9.8071266345000005E-3</v>
      </c>
      <c r="O66" s="312">
        <v>1.08795767686843E-8</v>
      </c>
    </row>
    <row r="67" spans="8:15" ht="12.5" customHeight="1">
      <c r="H67" s="216" t="s">
        <v>1475</v>
      </c>
    </row>
    <row r="68" spans="8:15">
      <c r="H68">
        <v>1512.4</v>
      </c>
      <c r="I68">
        <v>9.8060177190000004E-3</v>
      </c>
      <c r="J68">
        <v>22.235618379999998</v>
      </c>
    </row>
    <row r="69" spans="8:15">
      <c r="H69">
        <v>1512.4</v>
      </c>
      <c r="I69">
        <v>9.8060301900000004E-3</v>
      </c>
      <c r="J69">
        <v>22.23555168</v>
      </c>
    </row>
    <row r="70" spans="8:15">
      <c r="H70">
        <v>1512.4</v>
      </c>
      <c r="I70">
        <v>9.8060159100000002E-3</v>
      </c>
      <c r="J70">
        <v>22.235601330000001</v>
      </c>
    </row>
    <row r="71" spans="8:15">
      <c r="H71">
        <v>1512.4</v>
      </c>
      <c r="I71">
        <v>9.806013031E-3</v>
      </c>
      <c r="J71">
        <v>22.235651659999998</v>
      </c>
    </row>
    <row r="72" spans="8:15">
      <c r="H72">
        <v>1512.4</v>
      </c>
      <c r="I72">
        <v>9.8060264110000003E-3</v>
      </c>
      <c r="J72">
        <v>22.23582394</v>
      </c>
    </row>
    <row r="73" spans="8:15">
      <c r="H73">
        <v>1512.4</v>
      </c>
      <c r="I73">
        <v>9.8060180860000002E-3</v>
      </c>
      <c r="J73">
        <v>22.23553823</v>
      </c>
    </row>
    <row r="74" spans="8:15">
      <c r="H74">
        <v>1512.4</v>
      </c>
      <c r="I74">
        <v>9.8060294159999992E-3</v>
      </c>
      <c r="J74">
        <v>22.23576886</v>
      </c>
    </row>
    <row r="75" spans="8:15">
      <c r="H75">
        <v>1512.4</v>
      </c>
      <c r="I75">
        <v>9.8060334789999998E-3</v>
      </c>
      <c r="J75">
        <v>22.23570969</v>
      </c>
    </row>
    <row r="76" spans="8:15">
      <c r="H76">
        <v>1512.4</v>
      </c>
      <c r="I76">
        <v>9.8060355209999995E-3</v>
      </c>
      <c r="J76">
        <v>22.235771660000001</v>
      </c>
    </row>
    <row r="77" spans="8:15">
      <c r="H77">
        <v>1512.4</v>
      </c>
      <c r="I77">
        <v>9.8060313959999999E-3</v>
      </c>
      <c r="J77">
        <v>22.23580784</v>
      </c>
    </row>
    <row r="78" spans="8:15">
      <c r="H78">
        <v>1512.4</v>
      </c>
      <c r="I78">
        <v>9.8060255670000002E-3</v>
      </c>
      <c r="J78">
        <v>22.23598204</v>
      </c>
    </row>
    <row r="79" spans="8:15">
      <c r="H79">
        <v>1512.4</v>
      </c>
      <c r="I79">
        <v>9.8060123189999994E-3</v>
      </c>
      <c r="J79">
        <v>22.235740329999999</v>
      </c>
    </row>
    <row r="80" spans="8:15">
      <c r="H80">
        <v>1512.4</v>
      </c>
      <c r="I80">
        <v>9.806015526E-3</v>
      </c>
      <c r="J80">
        <v>22.235897699999999</v>
      </c>
    </row>
    <row r="81" spans="8:15">
      <c r="H81">
        <v>1512.4</v>
      </c>
      <c r="I81">
        <v>9.8060158590000009E-3</v>
      </c>
      <c r="J81">
        <v>22.23565383</v>
      </c>
    </row>
    <row r="82" spans="8:15">
      <c r="H82">
        <v>1512.4</v>
      </c>
      <c r="I82">
        <v>9.806034525E-3</v>
      </c>
      <c r="J82">
        <v>22.235925389999998</v>
      </c>
    </row>
    <row r="83" spans="8:15">
      <c r="H83">
        <v>1512.4</v>
      </c>
      <c r="I83">
        <v>9.8060272600000008E-3</v>
      </c>
      <c r="J83">
        <v>22.23576405</v>
      </c>
    </row>
    <row r="84" spans="8:15">
      <c r="H84" t="s">
        <v>1472</v>
      </c>
      <c r="I84">
        <v>1512.4</v>
      </c>
      <c r="J84" t="s">
        <v>1473</v>
      </c>
      <c r="K84">
        <v>22.235737913125</v>
      </c>
      <c r="L84">
        <v>1.3118908692998901E-4</v>
      </c>
      <c r="M84" t="s">
        <v>1474</v>
      </c>
      <c r="N84">
        <v>9.8060238884374994E-3</v>
      </c>
      <c r="O84" s="312">
        <v>8.20215860171218E-9</v>
      </c>
    </row>
    <row r="85" spans="8:15" ht="12.5" customHeight="1">
      <c r="H85" s="216" t="s">
        <v>1476</v>
      </c>
    </row>
    <row r="86" spans="8:15">
      <c r="H86">
        <v>1591.5</v>
      </c>
      <c r="I86">
        <v>9.804932459E-3</v>
      </c>
      <c r="J86">
        <v>22.245680119999999</v>
      </c>
    </row>
    <row r="87" spans="8:15">
      <c r="H87">
        <v>1591.5</v>
      </c>
      <c r="I87">
        <v>9.8049127529999999E-3</v>
      </c>
      <c r="J87">
        <v>22.245657099999999</v>
      </c>
    </row>
    <row r="88" spans="8:15">
      <c r="H88">
        <v>1591.5</v>
      </c>
      <c r="I88">
        <v>9.8049373419999992E-3</v>
      </c>
      <c r="J88">
        <v>22.245631530000001</v>
      </c>
    </row>
    <row r="89" spans="8:15">
      <c r="H89">
        <v>1591.5</v>
      </c>
      <c r="I89">
        <v>9.8049464730000004E-3</v>
      </c>
      <c r="J89">
        <v>22.24538312</v>
      </c>
    </row>
    <row r="90" spans="8:15">
      <c r="H90">
        <v>1591.5</v>
      </c>
      <c r="I90">
        <v>9.8049301159999994E-3</v>
      </c>
      <c r="J90">
        <v>22.245687749999998</v>
      </c>
    </row>
    <row r="91" spans="8:15">
      <c r="H91">
        <v>1591.5</v>
      </c>
      <c r="I91">
        <v>9.8049157279999997E-3</v>
      </c>
      <c r="J91">
        <v>22.24570787</v>
      </c>
    </row>
    <row r="92" spans="8:15">
      <c r="H92">
        <v>1591.5</v>
      </c>
      <c r="I92">
        <v>9.8049287980000004E-3</v>
      </c>
      <c r="J92">
        <v>22.24566768</v>
      </c>
    </row>
    <row r="93" spans="8:15">
      <c r="H93">
        <v>1591.5</v>
      </c>
      <c r="I93">
        <v>9.8049400870000008E-3</v>
      </c>
      <c r="J93">
        <v>22.245664770000001</v>
      </c>
    </row>
    <row r="94" spans="8:15">
      <c r="H94">
        <v>1591.5</v>
      </c>
      <c r="I94">
        <v>9.8049149500000002E-3</v>
      </c>
      <c r="J94">
        <v>22.245765200000001</v>
      </c>
    </row>
    <row r="95" spans="8:15">
      <c r="H95">
        <v>1591.5</v>
      </c>
      <c r="I95">
        <v>9.8049279740000002E-3</v>
      </c>
      <c r="J95">
        <v>22.245577900000001</v>
      </c>
    </row>
    <row r="96" spans="8:15">
      <c r="H96">
        <v>1591.5</v>
      </c>
      <c r="I96">
        <v>9.8049311049999994E-3</v>
      </c>
      <c r="J96">
        <v>22.24563998</v>
      </c>
    </row>
    <row r="97" spans="8:15">
      <c r="H97">
        <v>1591.5</v>
      </c>
      <c r="I97">
        <v>9.8049094979999994E-3</v>
      </c>
      <c r="J97">
        <v>22.245551030000001</v>
      </c>
    </row>
    <row r="98" spans="8:15">
      <c r="H98">
        <v>1591.5</v>
      </c>
      <c r="I98">
        <v>9.8049235570000001E-3</v>
      </c>
      <c r="J98">
        <v>22.245623370000001</v>
      </c>
    </row>
    <row r="99" spans="8:15">
      <c r="H99">
        <v>1591.5</v>
      </c>
      <c r="I99">
        <v>9.8049270999999993E-3</v>
      </c>
      <c r="J99">
        <v>22.245659310000001</v>
      </c>
    </row>
    <row r="100" spans="8:15">
      <c r="H100">
        <v>1591.5</v>
      </c>
      <c r="I100">
        <v>9.8049197100000002E-3</v>
      </c>
      <c r="J100">
        <v>22.245726550000001</v>
      </c>
    </row>
    <row r="101" spans="8:15">
      <c r="H101">
        <v>1591.5</v>
      </c>
      <c r="I101">
        <v>9.8049197990000003E-3</v>
      </c>
      <c r="J101">
        <v>22.24561559</v>
      </c>
    </row>
    <row r="102" spans="8:15">
      <c r="H102" t="s">
        <v>1472</v>
      </c>
      <c r="I102">
        <v>1591.5</v>
      </c>
      <c r="J102" t="s">
        <v>1473</v>
      </c>
      <c r="K102">
        <v>22.245639929374999</v>
      </c>
      <c r="L102" s="312">
        <v>8.65680655106483E-5</v>
      </c>
      <c r="M102" t="s">
        <v>1474</v>
      </c>
      <c r="N102">
        <v>9.8049260905625005E-3</v>
      </c>
      <c r="O102" s="312">
        <v>1.0338129830770099E-8</v>
      </c>
    </row>
    <row r="103" spans="8:15" ht="12.5" customHeight="1">
      <c r="H103" s="216" t="s">
        <v>1477</v>
      </c>
    </row>
    <row r="104" spans="8:15">
      <c r="H104">
        <v>1670.8</v>
      </c>
      <c r="I104">
        <v>9.8038807239999998E-3</v>
      </c>
      <c r="J104">
        <v>22.254953050000001</v>
      </c>
    </row>
    <row r="105" spans="8:15">
      <c r="H105">
        <v>1670.8</v>
      </c>
      <c r="I105">
        <v>9.8038623299999995E-3</v>
      </c>
      <c r="J105">
        <v>22.254921329999998</v>
      </c>
    </row>
    <row r="106" spans="8:15">
      <c r="H106">
        <v>1670.8</v>
      </c>
      <c r="I106">
        <v>9.8038637259999992E-3</v>
      </c>
      <c r="J106">
        <v>22.255269160000001</v>
      </c>
    </row>
    <row r="107" spans="8:15">
      <c r="H107">
        <v>1670.8</v>
      </c>
      <c r="I107">
        <v>9.8038685620000007E-3</v>
      </c>
      <c r="J107">
        <v>22.255018329999999</v>
      </c>
    </row>
    <row r="108" spans="8:15">
      <c r="H108">
        <v>1670.8</v>
      </c>
      <c r="I108">
        <v>9.8038649570000008E-3</v>
      </c>
      <c r="J108">
        <v>22.255013219999999</v>
      </c>
    </row>
    <row r="109" spans="8:15">
      <c r="H109">
        <v>1670.8</v>
      </c>
      <c r="I109">
        <v>9.8038693299999993E-3</v>
      </c>
      <c r="J109">
        <v>22.254948259999999</v>
      </c>
    </row>
    <row r="110" spans="8:15">
      <c r="H110">
        <v>1670.8</v>
      </c>
      <c r="I110">
        <v>9.8038642170000002E-3</v>
      </c>
      <c r="J110">
        <v>22.255002730000001</v>
      </c>
    </row>
    <row r="111" spans="8:15">
      <c r="H111">
        <v>1670.8</v>
      </c>
      <c r="I111">
        <v>9.8038740400000005E-3</v>
      </c>
      <c r="J111">
        <v>22.255158949999998</v>
      </c>
    </row>
    <row r="112" spans="8:15">
      <c r="H112">
        <v>1670.8</v>
      </c>
      <c r="I112">
        <v>9.8038504020000004E-3</v>
      </c>
      <c r="J112">
        <v>22.25503634</v>
      </c>
    </row>
    <row r="113" spans="8:15">
      <c r="H113">
        <v>1670.8</v>
      </c>
      <c r="I113">
        <v>9.8038705689999991E-3</v>
      </c>
      <c r="J113">
        <v>22.255117179999999</v>
      </c>
    </row>
    <row r="114" spans="8:15">
      <c r="H114">
        <v>1670.8</v>
      </c>
      <c r="I114">
        <v>9.8038576010000007E-3</v>
      </c>
      <c r="J114">
        <v>22.255098</v>
      </c>
    </row>
    <row r="115" spans="8:15">
      <c r="H115">
        <v>1670.8</v>
      </c>
      <c r="I115">
        <v>9.8038736869999997E-3</v>
      </c>
      <c r="J115">
        <v>22.25506171</v>
      </c>
    </row>
    <row r="116" spans="8:15">
      <c r="H116">
        <v>1670.8</v>
      </c>
      <c r="I116">
        <v>9.8038634079999996E-3</v>
      </c>
      <c r="J116">
        <v>22.25527185</v>
      </c>
    </row>
    <row r="117" spans="8:15">
      <c r="H117">
        <v>1670.8</v>
      </c>
      <c r="I117">
        <v>9.8038709520000007E-3</v>
      </c>
      <c r="J117">
        <v>22.255098530000001</v>
      </c>
    </row>
    <row r="118" spans="8:15">
      <c r="H118">
        <v>1670.8</v>
      </c>
      <c r="I118">
        <v>9.8038719959999999E-3</v>
      </c>
      <c r="J118">
        <v>22.255270199999998</v>
      </c>
    </row>
    <row r="119" spans="8:15">
      <c r="H119">
        <v>1670.8</v>
      </c>
      <c r="I119">
        <v>9.8038576309999997E-3</v>
      </c>
      <c r="J119">
        <v>22.2552211</v>
      </c>
    </row>
    <row r="120" spans="8:15">
      <c r="H120" t="s">
        <v>1472</v>
      </c>
      <c r="I120">
        <v>1670.8</v>
      </c>
      <c r="J120" t="s">
        <v>1473</v>
      </c>
      <c r="K120">
        <v>22.25509124625</v>
      </c>
      <c r="L120">
        <v>1.18336912408361E-4</v>
      </c>
      <c r="M120" t="s">
        <v>1474</v>
      </c>
      <c r="N120">
        <v>9.8038665082499903E-3</v>
      </c>
      <c r="O120" s="312">
        <v>7.5228710165876207E-9</v>
      </c>
    </row>
    <row r="121" spans="8:15" ht="12.5" customHeight="1">
      <c r="H121" s="216" t="s">
        <v>1478</v>
      </c>
    </row>
    <row r="122" spans="8:15">
      <c r="H122">
        <v>1749.6</v>
      </c>
      <c r="I122">
        <v>9.8028242179999999E-3</v>
      </c>
      <c r="J122">
        <v>22.264434640000001</v>
      </c>
    </row>
    <row r="123" spans="8:15">
      <c r="H123">
        <v>1749.6</v>
      </c>
      <c r="I123">
        <v>9.8028316850000009E-3</v>
      </c>
      <c r="J123">
        <v>22.264579690000001</v>
      </c>
    </row>
    <row r="124" spans="8:15">
      <c r="H124">
        <v>1749.6</v>
      </c>
      <c r="I124">
        <v>9.8028278099999994E-3</v>
      </c>
      <c r="J124">
        <v>22.264392340000001</v>
      </c>
    </row>
    <row r="125" spans="8:15">
      <c r="H125">
        <v>1749.6</v>
      </c>
      <c r="I125">
        <v>9.8028430219999994E-3</v>
      </c>
      <c r="J125">
        <v>22.264328379999998</v>
      </c>
    </row>
    <row r="126" spans="8:15">
      <c r="H126">
        <v>1749.6</v>
      </c>
      <c r="I126">
        <v>9.8028935710000008E-3</v>
      </c>
      <c r="J126">
        <v>22.264930580000001</v>
      </c>
    </row>
    <row r="127" spans="8:15">
      <c r="H127">
        <v>1749.6</v>
      </c>
      <c r="I127">
        <v>9.8027692869999995E-3</v>
      </c>
      <c r="J127">
        <v>22.265670709999998</v>
      </c>
    </row>
    <row r="128" spans="8:15">
      <c r="H128">
        <v>1749.6</v>
      </c>
      <c r="I128">
        <v>9.8028457919999996E-3</v>
      </c>
      <c r="J128">
        <v>22.264284119999999</v>
      </c>
    </row>
    <row r="129" spans="8:15">
      <c r="H129">
        <v>1749.6</v>
      </c>
      <c r="I129">
        <v>9.8028252570000005E-3</v>
      </c>
      <c r="J129">
        <v>22.264363639999999</v>
      </c>
    </row>
    <row r="130" spans="8:15">
      <c r="H130">
        <v>1749.6</v>
      </c>
      <c r="I130">
        <v>9.802836681E-3</v>
      </c>
      <c r="J130">
        <v>22.26463918</v>
      </c>
    </row>
    <row r="131" spans="8:15">
      <c r="H131">
        <v>1749.6</v>
      </c>
      <c r="I131">
        <v>9.802850472E-3</v>
      </c>
      <c r="J131">
        <v>22.264599069999999</v>
      </c>
    </row>
    <row r="132" spans="8:15">
      <c r="H132">
        <v>1749.6</v>
      </c>
      <c r="I132">
        <v>9.8028490570000008E-3</v>
      </c>
      <c r="J132">
        <v>22.264377029999999</v>
      </c>
    </row>
    <row r="133" spans="8:15">
      <c r="H133">
        <v>1749.6</v>
      </c>
      <c r="I133">
        <v>9.8028201709999992E-3</v>
      </c>
      <c r="J133">
        <v>22.264606220000001</v>
      </c>
    </row>
    <row r="134" spans="8:15">
      <c r="H134">
        <v>1749.6</v>
      </c>
      <c r="I134">
        <v>9.8028158870000007E-3</v>
      </c>
      <c r="J134">
        <v>22.26481643</v>
      </c>
    </row>
    <row r="135" spans="8:15">
      <c r="H135">
        <v>1749.6</v>
      </c>
      <c r="I135">
        <v>9.8027231920000003E-3</v>
      </c>
      <c r="J135">
        <v>22.26458135</v>
      </c>
    </row>
    <row r="136" spans="8:15">
      <c r="H136">
        <v>1749.6</v>
      </c>
      <c r="I136">
        <v>9.8028561879999997E-3</v>
      </c>
      <c r="J136">
        <v>22.263709989999999</v>
      </c>
    </row>
    <row r="137" spans="8:15">
      <c r="H137">
        <v>1749.6</v>
      </c>
      <c r="I137">
        <v>9.8028452120000002E-3</v>
      </c>
      <c r="J137">
        <v>22.265012110000001</v>
      </c>
    </row>
    <row r="138" spans="8:15">
      <c r="H138" t="s">
        <v>1472</v>
      </c>
      <c r="I138">
        <v>1749.6</v>
      </c>
      <c r="J138" t="s">
        <v>1473</v>
      </c>
      <c r="K138">
        <v>22.264582842500001</v>
      </c>
      <c r="L138">
        <v>4.1727114921449198E-4</v>
      </c>
      <c r="M138" t="s">
        <v>1474</v>
      </c>
      <c r="N138">
        <v>9.8028285938750008E-3</v>
      </c>
      <c r="O138" s="312">
        <v>3.7970240111467397E-8</v>
      </c>
    </row>
    <row r="139" spans="8:15" ht="12.5" customHeight="1">
      <c r="H139" s="216" t="s">
        <v>1479</v>
      </c>
    </row>
    <row r="140" spans="8:15" ht="12.5" customHeight="1">
      <c r="H140" s="216" t="s">
        <v>1479</v>
      </c>
    </row>
    <row r="141" spans="8:15">
      <c r="H141" s="13">
        <v>45826</v>
      </c>
      <c r="I141" s="439">
        <v>0.672337962962963</v>
      </c>
    </row>
    <row r="142" spans="8:15">
      <c r="H142" t="s">
        <v>1480</v>
      </c>
    </row>
    <row r="143" spans="8:15">
      <c r="H143" t="s">
        <v>1464</v>
      </c>
      <c r="I143" t="s">
        <v>1465</v>
      </c>
    </row>
    <row r="144" spans="8:15">
      <c r="H144" t="s">
        <v>1466</v>
      </c>
      <c r="I144" t="s">
        <v>1481</v>
      </c>
    </row>
    <row r="145" spans="8:10">
      <c r="H145" t="s">
        <v>1468</v>
      </c>
      <c r="I145" t="s">
        <v>1469</v>
      </c>
    </row>
    <row r="146" spans="8:10">
      <c r="H146" s="13">
        <v>45826</v>
      </c>
      <c r="I146" s="439">
        <v>0.67611111111111111</v>
      </c>
    </row>
    <row r="147" spans="8:10">
      <c r="H147" t="s">
        <v>1470</v>
      </c>
      <c r="I147" t="s">
        <v>1471</v>
      </c>
    </row>
    <row r="148" spans="8:10">
      <c r="H148">
        <v>1432.4</v>
      </c>
      <c r="I148">
        <v>5.9356658089999999E-4</v>
      </c>
      <c r="J148">
        <v>3.541847497</v>
      </c>
    </row>
    <row r="149" spans="8:10">
      <c r="H149">
        <v>1432.4</v>
      </c>
      <c r="I149">
        <v>5.9356807849999995E-4</v>
      </c>
      <c r="J149">
        <v>3.541823425</v>
      </c>
    </row>
    <row r="150" spans="8:10">
      <c r="H150">
        <v>1432.4</v>
      </c>
      <c r="I150">
        <v>5.9356680629999998E-4</v>
      </c>
      <c r="J150">
        <v>3.541857239</v>
      </c>
    </row>
    <row r="151" spans="8:10">
      <c r="H151">
        <v>1432.4</v>
      </c>
      <c r="I151">
        <v>5.9356998980000005E-4</v>
      </c>
      <c r="J151">
        <v>3.5418091569999999</v>
      </c>
    </row>
    <row r="152" spans="8:10">
      <c r="H152">
        <v>1432.4</v>
      </c>
      <c r="I152">
        <v>5.9356421970000004E-4</v>
      </c>
      <c r="J152">
        <v>3.541828583</v>
      </c>
    </row>
    <row r="153" spans="8:10">
      <c r="H153">
        <v>1432.4</v>
      </c>
      <c r="I153">
        <v>5.9356977719999995E-4</v>
      </c>
      <c r="J153">
        <v>3.5418212630000001</v>
      </c>
    </row>
    <row r="154" spans="8:10">
      <c r="H154">
        <v>1432.4</v>
      </c>
      <c r="I154">
        <v>5.9356561239999996E-4</v>
      </c>
      <c r="J154">
        <v>3.5418458350000002</v>
      </c>
    </row>
    <row r="155" spans="8:10">
      <c r="H155">
        <v>1432.4</v>
      </c>
      <c r="I155">
        <v>5.9356680600000005E-4</v>
      </c>
      <c r="J155">
        <v>3.5418375270000002</v>
      </c>
    </row>
    <row r="156" spans="8:10">
      <c r="H156">
        <v>1432.4</v>
      </c>
      <c r="I156">
        <v>5.9356659830000005E-4</v>
      </c>
      <c r="J156">
        <v>3.5418353339999999</v>
      </c>
    </row>
    <row r="157" spans="8:10">
      <c r="H157">
        <v>1432.4</v>
      </c>
      <c r="I157">
        <v>5.9356488579999996E-4</v>
      </c>
      <c r="J157">
        <v>3.5418257280000001</v>
      </c>
    </row>
    <row r="158" spans="8:10">
      <c r="H158">
        <v>1432.4</v>
      </c>
      <c r="I158">
        <v>5.9356831130000004E-4</v>
      </c>
      <c r="J158">
        <v>3.541845812</v>
      </c>
    </row>
    <row r="159" spans="8:10">
      <c r="H159">
        <v>1432.4</v>
      </c>
      <c r="I159">
        <v>5.9356742280000001E-4</v>
      </c>
      <c r="J159">
        <v>3.5418120559999999</v>
      </c>
    </row>
    <row r="160" spans="8:10">
      <c r="H160">
        <v>1432.4</v>
      </c>
      <c r="I160">
        <v>5.935663452E-4</v>
      </c>
      <c r="J160">
        <v>3.54185404</v>
      </c>
    </row>
    <row r="161" spans="8:15">
      <c r="H161">
        <v>1432.4</v>
      </c>
      <c r="I161">
        <v>5.9356569210000003E-4</v>
      </c>
      <c r="J161">
        <v>3.5418220960000002</v>
      </c>
    </row>
    <row r="162" spans="8:15">
      <c r="H162">
        <v>1432.4</v>
      </c>
      <c r="I162">
        <v>5.9356774899999997E-4</v>
      </c>
      <c r="J162">
        <v>3.5418335139999999</v>
      </c>
    </row>
    <row r="163" spans="8:15">
      <c r="H163">
        <v>1432.4</v>
      </c>
      <c r="I163">
        <v>5.9356763180000004E-4</v>
      </c>
      <c r="J163">
        <v>3.5418343559999999</v>
      </c>
    </row>
    <row r="164" spans="8:15">
      <c r="H164" t="s">
        <v>1472</v>
      </c>
      <c r="I164">
        <v>1432.4</v>
      </c>
      <c r="J164" t="s">
        <v>1473</v>
      </c>
      <c r="K164">
        <v>3.5418333413749998</v>
      </c>
      <c r="L164" s="312">
        <v>1.41969588146205E-5</v>
      </c>
      <c r="M164" t="s">
        <v>1474</v>
      </c>
      <c r="N164">
        <v>5.9356703169374998E-4</v>
      </c>
      <c r="O164" s="312">
        <v>1.57763845307614E-9</v>
      </c>
    </row>
    <row r="165" spans="8:15" ht="12.5" customHeight="1">
      <c r="H165" s="216" t="s">
        <v>1482</v>
      </c>
    </row>
    <row r="166" spans="8:15">
      <c r="H166">
        <v>1512.4</v>
      </c>
      <c r="I166">
        <v>5.9353710390000003E-4</v>
      </c>
      <c r="J166">
        <v>3.5422847759999998</v>
      </c>
    </row>
    <row r="167" spans="8:15">
      <c r="H167">
        <v>1512.4</v>
      </c>
      <c r="I167">
        <v>5.9353472509999995E-4</v>
      </c>
      <c r="J167">
        <v>3.542273947</v>
      </c>
    </row>
    <row r="168" spans="8:15">
      <c r="H168">
        <v>1512.4</v>
      </c>
      <c r="I168">
        <v>5.9353619649999995E-4</v>
      </c>
      <c r="J168">
        <v>3.5422809790000001</v>
      </c>
    </row>
    <row r="169" spans="8:15">
      <c r="H169">
        <v>1512.4</v>
      </c>
      <c r="I169">
        <v>5.9353706460000004E-4</v>
      </c>
      <c r="J169">
        <v>3.542270808</v>
      </c>
    </row>
    <row r="170" spans="8:15">
      <c r="H170">
        <v>1512.4</v>
      </c>
      <c r="I170">
        <v>5.9353969009999996E-4</v>
      </c>
      <c r="J170">
        <v>3.5422581059999998</v>
      </c>
    </row>
    <row r="171" spans="8:15">
      <c r="H171">
        <v>1512.4</v>
      </c>
      <c r="I171">
        <v>5.9353512040000004E-4</v>
      </c>
      <c r="J171">
        <v>3.5422686689999998</v>
      </c>
    </row>
    <row r="172" spans="8:15">
      <c r="H172">
        <v>1512.4</v>
      </c>
      <c r="I172">
        <v>5.9353386879999997E-4</v>
      </c>
      <c r="J172">
        <v>3.5422967239999998</v>
      </c>
    </row>
    <row r="173" spans="8:15">
      <c r="H173">
        <v>1512.4</v>
      </c>
      <c r="I173">
        <v>5.9353528780000005E-4</v>
      </c>
      <c r="J173">
        <v>3.5422714979999999</v>
      </c>
    </row>
    <row r="174" spans="8:15">
      <c r="H174">
        <v>1512.4</v>
      </c>
      <c r="I174">
        <v>5.9353969889999996E-4</v>
      </c>
      <c r="J174">
        <v>3.5422996580000001</v>
      </c>
    </row>
    <row r="175" spans="8:15">
      <c r="H175">
        <v>1512.4</v>
      </c>
      <c r="I175">
        <v>5.9353551839999997E-4</v>
      </c>
      <c r="J175">
        <v>3.5422643790000001</v>
      </c>
    </row>
    <row r="176" spans="8:15">
      <c r="H176">
        <v>1512.4</v>
      </c>
      <c r="I176">
        <v>5.935372651E-4</v>
      </c>
      <c r="J176">
        <v>3.5422687970000002</v>
      </c>
    </row>
    <row r="177" spans="8:15">
      <c r="H177">
        <v>1512.4</v>
      </c>
      <c r="I177">
        <v>5.935313393E-4</v>
      </c>
      <c r="J177">
        <v>3.5422722709999999</v>
      </c>
    </row>
    <row r="178" spans="8:15">
      <c r="H178">
        <v>1512.4</v>
      </c>
      <c r="I178">
        <v>5.9353640939999999E-4</v>
      </c>
      <c r="J178">
        <v>3.5423010210000001</v>
      </c>
    </row>
    <row r="179" spans="8:15">
      <c r="H179">
        <v>1512.4</v>
      </c>
      <c r="I179">
        <v>5.9353516189999999E-4</v>
      </c>
      <c r="J179">
        <v>3.5422657970000002</v>
      </c>
    </row>
    <row r="180" spans="8:15">
      <c r="H180">
        <v>1512.4</v>
      </c>
      <c r="I180">
        <v>5.9353498369999998E-4</v>
      </c>
      <c r="J180">
        <v>3.5422715729999998</v>
      </c>
    </row>
    <row r="181" spans="8:15">
      <c r="H181">
        <v>1512.4</v>
      </c>
      <c r="I181">
        <v>5.9353651670000004E-4</v>
      </c>
      <c r="J181">
        <v>3.5422760040000001</v>
      </c>
    </row>
    <row r="182" spans="8:15">
      <c r="H182" t="s">
        <v>1472</v>
      </c>
      <c r="I182">
        <v>1512.4</v>
      </c>
      <c r="J182" t="s">
        <v>1473</v>
      </c>
      <c r="K182">
        <v>3.5422765629374999</v>
      </c>
      <c r="L182" s="312">
        <v>1.28111621615497E-5</v>
      </c>
      <c r="M182" t="s">
        <v>1474</v>
      </c>
      <c r="N182">
        <v>5.9353599691249999E-4</v>
      </c>
      <c r="O182" s="312">
        <v>2.0471417696759899E-9</v>
      </c>
    </row>
    <row r="183" spans="8:15" ht="12.5" customHeight="1">
      <c r="H183" s="216" t="s">
        <v>1483</v>
      </c>
    </row>
    <row r="184" spans="8:15">
      <c r="H184">
        <v>1591.5</v>
      </c>
      <c r="I184">
        <v>5.9350644659999998E-4</v>
      </c>
      <c r="J184">
        <v>3.5427012690000002</v>
      </c>
    </row>
    <row r="185" spans="8:15">
      <c r="H185">
        <v>1591.5</v>
      </c>
      <c r="I185">
        <v>5.9350564320000002E-4</v>
      </c>
      <c r="J185">
        <v>3.542706957</v>
      </c>
    </row>
    <row r="186" spans="8:15">
      <c r="H186">
        <v>1591.5</v>
      </c>
      <c r="I186">
        <v>5.9350461170000002E-4</v>
      </c>
      <c r="J186">
        <v>3.5427220340000001</v>
      </c>
    </row>
    <row r="187" spans="8:15">
      <c r="H187">
        <v>1591.5</v>
      </c>
      <c r="I187">
        <v>5.9350337579999995E-4</v>
      </c>
      <c r="J187">
        <v>3.5427480619999998</v>
      </c>
    </row>
    <row r="188" spans="8:15">
      <c r="H188">
        <v>1591.5</v>
      </c>
      <c r="I188">
        <v>5.9350246380000002E-4</v>
      </c>
      <c r="J188">
        <v>3.5427290259999999</v>
      </c>
    </row>
    <row r="189" spans="8:15">
      <c r="H189">
        <v>1591.5</v>
      </c>
      <c r="I189">
        <v>5.9350669340000001E-4</v>
      </c>
      <c r="J189">
        <v>3.5427222409999999</v>
      </c>
    </row>
    <row r="190" spans="8:15">
      <c r="H190">
        <v>1591.5</v>
      </c>
      <c r="I190">
        <v>5.9350552930000002E-4</v>
      </c>
      <c r="J190">
        <v>3.5426780359999999</v>
      </c>
    </row>
    <row r="191" spans="8:15">
      <c r="H191">
        <v>1591.5</v>
      </c>
      <c r="I191">
        <v>5.935030928E-4</v>
      </c>
      <c r="J191">
        <v>3.542690978</v>
      </c>
    </row>
    <row r="192" spans="8:15">
      <c r="H192">
        <v>1591.5</v>
      </c>
      <c r="I192">
        <v>5.9350585159999997E-4</v>
      </c>
      <c r="J192">
        <v>3.5426960850000002</v>
      </c>
    </row>
    <row r="193" spans="8:15">
      <c r="H193">
        <v>1591.5</v>
      </c>
      <c r="I193">
        <v>5.9350312379999998E-4</v>
      </c>
      <c r="J193">
        <v>3.5427070700000001</v>
      </c>
    </row>
    <row r="194" spans="8:15">
      <c r="H194">
        <v>1591.5</v>
      </c>
      <c r="I194">
        <v>5.9350273409999996E-4</v>
      </c>
      <c r="J194">
        <v>3.542726144</v>
      </c>
    </row>
    <row r="195" spans="8:15">
      <c r="H195">
        <v>1591.5</v>
      </c>
      <c r="I195">
        <v>5.9350555240000001E-4</v>
      </c>
      <c r="J195">
        <v>3.5426980929999998</v>
      </c>
    </row>
    <row r="196" spans="8:15">
      <c r="H196">
        <v>1591.5</v>
      </c>
      <c r="I196">
        <v>5.9350712569999995E-4</v>
      </c>
      <c r="J196">
        <v>3.5427243129999999</v>
      </c>
    </row>
    <row r="197" spans="8:15">
      <c r="H197">
        <v>1591.5</v>
      </c>
      <c r="I197">
        <v>5.935034669E-4</v>
      </c>
      <c r="J197">
        <v>3.5427205659999998</v>
      </c>
    </row>
    <row r="198" spans="8:15">
      <c r="H198">
        <v>1591.5</v>
      </c>
      <c r="I198">
        <v>5.9350361529999997E-4</v>
      </c>
      <c r="J198">
        <v>3.5427396189999998</v>
      </c>
    </row>
    <row r="199" spans="8:15">
      <c r="H199">
        <v>1591.5</v>
      </c>
      <c r="I199">
        <v>5.9350619350000003E-4</v>
      </c>
      <c r="J199">
        <v>3.5427448030000002</v>
      </c>
    </row>
    <row r="200" spans="8:15">
      <c r="H200" t="s">
        <v>1472</v>
      </c>
      <c r="I200">
        <v>1591.5</v>
      </c>
      <c r="J200" t="s">
        <v>1473</v>
      </c>
      <c r="K200">
        <v>3.5427159559999999</v>
      </c>
      <c r="L200" s="312">
        <v>2.0027412174289599E-5</v>
      </c>
      <c r="M200" t="s">
        <v>1474</v>
      </c>
      <c r="N200">
        <v>5.9350471999374997E-4</v>
      </c>
      <c r="O200" s="312">
        <v>1.5738237654315899E-9</v>
      </c>
    </row>
    <row r="201" spans="8:15" ht="12.5" customHeight="1">
      <c r="H201" s="216" t="s">
        <v>1484</v>
      </c>
    </row>
    <row r="202" spans="8:15">
      <c r="H202">
        <v>1670.8</v>
      </c>
      <c r="I202">
        <v>5.9347461110000001E-4</v>
      </c>
      <c r="J202">
        <v>3.5431347039999999</v>
      </c>
    </row>
    <row r="203" spans="8:15">
      <c r="H203">
        <v>1670.8</v>
      </c>
      <c r="I203">
        <v>5.9347078020000001E-4</v>
      </c>
      <c r="J203">
        <v>3.5431168820000001</v>
      </c>
    </row>
    <row r="204" spans="8:15">
      <c r="H204">
        <v>1670.8</v>
      </c>
      <c r="I204">
        <v>5.9347219200000005E-4</v>
      </c>
      <c r="J204">
        <v>3.5431321740000001</v>
      </c>
    </row>
    <row r="205" spans="8:15">
      <c r="H205">
        <v>1670.8</v>
      </c>
      <c r="I205">
        <v>5.9346976240000002E-4</v>
      </c>
      <c r="J205">
        <v>3.54313016</v>
      </c>
    </row>
    <row r="206" spans="8:15">
      <c r="H206">
        <v>1670.8</v>
      </c>
      <c r="I206">
        <v>5.9347115259999995E-4</v>
      </c>
      <c r="J206">
        <v>3.5431422490000002</v>
      </c>
    </row>
    <row r="207" spans="8:15">
      <c r="H207">
        <v>1670.8</v>
      </c>
      <c r="I207">
        <v>5.9347511879999999E-4</v>
      </c>
      <c r="J207">
        <v>3.5431463160000001</v>
      </c>
    </row>
    <row r="208" spans="8:15">
      <c r="H208">
        <v>1670.8</v>
      </c>
      <c r="I208">
        <v>5.9347180030000003E-4</v>
      </c>
      <c r="J208">
        <v>3.543122119</v>
      </c>
    </row>
    <row r="209" spans="8:15">
      <c r="H209">
        <v>1670.8</v>
      </c>
      <c r="I209">
        <v>5.9346965849999998E-4</v>
      </c>
      <c r="J209">
        <v>3.5431161329999998</v>
      </c>
    </row>
    <row r="210" spans="8:15">
      <c r="H210">
        <v>1670.8</v>
      </c>
      <c r="I210">
        <v>5.9347101699999997E-4</v>
      </c>
      <c r="J210">
        <v>3.5431015010000002</v>
      </c>
    </row>
    <row r="211" spans="8:15">
      <c r="H211">
        <v>1670.8</v>
      </c>
      <c r="I211">
        <v>5.9347073550000001E-4</v>
      </c>
      <c r="J211">
        <v>3.5431534469999999</v>
      </c>
    </row>
    <row r="212" spans="8:15">
      <c r="H212">
        <v>1670.8</v>
      </c>
      <c r="I212">
        <v>5.9347183939999996E-4</v>
      </c>
      <c r="J212">
        <v>3.5430929290000002</v>
      </c>
    </row>
    <row r="213" spans="8:15">
      <c r="H213">
        <v>1670.8</v>
      </c>
      <c r="I213">
        <v>5.9347102700000004E-4</v>
      </c>
      <c r="J213">
        <v>3.5431110829999999</v>
      </c>
    </row>
    <row r="214" spans="8:15">
      <c r="H214">
        <v>1670.8</v>
      </c>
      <c r="I214">
        <v>5.9347251670000001E-4</v>
      </c>
      <c r="J214">
        <v>3.5431336959999999</v>
      </c>
    </row>
    <row r="215" spans="8:15">
      <c r="H215">
        <v>1670.8</v>
      </c>
      <c r="I215">
        <v>5.9347218309999995E-4</v>
      </c>
      <c r="J215">
        <v>3.5431547330000002</v>
      </c>
    </row>
    <row r="216" spans="8:15">
      <c r="H216">
        <v>1670.8</v>
      </c>
      <c r="I216">
        <v>5.9347152200000001E-4</v>
      </c>
      <c r="J216">
        <v>3.5431599540000001</v>
      </c>
    </row>
    <row r="217" spans="8:15">
      <c r="H217">
        <v>1670.8</v>
      </c>
      <c r="I217">
        <v>5.9347223349999999E-4</v>
      </c>
      <c r="J217">
        <v>3.5431190080000001</v>
      </c>
    </row>
    <row r="218" spans="8:15">
      <c r="H218" t="s">
        <v>1472</v>
      </c>
      <c r="I218">
        <v>1670.8</v>
      </c>
      <c r="J218" t="s">
        <v>1473</v>
      </c>
      <c r="K218">
        <v>3.543129193</v>
      </c>
      <c r="L218" s="312">
        <v>1.9316158631215402E-5</v>
      </c>
      <c r="M218" t="s">
        <v>1474</v>
      </c>
      <c r="N218">
        <v>5.9347175938124998E-4</v>
      </c>
      <c r="O218" s="312">
        <v>1.4722295741359499E-9</v>
      </c>
    </row>
    <row r="219" spans="8:15" ht="12.5" customHeight="1">
      <c r="H219" s="216" t="s">
        <v>1485</v>
      </c>
    </row>
    <row r="220" spans="8:15">
      <c r="H220">
        <v>1749.6</v>
      </c>
      <c r="I220">
        <v>5.9343759910000001E-4</v>
      </c>
      <c r="J220">
        <v>3.5434942729999999</v>
      </c>
    </row>
    <row r="221" spans="8:15">
      <c r="H221">
        <v>1749.6</v>
      </c>
      <c r="I221">
        <v>5.9343682909999995E-4</v>
      </c>
      <c r="J221">
        <v>3.5435131000000002</v>
      </c>
    </row>
    <row r="222" spans="8:15">
      <c r="H222">
        <v>1749.6</v>
      </c>
      <c r="I222">
        <v>5.9343907540000001E-4</v>
      </c>
      <c r="J222">
        <v>3.5435331639999998</v>
      </c>
    </row>
    <row r="223" spans="8:15">
      <c r="H223">
        <v>1749.6</v>
      </c>
      <c r="I223">
        <v>5.9342548109999997E-4</v>
      </c>
      <c r="J223">
        <v>3.543677567</v>
      </c>
    </row>
    <row r="224" spans="8:15">
      <c r="H224">
        <v>1749.6</v>
      </c>
      <c r="I224">
        <v>5.9343248580000002E-4</v>
      </c>
      <c r="J224">
        <v>3.5436273979999999</v>
      </c>
    </row>
    <row r="225" spans="8:15">
      <c r="H225">
        <v>1749.6</v>
      </c>
      <c r="I225">
        <v>5.9343794889999996E-4</v>
      </c>
      <c r="J225">
        <v>3.5435025449999999</v>
      </c>
    </row>
    <row r="226" spans="8:15">
      <c r="H226">
        <v>1749.6</v>
      </c>
      <c r="I226">
        <v>5.9344262990000001E-4</v>
      </c>
      <c r="J226">
        <v>3.5435711410000001</v>
      </c>
    </row>
    <row r="227" spans="8:15">
      <c r="H227">
        <v>1749.6</v>
      </c>
      <c r="I227">
        <v>5.934336514E-4</v>
      </c>
      <c r="J227">
        <v>3.5434913689999998</v>
      </c>
    </row>
    <row r="228" spans="8:15">
      <c r="H228">
        <v>1749.6</v>
      </c>
      <c r="I228">
        <v>5.9344631390000004E-4</v>
      </c>
      <c r="J228">
        <v>3.54358583</v>
      </c>
    </row>
    <row r="229" spans="8:15">
      <c r="H229">
        <v>1749.6</v>
      </c>
      <c r="I229">
        <v>5.9343372940000002E-4</v>
      </c>
      <c r="J229">
        <v>3.5433811940000002</v>
      </c>
    </row>
    <row r="230" spans="8:15">
      <c r="H230">
        <v>1749.6</v>
      </c>
      <c r="I230">
        <v>5.93432479E-4</v>
      </c>
      <c r="J230">
        <v>3.54362602</v>
      </c>
    </row>
    <row r="231" spans="8:15">
      <c r="H231">
        <v>1749.6</v>
      </c>
      <c r="I231">
        <v>5.9344290099999999E-4</v>
      </c>
      <c r="J231">
        <v>3.5435571380000002</v>
      </c>
    </row>
    <row r="232" spans="8:15">
      <c r="H232">
        <v>1749.6</v>
      </c>
      <c r="I232">
        <v>5.9345224189999999E-4</v>
      </c>
      <c r="J232">
        <v>3.5435316590000001</v>
      </c>
    </row>
    <row r="233" spans="8:15">
      <c r="H233">
        <v>1749.6</v>
      </c>
      <c r="I233">
        <v>5.9344788360000001E-4</v>
      </c>
      <c r="J233">
        <v>3.5436231949999999</v>
      </c>
    </row>
    <row r="234" spans="8:15">
      <c r="H234">
        <v>1749.6</v>
      </c>
      <c r="I234">
        <v>5.9343738319999999E-4</v>
      </c>
      <c r="J234">
        <v>3.5435072860000001</v>
      </c>
    </row>
    <row r="235" spans="8:15">
      <c r="H235">
        <v>1749.6</v>
      </c>
      <c r="I235">
        <v>5.9343875399999997E-4</v>
      </c>
      <c r="J235">
        <v>3.543564629</v>
      </c>
    </row>
    <row r="236" spans="8:15">
      <c r="H236" t="s">
        <v>1472</v>
      </c>
      <c r="I236">
        <v>1749.6</v>
      </c>
      <c r="J236" t="s">
        <v>1473</v>
      </c>
      <c r="K236">
        <v>3.54354921925</v>
      </c>
      <c r="L236" s="312">
        <v>7.14062317443693E-5</v>
      </c>
      <c r="M236" t="s">
        <v>1474</v>
      </c>
      <c r="N236">
        <v>5.9343858666874999E-4</v>
      </c>
      <c r="O236" s="312">
        <v>6.6732596614415999E-9</v>
      </c>
    </row>
    <row r="237" spans="8:15" ht="12.5" customHeight="1">
      <c r="H237" s="216" t="s">
        <v>1486</v>
      </c>
    </row>
    <row r="238" spans="8:15" ht="12.5" customHeight="1">
      <c r="H238" s="216" t="s">
        <v>1486</v>
      </c>
    </row>
    <row r="239" spans="8:15">
      <c r="H239" s="13">
        <v>45826</v>
      </c>
      <c r="I239" s="439">
        <v>0.68032407407407403</v>
      </c>
    </row>
    <row r="240" spans="8:15">
      <c r="H240" t="s">
        <v>1480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FD095"/>
  </sheetPr>
  <dimension ref="A1:AI24"/>
  <sheetViews>
    <sheetView zoomScale="110" zoomScaleNormal="110" workbookViewId="0">
      <selection activeCell="P15" sqref="P15"/>
    </sheetView>
  </sheetViews>
  <sheetFormatPr defaultColWidth="8.6328125" defaultRowHeight="12.5"/>
  <cols>
    <col min="25" max="25" width="10.453125" customWidth="1"/>
    <col min="26" max="26" width="16.453125" customWidth="1"/>
    <col min="27" max="27" width="9.26953125" customWidth="1"/>
    <col min="28" max="28" width="13.26953125" customWidth="1"/>
    <col min="29" max="29" width="11" customWidth="1"/>
    <col min="31" max="31" width="12.7265625" customWidth="1"/>
  </cols>
  <sheetData>
    <row r="1" spans="1:35">
      <c r="A1" s="52" t="s">
        <v>39</v>
      </c>
      <c r="B1" s="52" t="s">
        <v>76</v>
      </c>
      <c r="C1" s="52" t="s">
        <v>41</v>
      </c>
      <c r="D1" s="52" t="s">
        <v>77</v>
      </c>
      <c r="E1" s="52" t="s">
        <v>78</v>
      </c>
      <c r="F1" s="52" t="s">
        <v>79</v>
      </c>
      <c r="G1" s="52" t="s">
        <v>80</v>
      </c>
      <c r="H1" s="52" t="s">
        <v>81</v>
      </c>
      <c r="I1" s="52" t="s">
        <v>82</v>
      </c>
      <c r="J1" s="52" t="s">
        <v>83</v>
      </c>
      <c r="K1" s="52" t="s">
        <v>84</v>
      </c>
      <c r="L1" s="52" t="s">
        <v>85</v>
      </c>
      <c r="M1" s="52" t="s">
        <v>86</v>
      </c>
      <c r="N1" s="52" t="s">
        <v>87</v>
      </c>
      <c r="O1" s="52" t="s">
        <v>88</v>
      </c>
      <c r="P1" s="52" t="s">
        <v>89</v>
      </c>
      <c r="Q1" s="52" t="s">
        <v>90</v>
      </c>
      <c r="R1" s="52" t="s">
        <v>91</v>
      </c>
      <c r="S1" s="52" t="s">
        <v>92</v>
      </c>
      <c r="T1" s="52" t="s">
        <v>93</v>
      </c>
      <c r="U1" s="52" t="s">
        <v>94</v>
      </c>
      <c r="V1" s="52" t="s">
        <v>95</v>
      </c>
      <c r="W1" s="52" t="s">
        <v>96</v>
      </c>
      <c r="X1" s="52" t="s">
        <v>97</v>
      </c>
      <c r="Y1" s="52" t="s">
        <v>98</v>
      </c>
      <c r="Z1" s="53" t="s">
        <v>99</v>
      </c>
      <c r="AA1" s="53" t="s">
        <v>100</v>
      </c>
      <c r="AB1" s="53" t="s">
        <v>101</v>
      </c>
      <c r="AC1" s="53" t="s">
        <v>102</v>
      </c>
      <c r="AD1" s="53" t="s">
        <v>103</v>
      </c>
      <c r="AE1" s="53" t="s">
        <v>104</v>
      </c>
      <c r="AF1" s="53" t="s">
        <v>105</v>
      </c>
      <c r="AG1" s="53" t="s">
        <v>106</v>
      </c>
      <c r="AH1" s="53" t="s">
        <v>103</v>
      </c>
      <c r="AI1" s="53" t="s">
        <v>107</v>
      </c>
    </row>
    <row r="2" spans="1:35">
      <c r="A2" t="s">
        <v>53</v>
      </c>
      <c r="B2">
        <v>1591.5</v>
      </c>
      <c r="C2" t="s">
        <v>54</v>
      </c>
      <c r="D2">
        <v>-1</v>
      </c>
      <c r="E2">
        <v>-10</v>
      </c>
      <c r="F2">
        <v>1592.54</v>
      </c>
      <c r="G2">
        <v>20.76</v>
      </c>
      <c r="H2">
        <v>0.5</v>
      </c>
      <c r="I2">
        <v>10</v>
      </c>
      <c r="J2">
        <v>2.0000000000000002E-5</v>
      </c>
      <c r="K2">
        <v>9.9999999999999995E-7</v>
      </c>
      <c r="L2">
        <v>10</v>
      </c>
      <c r="M2">
        <v>4.0000000000000001E-3</v>
      </c>
      <c r="N2">
        <v>2.0000000000000001E-4</v>
      </c>
      <c r="O2">
        <v>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1.2558554260412519E-8</v>
      </c>
      <c r="W2">
        <v>1.2558554260412409E-4</v>
      </c>
      <c r="X2" s="54">
        <f t="shared" ref="X2:X23" si="0">Q2/V2</f>
        <v>0</v>
      </c>
      <c r="Y2" s="54">
        <f t="shared" ref="Y2:Y23" si="1">T2/W2</f>
        <v>0</v>
      </c>
      <c r="Z2" s="55" t="str">
        <f t="shared" ref="Z2:Z23" si="2">A2&amp;B2</f>
        <v>coax zero1591.5</v>
      </c>
      <c r="AA2" s="56">
        <v>1</v>
      </c>
      <c r="AB2" s="57">
        <f t="shared" ref="AB2:AB23" si="3">AA2*S2</f>
        <v>0</v>
      </c>
      <c r="AC2" s="58">
        <f t="shared" ref="AC2:AC23" si="4">AA2*T2</f>
        <v>0</v>
      </c>
      <c r="AD2" s="59">
        <f t="shared" ref="AD2:AD23" si="5">U2</f>
        <v>0</v>
      </c>
      <c r="AE2" s="56">
        <v>1000000</v>
      </c>
      <c r="AF2" s="56">
        <f t="shared" ref="AF2:AF23" si="6">AE2*P2</f>
        <v>0</v>
      </c>
      <c r="AG2" s="59">
        <f t="shared" ref="AG2:AG23" si="7">AE2*Q2</f>
        <v>0</v>
      </c>
      <c r="AH2" s="60">
        <f t="shared" ref="AH2:AH23" si="8">R2</f>
        <v>0</v>
      </c>
      <c r="AI2" s="60">
        <f t="shared" ref="AI2:AI23" si="9">B2</f>
        <v>1591.5</v>
      </c>
    </row>
    <row r="3" spans="1:35">
      <c r="A3" t="s">
        <v>55</v>
      </c>
      <c r="B3">
        <v>1591.5</v>
      </c>
      <c r="C3" t="s">
        <v>54</v>
      </c>
      <c r="D3">
        <v>99364</v>
      </c>
      <c r="E3">
        <v>571520</v>
      </c>
      <c r="F3">
        <v>1592.34</v>
      </c>
      <c r="G3">
        <v>20.88</v>
      </c>
      <c r="H3">
        <v>0.5</v>
      </c>
      <c r="I3">
        <v>10</v>
      </c>
      <c r="J3">
        <v>2.0000000000000002E-5</v>
      </c>
      <c r="K3">
        <v>9.9999999999999995E-7</v>
      </c>
      <c r="L3">
        <v>10</v>
      </c>
      <c r="M3">
        <v>4.0000000000000001E-3</v>
      </c>
      <c r="N3">
        <v>2.0000000000000001E-4</v>
      </c>
      <c r="O3">
        <v>10</v>
      </c>
      <c r="P3">
        <v>9.938649750420572E-4</v>
      </c>
      <c r="Q3">
        <v>6.3258198933207022E-8</v>
      </c>
      <c r="R3">
        <v>1.9889168717910559</v>
      </c>
      <c r="S3">
        <v>5.7357592962286388</v>
      </c>
      <c r="T3">
        <v>3.3901538921475398E-2</v>
      </c>
      <c r="U3">
        <v>2.0825444242390252</v>
      </c>
      <c r="V3">
        <v>1.959632738417589E-8</v>
      </c>
      <c r="W3">
        <v>1.7904086482645529E-4</v>
      </c>
      <c r="X3" s="54">
        <f t="shared" si="0"/>
        <v>3.2280639985780328</v>
      </c>
      <c r="Y3" s="54">
        <f t="shared" si="1"/>
        <v>189.35084431331492</v>
      </c>
      <c r="Z3" s="55" t="str">
        <f t="shared" si="2"/>
        <v>A11591.5</v>
      </c>
      <c r="AA3" s="56">
        <v>1</v>
      </c>
      <c r="AB3" s="57">
        <f t="shared" si="3"/>
        <v>5.7357592962286388</v>
      </c>
      <c r="AC3" s="58">
        <f t="shared" si="4"/>
        <v>3.3901538921475398E-2</v>
      </c>
      <c r="AD3" s="59">
        <f t="shared" si="5"/>
        <v>2.0825444242390252</v>
      </c>
      <c r="AE3" s="56">
        <v>1000000</v>
      </c>
      <c r="AF3" s="56">
        <f t="shared" si="6"/>
        <v>993.86497504205715</v>
      </c>
      <c r="AG3" s="59">
        <f t="shared" si="7"/>
        <v>6.3258198933207027E-2</v>
      </c>
      <c r="AH3" s="60">
        <f t="shared" si="8"/>
        <v>1.9889168717910559</v>
      </c>
      <c r="AI3" s="60">
        <f t="shared" si="9"/>
        <v>1591.5</v>
      </c>
    </row>
    <row r="4" spans="1:35">
      <c r="A4" t="s">
        <v>56</v>
      </c>
      <c r="B4">
        <v>1591.5</v>
      </c>
      <c r="C4" t="s">
        <v>54</v>
      </c>
      <c r="D4">
        <v>197974</v>
      </c>
      <c r="E4">
        <v>841874</v>
      </c>
      <c r="F4">
        <v>1592.19</v>
      </c>
      <c r="G4">
        <v>20.87</v>
      </c>
      <c r="H4">
        <v>0.5</v>
      </c>
      <c r="I4">
        <v>10</v>
      </c>
      <c r="J4">
        <v>2.0000000000000002E-5</v>
      </c>
      <c r="K4">
        <v>9.9999999999999995E-7</v>
      </c>
      <c r="L4">
        <v>10</v>
      </c>
      <c r="M4">
        <v>4.0000000000000001E-3</v>
      </c>
      <c r="N4">
        <v>2.0000000000000001E-4</v>
      </c>
      <c r="O4">
        <v>10</v>
      </c>
      <c r="P4">
        <v>1.9801779207982459E-3</v>
      </c>
      <c r="Q4">
        <v>9.8608198838152702E-8</v>
      </c>
      <c r="R4">
        <v>2.0001778434559538</v>
      </c>
      <c r="S4">
        <v>8.4486406672406922</v>
      </c>
      <c r="T4">
        <v>4.9860012356856373E-2</v>
      </c>
      <c r="U4">
        <v>2.0836310582527289</v>
      </c>
      <c r="V4">
        <v>3.1578034400115267E-8</v>
      </c>
      <c r="W4">
        <v>2.6245216756171932E-4</v>
      </c>
      <c r="X4" s="54">
        <f t="shared" si="0"/>
        <v>3.122683242051087</v>
      </c>
      <c r="Y4" s="54">
        <f t="shared" si="1"/>
        <v>189.97752169500026</v>
      </c>
      <c r="Z4" s="55" t="str">
        <f t="shared" si="2"/>
        <v>A21591.5</v>
      </c>
      <c r="AA4" s="56">
        <v>1</v>
      </c>
      <c r="AB4" s="57">
        <f t="shared" si="3"/>
        <v>8.4486406672406922</v>
      </c>
      <c r="AC4" s="58">
        <f t="shared" si="4"/>
        <v>4.9860012356856373E-2</v>
      </c>
      <c r="AD4" s="59">
        <f t="shared" si="5"/>
        <v>2.0836310582527289</v>
      </c>
      <c r="AE4" s="56">
        <v>1000000</v>
      </c>
      <c r="AF4" s="56">
        <f t="shared" si="6"/>
        <v>1980.1779207982459</v>
      </c>
      <c r="AG4" s="59">
        <f t="shared" si="7"/>
        <v>9.8608198838152708E-2</v>
      </c>
      <c r="AH4" s="60">
        <f t="shared" si="8"/>
        <v>2.0001778434559538</v>
      </c>
      <c r="AI4" s="60">
        <f t="shared" si="9"/>
        <v>1591.5</v>
      </c>
    </row>
    <row r="5" spans="1:35">
      <c r="A5" t="s">
        <v>57</v>
      </c>
      <c r="B5">
        <v>1591.5</v>
      </c>
      <c r="C5" t="s">
        <v>54</v>
      </c>
      <c r="D5">
        <v>296819</v>
      </c>
      <c r="E5">
        <v>1070422</v>
      </c>
      <c r="F5">
        <v>1593.41</v>
      </c>
      <c r="G5">
        <v>20.65</v>
      </c>
      <c r="H5">
        <v>0.5</v>
      </c>
      <c r="I5">
        <v>10</v>
      </c>
      <c r="J5">
        <v>2.0000000000000002E-5</v>
      </c>
      <c r="K5">
        <v>9.9999999999999995E-7</v>
      </c>
      <c r="L5">
        <v>10</v>
      </c>
      <c r="M5">
        <v>4.0000000000000001E-3</v>
      </c>
      <c r="N5">
        <v>2.0000000000000001E-4</v>
      </c>
      <c r="O5">
        <v>10</v>
      </c>
      <c r="P5">
        <v>2.968828510640445E-3</v>
      </c>
      <c r="Q5">
        <v>1.383413166376137E-7</v>
      </c>
      <c r="R5">
        <v>2.0100637951404861</v>
      </c>
      <c r="S5">
        <v>10.73279053586719</v>
      </c>
      <c r="T5">
        <v>6.3325694030062926E-2</v>
      </c>
      <c r="U5">
        <v>2.084403447128536</v>
      </c>
      <c r="V5">
        <v>4.4717058347790909E-8</v>
      </c>
      <c r="W5">
        <v>3.554595236114312E-4</v>
      </c>
      <c r="X5" s="54">
        <f t="shared" si="0"/>
        <v>3.093703426590626</v>
      </c>
      <c r="Y5" s="54">
        <f t="shared" si="1"/>
        <v>178.15163140568177</v>
      </c>
      <c r="Z5" s="55" t="str">
        <f t="shared" si="2"/>
        <v>A31591.5</v>
      </c>
      <c r="AA5" s="56">
        <v>1</v>
      </c>
      <c r="AB5" s="57">
        <f t="shared" si="3"/>
        <v>10.73279053586719</v>
      </c>
      <c r="AC5" s="58">
        <f t="shared" si="4"/>
        <v>6.3325694030062926E-2</v>
      </c>
      <c r="AD5" s="59">
        <f t="shared" si="5"/>
        <v>2.084403447128536</v>
      </c>
      <c r="AE5" s="56">
        <v>1000000</v>
      </c>
      <c r="AF5" s="56">
        <f t="shared" si="6"/>
        <v>2968.8285106404451</v>
      </c>
      <c r="AG5" s="59">
        <f t="shared" si="7"/>
        <v>0.1383413166376137</v>
      </c>
      <c r="AH5" s="60">
        <f t="shared" si="8"/>
        <v>2.0100637951404861</v>
      </c>
      <c r="AI5" s="60">
        <f t="shared" si="9"/>
        <v>1591.5</v>
      </c>
    </row>
    <row r="6" spans="1:35">
      <c r="A6" t="s">
        <v>58</v>
      </c>
      <c r="B6">
        <v>1591.5</v>
      </c>
      <c r="C6" t="s">
        <v>54</v>
      </c>
      <c r="D6">
        <v>394747</v>
      </c>
      <c r="E6">
        <v>1269967</v>
      </c>
      <c r="F6">
        <v>1592.77</v>
      </c>
      <c r="G6">
        <v>20.76</v>
      </c>
      <c r="H6">
        <v>0.5</v>
      </c>
      <c r="I6">
        <v>10</v>
      </c>
      <c r="J6">
        <v>2.0000000000000002E-5</v>
      </c>
      <c r="K6">
        <v>9.9999999999999995E-7</v>
      </c>
      <c r="L6">
        <v>10</v>
      </c>
      <c r="M6">
        <v>4.0000000000000001E-3</v>
      </c>
      <c r="N6">
        <v>2.0000000000000001E-4</v>
      </c>
      <c r="O6">
        <v>10</v>
      </c>
      <c r="P6">
        <v>3.948324557499619E-3</v>
      </c>
      <c r="Q6">
        <v>1.7909502927231231E-7</v>
      </c>
      <c r="R6">
        <v>2.0155571307363842</v>
      </c>
      <c r="S6">
        <v>12.73913611821704</v>
      </c>
      <c r="T6">
        <v>7.5136262193447267E-2</v>
      </c>
      <c r="U6">
        <v>2.084352610130221</v>
      </c>
      <c r="V6">
        <v>5.8089246079965102E-8</v>
      </c>
      <c r="W6">
        <v>4.5085394315708382E-4</v>
      </c>
      <c r="X6" s="54">
        <f t="shared" si="0"/>
        <v>3.0831012856626128</v>
      </c>
      <c r="Y6" s="54">
        <f t="shared" si="1"/>
        <v>166.653221811279</v>
      </c>
      <c r="Z6" s="55" t="str">
        <f t="shared" si="2"/>
        <v>A41591.5</v>
      </c>
      <c r="AA6" s="56">
        <v>1</v>
      </c>
      <c r="AB6" s="57">
        <f t="shared" si="3"/>
        <v>12.73913611821704</v>
      </c>
      <c r="AC6" s="58">
        <f t="shared" si="4"/>
        <v>7.5136262193447267E-2</v>
      </c>
      <c r="AD6" s="59">
        <f t="shared" si="5"/>
        <v>2.084352610130221</v>
      </c>
      <c r="AE6" s="56">
        <v>1000000</v>
      </c>
      <c r="AF6" s="56">
        <f t="shared" si="6"/>
        <v>3948.324557499619</v>
      </c>
      <c r="AG6" s="59">
        <f t="shared" si="7"/>
        <v>0.1790950292723123</v>
      </c>
      <c r="AH6" s="60">
        <f t="shared" si="8"/>
        <v>2.0155571307363842</v>
      </c>
      <c r="AI6" s="60">
        <f t="shared" si="9"/>
        <v>1591.5</v>
      </c>
    </row>
    <row r="7" spans="1:35">
      <c r="A7" t="s">
        <v>59</v>
      </c>
      <c r="B7">
        <v>1591.5</v>
      </c>
      <c r="C7" t="s">
        <v>54</v>
      </c>
      <c r="D7">
        <v>493101</v>
      </c>
      <c r="E7">
        <v>1447708</v>
      </c>
      <c r="F7">
        <v>1592.47</v>
      </c>
      <c r="G7">
        <v>20.82</v>
      </c>
      <c r="H7">
        <v>0.5</v>
      </c>
      <c r="I7">
        <v>10</v>
      </c>
      <c r="J7">
        <v>2.0000000000000002E-5</v>
      </c>
      <c r="K7">
        <v>9.9999999999999995E-7</v>
      </c>
      <c r="L7">
        <v>10</v>
      </c>
      <c r="M7">
        <v>4.0000000000000001E-3</v>
      </c>
      <c r="N7">
        <v>2.0000000000000001E-4</v>
      </c>
      <c r="O7">
        <v>10</v>
      </c>
      <c r="P7">
        <v>4.9320809028518542E-3</v>
      </c>
      <c r="Q7">
        <v>2.205547454115338E-7</v>
      </c>
      <c r="R7">
        <v>2.0188845501629968</v>
      </c>
      <c r="S7">
        <v>14.52553039453252</v>
      </c>
      <c r="T7">
        <v>8.565778934897407E-2</v>
      </c>
      <c r="U7">
        <v>2.0843071464463678</v>
      </c>
      <c r="V7">
        <v>7.1658558307688587E-8</v>
      </c>
      <c r="W7">
        <v>5.478157465464991E-4</v>
      </c>
      <c r="X7" s="54">
        <f t="shared" si="0"/>
        <v>3.0778563038417901</v>
      </c>
      <c r="Y7" s="54">
        <f t="shared" si="1"/>
        <v>156.36240814356248</v>
      </c>
      <c r="Z7" s="55" t="str">
        <f t="shared" si="2"/>
        <v>A51591.5</v>
      </c>
      <c r="AA7" s="56">
        <v>1</v>
      </c>
      <c r="AB7" s="57">
        <f t="shared" si="3"/>
        <v>14.52553039453252</v>
      </c>
      <c r="AC7" s="58">
        <f t="shared" si="4"/>
        <v>8.565778934897407E-2</v>
      </c>
      <c r="AD7" s="59">
        <f t="shared" si="5"/>
        <v>2.0843071464463678</v>
      </c>
      <c r="AE7" s="56">
        <v>1000000</v>
      </c>
      <c r="AF7" s="56">
        <f t="shared" si="6"/>
        <v>4932.0809028518543</v>
      </c>
      <c r="AG7" s="59">
        <f t="shared" si="7"/>
        <v>0.2205547454115338</v>
      </c>
      <c r="AH7" s="60">
        <f t="shared" si="8"/>
        <v>2.0188845501629968</v>
      </c>
      <c r="AI7" s="60">
        <f t="shared" si="9"/>
        <v>1591.5</v>
      </c>
    </row>
    <row r="8" spans="1:35">
      <c r="A8" t="s">
        <v>60</v>
      </c>
      <c r="B8">
        <v>1591.5</v>
      </c>
      <c r="C8" t="s">
        <v>54</v>
      </c>
      <c r="D8">
        <v>591332</v>
      </c>
      <c r="E8">
        <v>1617418</v>
      </c>
      <c r="F8">
        <v>1591.8</v>
      </c>
      <c r="G8">
        <v>20.66</v>
      </c>
      <c r="H8">
        <v>0.5</v>
      </c>
      <c r="I8">
        <v>10</v>
      </c>
      <c r="J8">
        <v>2.0000000000000002E-5</v>
      </c>
      <c r="K8">
        <v>9.9999999999999995E-7</v>
      </c>
      <c r="L8">
        <v>10</v>
      </c>
      <c r="M8">
        <v>4.0000000000000001E-3</v>
      </c>
      <c r="N8">
        <v>2.0000000000000001E-4</v>
      </c>
      <c r="O8">
        <v>10</v>
      </c>
      <c r="P8">
        <v>5.914583319280832E-3</v>
      </c>
      <c r="Q8">
        <v>2.6221215333918978E-7</v>
      </c>
      <c r="R8">
        <v>2.0210772593615358</v>
      </c>
      <c r="S8">
        <v>16.217946257901708</v>
      </c>
      <c r="T8">
        <v>9.5650588519753749E-2</v>
      </c>
      <c r="U8">
        <v>2.0846630825370029</v>
      </c>
      <c r="V8">
        <v>8.529844679300829E-8</v>
      </c>
      <c r="W8">
        <v>6.4566202521335275E-4</v>
      </c>
      <c r="X8" s="54">
        <f t="shared" si="0"/>
        <v>3.0740554277089451</v>
      </c>
      <c r="Y8" s="54">
        <f t="shared" si="1"/>
        <v>148.14343229826306</v>
      </c>
      <c r="Z8" s="55" t="str">
        <f t="shared" si="2"/>
        <v>A61591.5</v>
      </c>
      <c r="AA8" s="56">
        <v>1</v>
      </c>
      <c r="AB8" s="57">
        <f t="shared" si="3"/>
        <v>16.217946257901708</v>
      </c>
      <c r="AC8" s="58">
        <f t="shared" si="4"/>
        <v>9.5650588519753749E-2</v>
      </c>
      <c r="AD8" s="59">
        <f t="shared" si="5"/>
        <v>2.0846630825370029</v>
      </c>
      <c r="AE8" s="56">
        <v>1000000</v>
      </c>
      <c r="AF8" s="56">
        <f t="shared" si="6"/>
        <v>5914.5833192808323</v>
      </c>
      <c r="AG8" s="59">
        <f t="shared" si="7"/>
        <v>0.26221215333918979</v>
      </c>
      <c r="AH8" s="60">
        <f t="shared" si="8"/>
        <v>2.0210772593615358</v>
      </c>
      <c r="AI8" s="60">
        <f t="shared" si="9"/>
        <v>1591.5</v>
      </c>
    </row>
    <row r="9" spans="1:35">
      <c r="A9" t="s">
        <v>61</v>
      </c>
      <c r="B9">
        <v>1591.5</v>
      </c>
      <c r="C9" t="s">
        <v>54</v>
      </c>
      <c r="D9">
        <v>688992</v>
      </c>
      <c r="E9">
        <v>1782538</v>
      </c>
      <c r="F9">
        <v>1591.74</v>
      </c>
      <c r="G9">
        <v>20.62</v>
      </c>
      <c r="H9">
        <v>0.5</v>
      </c>
      <c r="I9">
        <v>10</v>
      </c>
      <c r="J9">
        <v>2.0000000000000002E-5</v>
      </c>
      <c r="K9">
        <v>9.9999999999999995E-7</v>
      </c>
      <c r="L9">
        <v>10</v>
      </c>
      <c r="M9">
        <v>4.0000000000000001E-3</v>
      </c>
      <c r="N9">
        <v>2.0000000000000001E-4</v>
      </c>
      <c r="O9">
        <v>10</v>
      </c>
      <c r="P9">
        <v>6.8913847948223984E-3</v>
      </c>
      <c r="Q9">
        <v>3.038564685841916E-7</v>
      </c>
      <c r="R9">
        <v>2.0225240453167079</v>
      </c>
      <c r="S9">
        <v>17.870751855306661</v>
      </c>
      <c r="T9">
        <v>0.1054008155992668</v>
      </c>
      <c r="U9">
        <v>2.0847608071097841</v>
      </c>
      <c r="V9">
        <v>9.8912447070528952E-8</v>
      </c>
      <c r="W9">
        <v>7.4362057159557899E-4</v>
      </c>
      <c r="X9" s="54">
        <f t="shared" si="0"/>
        <v>3.0719740293911491</v>
      </c>
      <c r="Y9" s="54">
        <f t="shared" si="1"/>
        <v>141.74004811769711</v>
      </c>
      <c r="Z9" s="55" t="str">
        <f t="shared" si="2"/>
        <v>A71591.5</v>
      </c>
      <c r="AA9" s="56">
        <v>1</v>
      </c>
      <c r="AB9" s="57">
        <f t="shared" si="3"/>
        <v>17.870751855306661</v>
      </c>
      <c r="AC9" s="58">
        <f t="shared" si="4"/>
        <v>0.1054008155992668</v>
      </c>
      <c r="AD9" s="59">
        <f t="shared" si="5"/>
        <v>2.0847608071097841</v>
      </c>
      <c r="AE9" s="56">
        <v>1000000</v>
      </c>
      <c r="AF9" s="56">
        <f t="shared" si="6"/>
        <v>6891.3847948223984</v>
      </c>
      <c r="AG9" s="59">
        <f t="shared" si="7"/>
        <v>0.30385646858419163</v>
      </c>
      <c r="AH9" s="60">
        <f t="shared" si="8"/>
        <v>2.0225240453167079</v>
      </c>
      <c r="AI9" s="60">
        <f t="shared" si="9"/>
        <v>1591.5</v>
      </c>
    </row>
    <row r="10" spans="1:35">
      <c r="A10" t="s">
        <v>62</v>
      </c>
      <c r="B10">
        <v>1591.5</v>
      </c>
      <c r="C10" t="s">
        <v>54</v>
      </c>
      <c r="D10">
        <v>786206</v>
      </c>
      <c r="E10">
        <v>1934775</v>
      </c>
      <c r="F10">
        <v>1591.67</v>
      </c>
      <c r="G10">
        <v>20.68</v>
      </c>
      <c r="H10">
        <v>0.5</v>
      </c>
      <c r="I10">
        <v>10</v>
      </c>
      <c r="J10">
        <v>2.0000000000000002E-5</v>
      </c>
      <c r="K10">
        <v>9.9999999999999995E-7</v>
      </c>
      <c r="L10">
        <v>10</v>
      </c>
      <c r="M10">
        <v>4.0000000000000001E-3</v>
      </c>
      <c r="N10">
        <v>2.0000000000000001E-4</v>
      </c>
      <c r="O10">
        <v>10</v>
      </c>
      <c r="P10">
        <v>7.8637394965871323E-3</v>
      </c>
      <c r="Q10">
        <v>3.454162091409386E-7</v>
      </c>
      <c r="R10">
        <v>2.023557685631626</v>
      </c>
      <c r="S10">
        <v>19.401632017610389</v>
      </c>
      <c r="T10">
        <v>0.1144163515642007</v>
      </c>
      <c r="U10">
        <v>2.0846760115457168</v>
      </c>
      <c r="V10">
        <v>1.1248215625510781E-7</v>
      </c>
      <c r="W10">
        <v>8.4114984393973246E-4</v>
      </c>
      <c r="X10" s="54">
        <f t="shared" si="0"/>
        <v>3.0708533748014211</v>
      </c>
      <c r="Y10" s="54">
        <f t="shared" si="1"/>
        <v>136.02374462593198</v>
      </c>
      <c r="Z10" s="55" t="str">
        <f t="shared" si="2"/>
        <v>A81591.5</v>
      </c>
      <c r="AA10" s="56">
        <v>1</v>
      </c>
      <c r="AB10" s="57">
        <f t="shared" si="3"/>
        <v>19.401632017610389</v>
      </c>
      <c r="AC10" s="58">
        <f t="shared" si="4"/>
        <v>0.1144163515642007</v>
      </c>
      <c r="AD10" s="59">
        <f t="shared" si="5"/>
        <v>2.0846760115457168</v>
      </c>
      <c r="AE10" s="56">
        <v>1000000</v>
      </c>
      <c r="AF10" s="56">
        <f t="shared" si="6"/>
        <v>7863.7394965871326</v>
      </c>
      <c r="AG10" s="59">
        <f t="shared" si="7"/>
        <v>0.34541620914093862</v>
      </c>
      <c r="AH10" s="60">
        <f t="shared" si="8"/>
        <v>2.023557685631626</v>
      </c>
      <c r="AI10" s="60">
        <f t="shared" si="9"/>
        <v>1591.5</v>
      </c>
    </row>
    <row r="11" spans="1:35">
      <c r="A11" t="s">
        <v>63</v>
      </c>
      <c r="B11">
        <v>1591.5</v>
      </c>
      <c r="C11" t="s">
        <v>54</v>
      </c>
      <c r="D11">
        <v>883126</v>
      </c>
      <c r="E11">
        <v>2081205</v>
      </c>
      <c r="F11">
        <v>1591.51</v>
      </c>
      <c r="G11">
        <v>20.72</v>
      </c>
      <c r="H11">
        <v>0.5</v>
      </c>
      <c r="I11">
        <v>10</v>
      </c>
      <c r="J11">
        <v>2.0000000000000002E-5</v>
      </c>
      <c r="K11">
        <v>9.9999999999999995E-7</v>
      </c>
      <c r="L11">
        <v>10</v>
      </c>
      <c r="M11">
        <v>4.0000000000000001E-3</v>
      </c>
      <c r="N11">
        <v>2.0000000000000001E-4</v>
      </c>
      <c r="O11">
        <v>10</v>
      </c>
      <c r="P11">
        <v>8.8331523709129743E-3</v>
      </c>
      <c r="Q11">
        <v>3.8691703619491379E-7</v>
      </c>
      <c r="R11">
        <v>2.0243344607454081</v>
      </c>
      <c r="S11">
        <v>20.87333253981658</v>
      </c>
      <c r="T11">
        <v>0.12308676624159</v>
      </c>
      <c r="U11">
        <v>2.0846132778675401</v>
      </c>
      <c r="V11">
        <v>1.2602958910353611E-7</v>
      </c>
      <c r="W11">
        <v>9.3857315013764521E-4</v>
      </c>
      <c r="X11" s="54">
        <f t="shared" si="0"/>
        <v>3.0700491761268287</v>
      </c>
      <c r="Y11" s="54">
        <f t="shared" si="1"/>
        <v>131.14243276993261</v>
      </c>
      <c r="Z11" s="55" t="str">
        <f t="shared" si="2"/>
        <v>A91591.5</v>
      </c>
      <c r="AA11" s="56">
        <v>1</v>
      </c>
      <c r="AB11" s="57">
        <f t="shared" si="3"/>
        <v>20.87333253981658</v>
      </c>
      <c r="AC11" s="58">
        <f t="shared" si="4"/>
        <v>0.12308676624159</v>
      </c>
      <c r="AD11" s="59">
        <f t="shared" si="5"/>
        <v>2.0846132778675401</v>
      </c>
      <c r="AE11" s="56">
        <v>1000000</v>
      </c>
      <c r="AF11" s="56">
        <f t="shared" si="6"/>
        <v>8833.1523709129742</v>
      </c>
      <c r="AG11" s="59">
        <f t="shared" si="7"/>
        <v>0.3869170361949138</v>
      </c>
      <c r="AH11" s="60">
        <f t="shared" si="8"/>
        <v>2.0243344607454081</v>
      </c>
      <c r="AI11" s="60">
        <f t="shared" si="9"/>
        <v>1591.5</v>
      </c>
    </row>
    <row r="12" spans="1:35">
      <c r="A12" t="s">
        <v>64</v>
      </c>
      <c r="B12">
        <v>1591.5</v>
      </c>
      <c r="C12" t="s">
        <v>54</v>
      </c>
      <c r="D12">
        <v>980165</v>
      </c>
      <c r="E12">
        <v>2229664</v>
      </c>
      <c r="F12">
        <v>1592.88</v>
      </c>
      <c r="G12">
        <v>20.73</v>
      </c>
      <c r="H12">
        <v>0.5</v>
      </c>
      <c r="I12">
        <v>10</v>
      </c>
      <c r="J12">
        <v>2.0000000000000002E-5</v>
      </c>
      <c r="K12">
        <v>9.9999999999999995E-7</v>
      </c>
      <c r="L12">
        <v>10</v>
      </c>
      <c r="M12">
        <v>4.0000000000000001E-3</v>
      </c>
      <c r="N12">
        <v>2.0000000000000001E-4</v>
      </c>
      <c r="O12">
        <v>10</v>
      </c>
      <c r="P12">
        <v>9.8037511687069784E-3</v>
      </c>
      <c r="Q12">
        <v>4.2853713698025041E-7</v>
      </c>
      <c r="R12">
        <v>2.0249271391750812</v>
      </c>
      <c r="S12">
        <v>22.363178804122249</v>
      </c>
      <c r="T12">
        <v>0.13186920248735701</v>
      </c>
      <c r="U12">
        <v>2.0846013154906009</v>
      </c>
      <c r="V12">
        <v>1.3961559410678381E-7</v>
      </c>
      <c r="W12">
        <v>1.0364947779387111E-3</v>
      </c>
      <c r="X12" s="54">
        <f t="shared" si="0"/>
        <v>3.0694073947963676</v>
      </c>
      <c r="Y12" s="54">
        <f t="shared" si="1"/>
        <v>127.22611371917067</v>
      </c>
      <c r="Z12" s="55" t="str">
        <f t="shared" si="2"/>
        <v>A101591.5</v>
      </c>
      <c r="AA12" s="56">
        <v>1</v>
      </c>
      <c r="AB12" s="57">
        <f t="shared" si="3"/>
        <v>22.363178804122249</v>
      </c>
      <c r="AC12" s="58">
        <f t="shared" si="4"/>
        <v>0.13186920248735701</v>
      </c>
      <c r="AD12" s="59">
        <f t="shared" si="5"/>
        <v>2.0846013154906009</v>
      </c>
      <c r="AE12" s="56">
        <v>1000000</v>
      </c>
      <c r="AF12" s="56">
        <f t="shared" si="6"/>
        <v>9803.7511687069782</v>
      </c>
      <c r="AG12" s="59">
        <f t="shared" si="7"/>
        <v>0.42853713698025042</v>
      </c>
      <c r="AH12" s="60">
        <f t="shared" si="8"/>
        <v>2.0249271391750812</v>
      </c>
      <c r="AI12" s="60">
        <f t="shared" si="9"/>
        <v>1591.5</v>
      </c>
    </row>
    <row r="13" spans="1:35">
      <c r="A13" t="s">
        <v>53</v>
      </c>
      <c r="B13">
        <v>1591.5</v>
      </c>
      <c r="C13" t="s">
        <v>65</v>
      </c>
      <c r="D13">
        <v>-3</v>
      </c>
      <c r="E13">
        <v>-12</v>
      </c>
      <c r="F13">
        <v>1593.08</v>
      </c>
      <c r="G13">
        <v>20.79</v>
      </c>
      <c r="H13">
        <v>0.5</v>
      </c>
      <c r="I13">
        <v>10</v>
      </c>
      <c r="J13">
        <v>2.0000000000000002E-5</v>
      </c>
      <c r="K13">
        <v>9.9999999999999995E-7</v>
      </c>
      <c r="L13">
        <v>10</v>
      </c>
      <c r="M13">
        <v>4.0000000000000001E-3</v>
      </c>
      <c r="N13">
        <v>2.0000000000000001E-4</v>
      </c>
      <c r="O13">
        <v>10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1.255429734357996E-9</v>
      </c>
      <c r="W13">
        <v>1.2554297340688171E-5</v>
      </c>
      <c r="X13" s="54">
        <f t="shared" si="0"/>
        <v>0</v>
      </c>
      <c r="Y13" s="54">
        <f t="shared" si="1"/>
        <v>0</v>
      </c>
      <c r="Z13" s="55" t="str">
        <f t="shared" si="2"/>
        <v>coax zero1591.5</v>
      </c>
      <c r="AA13" s="56">
        <v>1</v>
      </c>
      <c r="AB13" s="57">
        <f t="shared" si="3"/>
        <v>0</v>
      </c>
      <c r="AC13" s="58">
        <f t="shared" si="4"/>
        <v>0</v>
      </c>
      <c r="AD13" s="59">
        <f t="shared" si="5"/>
        <v>0</v>
      </c>
      <c r="AE13" s="56">
        <v>1000000</v>
      </c>
      <c r="AF13" s="56">
        <f t="shared" si="6"/>
        <v>0</v>
      </c>
      <c r="AG13" s="59">
        <f t="shared" si="7"/>
        <v>0</v>
      </c>
      <c r="AH13" s="60">
        <f t="shared" si="8"/>
        <v>0</v>
      </c>
      <c r="AI13" s="60">
        <f t="shared" si="9"/>
        <v>1591.5</v>
      </c>
    </row>
    <row r="14" spans="1:35">
      <c r="A14" t="s">
        <v>66</v>
      </c>
      <c r="B14">
        <v>1591.5</v>
      </c>
      <c r="C14" t="s">
        <v>65</v>
      </c>
      <c r="D14">
        <v>99109</v>
      </c>
      <c r="E14">
        <v>1168727</v>
      </c>
      <c r="F14">
        <v>1593.85</v>
      </c>
      <c r="G14">
        <v>20.69</v>
      </c>
      <c r="H14">
        <v>0.5</v>
      </c>
      <c r="I14">
        <v>10</v>
      </c>
      <c r="J14">
        <v>2.0000000000000002E-5</v>
      </c>
      <c r="K14">
        <v>9.9999999999999995E-7</v>
      </c>
      <c r="L14">
        <v>10</v>
      </c>
      <c r="M14">
        <v>4.0000000000000001E-3</v>
      </c>
      <c r="N14">
        <v>2.0000000000000001E-4</v>
      </c>
      <c r="O14">
        <v>10</v>
      </c>
      <c r="P14">
        <v>9.9133066043642629E-5</v>
      </c>
      <c r="Q14">
        <v>7.2194808691327052E-9</v>
      </c>
      <c r="R14">
        <v>1.9977067859750011</v>
      </c>
      <c r="S14">
        <v>1.172034527716707</v>
      </c>
      <c r="T14">
        <v>6.9132554870001452E-3</v>
      </c>
      <c r="U14">
        <v>2.0844940430929171</v>
      </c>
      <c r="V14">
        <v>2.2060509226335779E-9</v>
      </c>
      <c r="W14">
        <v>2.2879595674819352E-5</v>
      </c>
      <c r="X14" s="54">
        <f t="shared" si="0"/>
        <v>3.2725812423740916</v>
      </c>
      <c r="Y14" s="54">
        <f t="shared" si="1"/>
        <v>302.15811438524162</v>
      </c>
      <c r="Z14" s="55" t="str">
        <f t="shared" si="2"/>
        <v>B11591.5</v>
      </c>
      <c r="AA14" s="56">
        <v>1</v>
      </c>
      <c r="AB14" s="57">
        <f t="shared" si="3"/>
        <v>1.172034527716707</v>
      </c>
      <c r="AC14" s="58">
        <f t="shared" si="4"/>
        <v>6.9132554870001452E-3</v>
      </c>
      <c r="AD14" s="59">
        <f t="shared" si="5"/>
        <v>2.0844940430929171</v>
      </c>
      <c r="AE14" s="56">
        <v>1000000</v>
      </c>
      <c r="AF14" s="56">
        <f t="shared" si="6"/>
        <v>99.133066043642629</v>
      </c>
      <c r="AG14" s="59">
        <f t="shared" si="7"/>
        <v>7.2194808691327054E-3</v>
      </c>
      <c r="AH14" s="60">
        <f t="shared" si="8"/>
        <v>1.9977067859750011</v>
      </c>
      <c r="AI14" s="60">
        <f t="shared" si="9"/>
        <v>1591.5</v>
      </c>
    </row>
    <row r="15" spans="1:35">
      <c r="A15" t="s">
        <v>67</v>
      </c>
      <c r="B15">
        <v>1591.5</v>
      </c>
      <c r="C15" t="s">
        <v>65</v>
      </c>
      <c r="D15">
        <v>198937</v>
      </c>
      <c r="E15">
        <v>1743376</v>
      </c>
      <c r="F15">
        <v>1593.64</v>
      </c>
      <c r="G15">
        <v>20.72</v>
      </c>
      <c r="H15">
        <v>0.5</v>
      </c>
      <c r="I15">
        <v>10</v>
      </c>
      <c r="J15">
        <v>2.0000000000000002E-5</v>
      </c>
      <c r="K15">
        <v>9.9999999999999995E-7</v>
      </c>
      <c r="L15">
        <v>10</v>
      </c>
      <c r="M15">
        <v>4.0000000000000001E-3</v>
      </c>
      <c r="N15">
        <v>2.0000000000000001E-4</v>
      </c>
      <c r="O15">
        <v>10</v>
      </c>
      <c r="P15">
        <v>1.9898240369918411E-4</v>
      </c>
      <c r="Q15">
        <v>1.1174351565750181E-8</v>
      </c>
      <c r="R15">
        <v>2.0028069294659452</v>
      </c>
      <c r="S15">
        <v>1.748513116268172</v>
      </c>
      <c r="T15">
        <v>1.0309353158519399E-2</v>
      </c>
      <c r="U15">
        <v>2.0847048519438101</v>
      </c>
      <c r="V15">
        <v>3.517766954420546E-9</v>
      </c>
      <c r="W15">
        <v>3.3899879038559067E-5</v>
      </c>
      <c r="X15" s="54">
        <f t="shared" si="0"/>
        <v>3.1765468578605267</v>
      </c>
      <c r="Y15" s="54">
        <f t="shared" si="1"/>
        <v>304.11179776757115</v>
      </c>
      <c r="Z15" s="55" t="str">
        <f t="shared" si="2"/>
        <v>B21591.5</v>
      </c>
      <c r="AA15" s="56">
        <v>1</v>
      </c>
      <c r="AB15" s="57">
        <f t="shared" si="3"/>
        <v>1.748513116268172</v>
      </c>
      <c r="AC15" s="58">
        <f t="shared" si="4"/>
        <v>1.0309353158519399E-2</v>
      </c>
      <c r="AD15" s="59">
        <f t="shared" si="5"/>
        <v>2.0847048519438101</v>
      </c>
      <c r="AE15" s="56">
        <v>1000000</v>
      </c>
      <c r="AF15" s="56">
        <f t="shared" si="6"/>
        <v>198.98240369918412</v>
      </c>
      <c r="AG15" s="59">
        <f t="shared" si="7"/>
        <v>1.117435156575018E-2</v>
      </c>
      <c r="AH15" s="60">
        <f t="shared" si="8"/>
        <v>2.0028069294659452</v>
      </c>
      <c r="AI15" s="60">
        <f t="shared" si="9"/>
        <v>1591.5</v>
      </c>
    </row>
    <row r="16" spans="1:35">
      <c r="A16" t="s">
        <v>68</v>
      </c>
      <c r="B16">
        <v>1591.5</v>
      </c>
      <c r="C16" t="s">
        <v>65</v>
      </c>
      <c r="D16">
        <v>298138</v>
      </c>
      <c r="E16">
        <v>2213587</v>
      </c>
      <c r="F16">
        <v>1593.08</v>
      </c>
      <c r="G16">
        <v>20.73</v>
      </c>
      <c r="H16">
        <v>0.5</v>
      </c>
      <c r="I16">
        <v>10</v>
      </c>
      <c r="J16">
        <v>2.0000000000000002E-5</v>
      </c>
      <c r="K16">
        <v>9.9999999999999995E-7</v>
      </c>
      <c r="L16">
        <v>10</v>
      </c>
      <c r="M16">
        <v>4.0000000000000001E-3</v>
      </c>
      <c r="N16">
        <v>2.0000000000000001E-4</v>
      </c>
      <c r="O16">
        <v>10</v>
      </c>
      <c r="P16">
        <v>2.9820460787291199E-4</v>
      </c>
      <c r="Q16">
        <v>1.5342528737054979E-8</v>
      </c>
      <c r="R16">
        <v>2.0065452579153722</v>
      </c>
      <c r="S16">
        <v>2.2201949748129679</v>
      </c>
      <c r="T16">
        <v>1.3088803552488331E-2</v>
      </c>
      <c r="U16">
        <v>2.0847654272913272</v>
      </c>
      <c r="V16">
        <v>4.889303554941122E-9</v>
      </c>
      <c r="W16">
        <v>4.4803286522286133E-5</v>
      </c>
      <c r="X16" s="54">
        <f t="shared" si="0"/>
        <v>3.1379783571731488</v>
      </c>
      <c r="Y16" s="54">
        <f t="shared" si="1"/>
        <v>292.13936227597219</v>
      </c>
      <c r="Z16" s="55" t="str">
        <f t="shared" si="2"/>
        <v>B31591.5</v>
      </c>
      <c r="AA16" s="56">
        <v>1</v>
      </c>
      <c r="AB16" s="57">
        <f t="shared" si="3"/>
        <v>2.2201949748129679</v>
      </c>
      <c r="AC16" s="58">
        <f t="shared" si="4"/>
        <v>1.3088803552488331E-2</v>
      </c>
      <c r="AD16" s="59">
        <f t="shared" si="5"/>
        <v>2.0847654272913272</v>
      </c>
      <c r="AE16" s="56">
        <v>1000000</v>
      </c>
      <c r="AF16" s="56">
        <f t="shared" si="6"/>
        <v>298.20460787291199</v>
      </c>
      <c r="AG16" s="59">
        <f t="shared" si="7"/>
        <v>1.5342528737054979E-2</v>
      </c>
      <c r="AH16" s="60">
        <f t="shared" si="8"/>
        <v>2.0065452579153722</v>
      </c>
      <c r="AI16" s="60">
        <f t="shared" si="9"/>
        <v>1591.5</v>
      </c>
    </row>
    <row r="17" spans="1:35">
      <c r="A17" t="s">
        <v>69</v>
      </c>
      <c r="B17">
        <v>1591.5</v>
      </c>
      <c r="C17" t="s">
        <v>65</v>
      </c>
      <c r="D17">
        <v>396394</v>
      </c>
      <c r="E17">
        <v>2803515</v>
      </c>
      <c r="F17">
        <v>1593.56</v>
      </c>
      <c r="G17">
        <v>20.68</v>
      </c>
      <c r="H17">
        <v>0.5</v>
      </c>
      <c r="I17">
        <v>10</v>
      </c>
      <c r="J17">
        <v>2.0000000000000002E-5</v>
      </c>
      <c r="K17">
        <v>9.9999999999999995E-7</v>
      </c>
      <c r="L17">
        <v>10</v>
      </c>
      <c r="M17">
        <v>4.0000000000000001E-3</v>
      </c>
      <c r="N17">
        <v>2.0000000000000001E-4</v>
      </c>
      <c r="O17">
        <v>10</v>
      </c>
      <c r="P17">
        <v>3.964811741642766E-4</v>
      </c>
      <c r="Q17">
        <v>1.9829357109760541E-8</v>
      </c>
      <c r="R17">
        <v>2.0094056256725401</v>
      </c>
      <c r="S17">
        <v>2.8113200865464911</v>
      </c>
      <c r="T17">
        <v>1.6573666332454402E-2</v>
      </c>
      <c r="U17">
        <v>2.0849078581774041</v>
      </c>
      <c r="V17">
        <v>6.3439071763514892E-9</v>
      </c>
      <c r="W17">
        <v>5.718484248905658E-5</v>
      </c>
      <c r="X17" s="54">
        <f t="shared" si="0"/>
        <v>3.1257325428214746</v>
      </c>
      <c r="Y17" s="54">
        <f t="shared" si="1"/>
        <v>289.82621287496056</v>
      </c>
      <c r="Z17" s="55" t="str">
        <f t="shared" si="2"/>
        <v>B41591.5</v>
      </c>
      <c r="AA17" s="56">
        <v>1</v>
      </c>
      <c r="AB17" s="57">
        <f t="shared" si="3"/>
        <v>2.8113200865464911</v>
      </c>
      <c r="AC17" s="58">
        <f t="shared" si="4"/>
        <v>1.6573666332454402E-2</v>
      </c>
      <c r="AD17" s="59">
        <f t="shared" si="5"/>
        <v>2.0849078581774041</v>
      </c>
      <c r="AE17" s="56">
        <v>1000000</v>
      </c>
      <c r="AF17" s="56">
        <f t="shared" si="6"/>
        <v>396.48117416427658</v>
      </c>
      <c r="AG17" s="59">
        <f t="shared" si="7"/>
        <v>1.982935710976054E-2</v>
      </c>
      <c r="AH17" s="60">
        <f t="shared" si="8"/>
        <v>2.0094056256725401</v>
      </c>
      <c r="AI17" s="60">
        <f t="shared" si="9"/>
        <v>1591.5</v>
      </c>
    </row>
    <row r="18" spans="1:35">
      <c r="A18" t="s">
        <v>70</v>
      </c>
      <c r="B18">
        <v>1591.5</v>
      </c>
      <c r="C18" t="s">
        <v>65</v>
      </c>
      <c r="D18">
        <v>494345</v>
      </c>
      <c r="E18">
        <v>3190209</v>
      </c>
      <c r="F18">
        <v>1593.49</v>
      </c>
      <c r="G18">
        <v>20.84</v>
      </c>
      <c r="H18">
        <v>0.5</v>
      </c>
      <c r="I18">
        <v>10</v>
      </c>
      <c r="J18">
        <v>2.0000000000000002E-5</v>
      </c>
      <c r="K18">
        <v>9.9999999999999995E-7</v>
      </c>
      <c r="L18">
        <v>10</v>
      </c>
      <c r="M18">
        <v>4.0000000000000001E-3</v>
      </c>
      <c r="N18">
        <v>2.0000000000000001E-4</v>
      </c>
      <c r="O18">
        <v>10</v>
      </c>
      <c r="P18">
        <v>4.9445455610507818E-4</v>
      </c>
      <c r="Q18">
        <v>2.404810476611745E-8</v>
      </c>
      <c r="R18">
        <v>2.0108967844449741</v>
      </c>
      <c r="S18">
        <v>3.2011308566969361</v>
      </c>
      <c r="T18">
        <v>1.886781778695339E-2</v>
      </c>
      <c r="U18">
        <v>2.0846060285408892</v>
      </c>
      <c r="V18">
        <v>7.724692106717571E-9</v>
      </c>
      <c r="W18">
        <v>6.7803283597935555E-5</v>
      </c>
      <c r="X18" s="54">
        <f t="shared" si="0"/>
        <v>3.1131473505856189</v>
      </c>
      <c r="Y18" s="54">
        <f t="shared" si="1"/>
        <v>278.27292109976617</v>
      </c>
      <c r="Z18" s="55" t="str">
        <f t="shared" si="2"/>
        <v>B51591.5</v>
      </c>
      <c r="AA18" s="56">
        <v>1</v>
      </c>
      <c r="AB18" s="57">
        <f t="shared" si="3"/>
        <v>3.2011308566969361</v>
      </c>
      <c r="AC18" s="58">
        <f t="shared" si="4"/>
        <v>1.886781778695339E-2</v>
      </c>
      <c r="AD18" s="59">
        <f t="shared" si="5"/>
        <v>2.0846060285408892</v>
      </c>
      <c r="AE18" s="56">
        <v>1000000</v>
      </c>
      <c r="AF18" s="56">
        <f t="shared" si="6"/>
        <v>494.45455610507821</v>
      </c>
      <c r="AG18" s="59">
        <f t="shared" si="7"/>
        <v>2.4048104766117448E-2</v>
      </c>
      <c r="AH18" s="60">
        <f t="shared" si="8"/>
        <v>2.0108967844449741</v>
      </c>
      <c r="AI18" s="60">
        <f t="shared" si="9"/>
        <v>1591.5</v>
      </c>
    </row>
    <row r="19" spans="1:35">
      <c r="A19" t="s">
        <v>71</v>
      </c>
      <c r="B19">
        <v>1591.5</v>
      </c>
      <c r="C19" t="s">
        <v>65</v>
      </c>
      <c r="D19">
        <v>593381</v>
      </c>
      <c r="E19">
        <v>3553499</v>
      </c>
      <c r="F19">
        <v>1593.17</v>
      </c>
      <c r="G19">
        <v>20.85</v>
      </c>
      <c r="H19">
        <v>0.5</v>
      </c>
      <c r="I19">
        <v>10</v>
      </c>
      <c r="J19">
        <v>2.0000000000000002E-5</v>
      </c>
      <c r="K19">
        <v>9.9999999999999995E-7</v>
      </c>
      <c r="L19">
        <v>10</v>
      </c>
      <c r="M19">
        <v>4.0000000000000001E-3</v>
      </c>
      <c r="N19">
        <v>2.0000000000000001E-4</v>
      </c>
      <c r="O19">
        <v>10</v>
      </c>
      <c r="P19">
        <v>5.9351202190329518E-4</v>
      </c>
      <c r="Q19">
        <v>2.8324386837305561E-8</v>
      </c>
      <c r="R19">
        <v>2.012228083043158</v>
      </c>
      <c r="S19">
        <v>3.5658053819058551</v>
      </c>
      <c r="T19">
        <v>2.1016807573875348E-2</v>
      </c>
      <c r="U19">
        <v>2.0845932365420601</v>
      </c>
      <c r="V19">
        <v>9.1238160018055372E-9</v>
      </c>
      <c r="W19">
        <v>7.8455458666546631E-5</v>
      </c>
      <c r="X19" s="54">
        <f t="shared" si="0"/>
        <v>3.1044452049121078</v>
      </c>
      <c r="Y19" s="54">
        <f t="shared" si="1"/>
        <v>267.88203053150852</v>
      </c>
      <c r="Z19" s="55" t="str">
        <f t="shared" si="2"/>
        <v>B61591.5</v>
      </c>
      <c r="AA19" s="56">
        <v>1</v>
      </c>
      <c r="AB19" s="57">
        <f t="shared" si="3"/>
        <v>3.5658053819058551</v>
      </c>
      <c r="AC19" s="58">
        <f t="shared" si="4"/>
        <v>2.1016807573875348E-2</v>
      </c>
      <c r="AD19" s="59">
        <f t="shared" si="5"/>
        <v>2.0845932365420601</v>
      </c>
      <c r="AE19" s="56">
        <v>1000000</v>
      </c>
      <c r="AF19" s="56">
        <f t="shared" si="6"/>
        <v>593.51202190329514</v>
      </c>
      <c r="AG19" s="59">
        <f t="shared" si="7"/>
        <v>2.8324386837305562E-2</v>
      </c>
      <c r="AH19" s="60">
        <f t="shared" si="8"/>
        <v>2.012228083043158</v>
      </c>
      <c r="AI19" s="60">
        <f t="shared" si="9"/>
        <v>1591.5</v>
      </c>
    </row>
    <row r="20" spans="1:35">
      <c r="A20" t="s">
        <v>72</v>
      </c>
      <c r="B20">
        <v>1591.5</v>
      </c>
      <c r="C20" t="s">
        <v>65</v>
      </c>
      <c r="D20">
        <v>691176</v>
      </c>
      <c r="E20">
        <v>3910839</v>
      </c>
      <c r="F20">
        <v>1593.32</v>
      </c>
      <c r="G20">
        <v>20.86</v>
      </c>
      <c r="H20">
        <v>0.5</v>
      </c>
      <c r="I20">
        <v>10</v>
      </c>
      <c r="J20">
        <v>2.0000000000000002E-5</v>
      </c>
      <c r="K20">
        <v>9.9999999999999995E-7</v>
      </c>
      <c r="L20">
        <v>10</v>
      </c>
      <c r="M20">
        <v>4.0000000000000001E-3</v>
      </c>
      <c r="N20">
        <v>2.0000000000000001E-4</v>
      </c>
      <c r="O20">
        <v>10</v>
      </c>
      <c r="P20">
        <v>6.9132825933113204E-4</v>
      </c>
      <c r="Q20">
        <v>3.2580895459696032E-8</v>
      </c>
      <c r="R20">
        <v>2.0133195397674881</v>
      </c>
      <c r="S20">
        <v>3.9245381482470889</v>
      </c>
      <c r="T20">
        <v>2.313079450209015E-2</v>
      </c>
      <c r="U20">
        <v>2.0845771133560742</v>
      </c>
      <c r="V20">
        <v>1.0513956990462881E-8</v>
      </c>
      <c r="W20">
        <v>8.9077582062566956E-5</v>
      </c>
      <c r="X20" s="54">
        <f t="shared" si="0"/>
        <v>3.0988233534957277</v>
      </c>
      <c r="Y20" s="54">
        <f t="shared" si="1"/>
        <v>259.67021069165725</v>
      </c>
      <c r="Z20" s="55" t="str">
        <f t="shared" si="2"/>
        <v>B71591.5</v>
      </c>
      <c r="AA20" s="56">
        <v>1</v>
      </c>
      <c r="AB20" s="57">
        <f t="shared" si="3"/>
        <v>3.9245381482470889</v>
      </c>
      <c r="AC20" s="58">
        <f t="shared" si="4"/>
        <v>2.313079450209015E-2</v>
      </c>
      <c r="AD20" s="59">
        <f t="shared" si="5"/>
        <v>2.0845771133560742</v>
      </c>
      <c r="AE20" s="56">
        <v>1000000</v>
      </c>
      <c r="AF20" s="56">
        <f t="shared" si="6"/>
        <v>691.32825933113202</v>
      </c>
      <c r="AG20" s="59">
        <f t="shared" si="7"/>
        <v>3.258089545969603E-2</v>
      </c>
      <c r="AH20" s="60">
        <f t="shared" si="8"/>
        <v>2.0133195397674881</v>
      </c>
      <c r="AI20" s="60">
        <f t="shared" si="9"/>
        <v>1591.5</v>
      </c>
    </row>
    <row r="21" spans="1:35">
      <c r="A21" t="s">
        <v>73</v>
      </c>
      <c r="B21">
        <v>1591.5</v>
      </c>
      <c r="C21" t="s">
        <v>65</v>
      </c>
      <c r="D21">
        <v>788907</v>
      </c>
      <c r="E21">
        <v>4213640</v>
      </c>
      <c r="F21">
        <v>1593.89</v>
      </c>
      <c r="G21">
        <v>20.69</v>
      </c>
      <c r="H21">
        <v>0.5</v>
      </c>
      <c r="I21">
        <v>10</v>
      </c>
      <c r="J21">
        <v>2.0000000000000002E-5</v>
      </c>
      <c r="K21">
        <v>9.9999999999999995E-7</v>
      </c>
      <c r="L21">
        <v>10</v>
      </c>
      <c r="M21">
        <v>4.0000000000000001E-3</v>
      </c>
      <c r="N21">
        <v>2.0000000000000001E-4</v>
      </c>
      <c r="O21">
        <v>10</v>
      </c>
      <c r="P21">
        <v>7.8907768142155764E-4</v>
      </c>
      <c r="Q21">
        <v>3.6778941215891287E-8</v>
      </c>
      <c r="R21">
        <v>2.0144041958362329</v>
      </c>
      <c r="S21">
        <v>4.225533444709284</v>
      </c>
      <c r="T21">
        <v>2.4909422496714202E-2</v>
      </c>
      <c r="U21">
        <v>2.0849235320663029</v>
      </c>
      <c r="V21">
        <v>1.188971098725204E-8</v>
      </c>
      <c r="W21">
        <v>9.9317747858670714E-5</v>
      </c>
      <c r="X21" s="54">
        <f t="shared" si="0"/>
        <v>3.0933419033755394</v>
      </c>
      <c r="Y21" s="54">
        <f t="shared" si="1"/>
        <v>250.80534983697316</v>
      </c>
      <c r="Z21" s="55" t="str">
        <f t="shared" si="2"/>
        <v>B81591.5</v>
      </c>
      <c r="AA21" s="56">
        <v>1</v>
      </c>
      <c r="AB21" s="57">
        <f t="shared" si="3"/>
        <v>4.225533444709284</v>
      </c>
      <c r="AC21" s="58">
        <f t="shared" si="4"/>
        <v>2.4909422496714202E-2</v>
      </c>
      <c r="AD21" s="59">
        <f t="shared" si="5"/>
        <v>2.0849235320663029</v>
      </c>
      <c r="AE21" s="56">
        <v>1000000</v>
      </c>
      <c r="AF21" s="56">
        <f t="shared" si="6"/>
        <v>789.0776814215576</v>
      </c>
      <c r="AG21" s="59">
        <f t="shared" si="7"/>
        <v>3.6778941215891287E-2</v>
      </c>
      <c r="AH21" s="60">
        <f t="shared" si="8"/>
        <v>2.0144041958362329</v>
      </c>
      <c r="AI21" s="60">
        <f t="shared" si="9"/>
        <v>1591.5</v>
      </c>
    </row>
    <row r="22" spans="1:35">
      <c r="A22" t="s">
        <v>74</v>
      </c>
      <c r="B22">
        <v>1591.5</v>
      </c>
      <c r="C22" t="s">
        <v>65</v>
      </c>
      <c r="D22">
        <v>887110</v>
      </c>
      <c r="E22">
        <v>4532510</v>
      </c>
      <c r="F22">
        <v>1593.65</v>
      </c>
      <c r="G22">
        <v>20.75</v>
      </c>
      <c r="H22">
        <v>0.5</v>
      </c>
      <c r="I22">
        <v>10</v>
      </c>
      <c r="J22">
        <v>2.0000000000000002E-5</v>
      </c>
      <c r="K22">
        <v>9.9999999999999995E-7</v>
      </c>
      <c r="L22">
        <v>10</v>
      </c>
      <c r="M22">
        <v>4.0000000000000001E-3</v>
      </c>
      <c r="N22">
        <v>2.0000000000000001E-4</v>
      </c>
      <c r="O22">
        <v>10</v>
      </c>
      <c r="P22">
        <v>8.8730261904379373E-4</v>
      </c>
      <c r="Q22">
        <v>4.1046722787558887E-8</v>
      </c>
      <c r="R22">
        <v>2.0152302314356501</v>
      </c>
      <c r="S22">
        <v>4.5463904480848178</v>
      </c>
      <c r="T22">
        <v>2.679868687931488E-2</v>
      </c>
      <c r="U22">
        <v>2.084812572144584</v>
      </c>
      <c r="V22">
        <v>1.3282596243669929E-8</v>
      </c>
      <c r="W22">
        <v>1.098057481136007E-4</v>
      </c>
      <c r="X22" s="54">
        <f t="shared" si="0"/>
        <v>3.0902635324114796</v>
      </c>
      <c r="Y22" s="54">
        <f t="shared" si="1"/>
        <v>244.05541002817097</v>
      </c>
      <c r="Z22" s="55" t="str">
        <f t="shared" si="2"/>
        <v>B91591.5</v>
      </c>
      <c r="AA22" s="56">
        <v>1</v>
      </c>
      <c r="AB22" s="57">
        <f t="shared" si="3"/>
        <v>4.5463904480848178</v>
      </c>
      <c r="AC22" s="58">
        <f t="shared" si="4"/>
        <v>2.679868687931488E-2</v>
      </c>
      <c r="AD22" s="59">
        <f t="shared" si="5"/>
        <v>2.084812572144584</v>
      </c>
      <c r="AE22" s="56">
        <v>1000000</v>
      </c>
      <c r="AF22" s="56">
        <f t="shared" si="6"/>
        <v>887.3026190437937</v>
      </c>
      <c r="AG22" s="59">
        <f t="shared" si="7"/>
        <v>4.1046722787558887E-2</v>
      </c>
      <c r="AH22" s="60">
        <f t="shared" si="8"/>
        <v>2.0152302314356501</v>
      </c>
      <c r="AI22" s="60">
        <f t="shared" si="9"/>
        <v>1591.5</v>
      </c>
    </row>
    <row r="23" spans="1:35">
      <c r="A23" t="s">
        <v>75</v>
      </c>
      <c r="B23">
        <v>1591.5</v>
      </c>
      <c r="C23" t="s">
        <v>65</v>
      </c>
      <c r="D23">
        <v>984585</v>
      </c>
      <c r="E23">
        <v>4826330</v>
      </c>
      <c r="F23">
        <v>1595.54</v>
      </c>
      <c r="G23">
        <v>19.79</v>
      </c>
      <c r="H23">
        <v>0.5</v>
      </c>
      <c r="I23">
        <v>10</v>
      </c>
      <c r="J23">
        <v>2.0000000000000002E-5</v>
      </c>
      <c r="K23">
        <v>9.9999999999999995E-7</v>
      </c>
      <c r="L23">
        <v>10</v>
      </c>
      <c r="M23">
        <v>4.0000000000000001E-3</v>
      </c>
      <c r="N23">
        <v>2.0000000000000001E-4</v>
      </c>
      <c r="O23">
        <v>10</v>
      </c>
      <c r="P23">
        <v>9.8477954639146644E-4</v>
      </c>
      <c r="Q23">
        <v>4.5246522760057918E-8</v>
      </c>
      <c r="R23">
        <v>2.016110004058516</v>
      </c>
      <c r="S23">
        <v>4.8225752586573716</v>
      </c>
      <c r="T23">
        <v>2.8508400302903011E-2</v>
      </c>
      <c r="U23">
        <v>2.0854956122138</v>
      </c>
      <c r="V23">
        <v>1.466106788153887E-8</v>
      </c>
      <c r="W23">
        <v>1.200879562516236E-4</v>
      </c>
      <c r="X23" s="54">
        <f t="shared" si="0"/>
        <v>3.0861682877160721</v>
      </c>
      <c r="Y23" s="54">
        <f t="shared" si="1"/>
        <v>237.39599867257775</v>
      </c>
      <c r="Z23" s="55" t="str">
        <f t="shared" si="2"/>
        <v>B101591.5</v>
      </c>
      <c r="AA23" s="56">
        <v>1</v>
      </c>
      <c r="AB23" s="57">
        <f t="shared" si="3"/>
        <v>4.8225752586573716</v>
      </c>
      <c r="AC23" s="58">
        <f t="shared" si="4"/>
        <v>2.8508400302903011E-2</v>
      </c>
      <c r="AD23" s="59">
        <f t="shared" si="5"/>
        <v>2.0854956122138</v>
      </c>
      <c r="AE23" s="56">
        <v>1000000</v>
      </c>
      <c r="AF23" s="56">
        <f t="shared" si="6"/>
        <v>984.7795463914664</v>
      </c>
      <c r="AG23" s="59">
        <f t="shared" si="7"/>
        <v>4.5246522760057917E-2</v>
      </c>
      <c r="AH23" s="60">
        <f t="shared" si="8"/>
        <v>2.016110004058516</v>
      </c>
      <c r="AI23" s="60">
        <f t="shared" si="9"/>
        <v>1591.5</v>
      </c>
    </row>
    <row r="24" spans="1:35">
      <c r="A24">
        <v>1</v>
      </c>
      <c r="B24">
        <v>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>
        <v>10</v>
      </c>
      <c r="K24">
        <v>11</v>
      </c>
      <c r="L24">
        <v>12</v>
      </c>
      <c r="M24">
        <v>13</v>
      </c>
      <c r="N24">
        <v>14</v>
      </c>
      <c r="O24">
        <v>15</v>
      </c>
      <c r="P24">
        <v>16</v>
      </c>
      <c r="Q24">
        <v>17</v>
      </c>
      <c r="R24">
        <v>18</v>
      </c>
      <c r="S24">
        <v>19</v>
      </c>
      <c r="T24">
        <v>20</v>
      </c>
      <c r="U24">
        <v>21</v>
      </c>
      <c r="V24">
        <v>22</v>
      </c>
      <c r="W24">
        <v>23</v>
      </c>
      <c r="X24">
        <v>24</v>
      </c>
      <c r="Y24">
        <v>25</v>
      </c>
      <c r="Z24">
        <v>26</v>
      </c>
      <c r="AA24">
        <v>27</v>
      </c>
      <c r="AB24" s="61">
        <v>28</v>
      </c>
      <c r="AC24" s="61">
        <v>29</v>
      </c>
      <c r="AD24" s="61">
        <v>30</v>
      </c>
      <c r="AE24">
        <v>31</v>
      </c>
      <c r="AF24" s="61">
        <v>32</v>
      </c>
      <c r="AG24" s="61">
        <v>33</v>
      </c>
      <c r="AH24" s="61">
        <v>34</v>
      </c>
      <c r="AI24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FD095"/>
  </sheetPr>
  <dimension ref="A1:N29"/>
  <sheetViews>
    <sheetView showGridLines="0" tabSelected="1" zoomScale="110" zoomScaleNormal="110" workbookViewId="0">
      <selection activeCell="E11" sqref="E11"/>
    </sheetView>
  </sheetViews>
  <sheetFormatPr defaultColWidth="8.6328125" defaultRowHeight="12.5"/>
  <cols>
    <col min="3" max="3" width="6.7265625" customWidth="1"/>
    <col min="4" max="5" width="10.7265625" customWidth="1"/>
    <col min="7" max="8" width="10.7265625" customWidth="1"/>
  </cols>
  <sheetData>
    <row r="1" spans="1:14" ht="13">
      <c r="N1" s="62"/>
    </row>
    <row r="2" spans="1:14" ht="13">
      <c r="N2" s="62"/>
    </row>
    <row r="3" spans="1:14" ht="39">
      <c r="C3" s="63" t="s">
        <v>108</v>
      </c>
      <c r="D3" s="63" t="s">
        <v>109</v>
      </c>
      <c r="E3" s="63" t="s">
        <v>110</v>
      </c>
      <c r="F3" s="63" t="s">
        <v>111</v>
      </c>
      <c r="G3" s="63" t="s">
        <v>112</v>
      </c>
      <c r="H3" s="63" t="s">
        <v>113</v>
      </c>
      <c r="I3" s="63" t="s">
        <v>111</v>
      </c>
      <c r="N3" s="62"/>
    </row>
    <row r="4" spans="1:14" ht="13">
      <c r="A4" t="s">
        <v>55</v>
      </c>
      <c r="C4" s="64">
        <v>1</v>
      </c>
      <c r="D4" s="65">
        <f t="shared" ref="D4:D13" si="0">VLOOKUP(A4, inductor1,32,FALSE())</f>
        <v>993.86497504205715</v>
      </c>
      <c r="E4" s="65">
        <f t="shared" ref="E4:E13" si="1">VLOOKUP(A4,inductor1,33,FALSE())</f>
        <v>6.3258198933207027E-2</v>
      </c>
      <c r="F4" s="66">
        <f t="shared" ref="F4:F13" si="2">VLOOKUP(A4,inductor1,34,FALSE())</f>
        <v>1.9889168717910559</v>
      </c>
      <c r="G4" s="67">
        <f t="shared" ref="G4:G13" si="3">VLOOKUP(A4,inductor1,28,FALSE())</f>
        <v>5.7357592962286388</v>
      </c>
      <c r="H4" s="67">
        <f t="shared" ref="H4:H13" si="4">VLOOKUP(A4,inductor1,29,FALSE())</f>
        <v>3.3901538921475398E-2</v>
      </c>
      <c r="I4" s="66">
        <f t="shared" ref="I4:I13" si="5">VLOOKUP(A4,inductor1,30,FALSE())</f>
        <v>2.0825444242390252</v>
      </c>
      <c r="N4" s="62"/>
    </row>
    <row r="5" spans="1:14" ht="13">
      <c r="A5" t="s">
        <v>56</v>
      </c>
      <c r="C5" s="64">
        <v>2</v>
      </c>
      <c r="D5" s="68">
        <f t="shared" si="0"/>
        <v>1980.1779207982459</v>
      </c>
      <c r="E5" s="68">
        <f t="shared" si="1"/>
        <v>9.8608198838152708E-2</v>
      </c>
      <c r="F5" s="66">
        <f t="shared" si="2"/>
        <v>2.0001778434559538</v>
      </c>
      <c r="G5" s="67">
        <f t="shared" si="3"/>
        <v>8.4486406672406922</v>
      </c>
      <c r="H5" s="67">
        <f t="shared" si="4"/>
        <v>4.9860012356856373E-2</v>
      </c>
      <c r="I5" s="66">
        <f t="shared" si="5"/>
        <v>2.0836310582527289</v>
      </c>
      <c r="N5" s="62"/>
    </row>
    <row r="6" spans="1:14" ht="13">
      <c r="A6" t="s">
        <v>57</v>
      </c>
      <c r="C6" s="64">
        <v>3</v>
      </c>
      <c r="D6" s="68">
        <f t="shared" si="0"/>
        <v>2968.8285106404451</v>
      </c>
      <c r="E6" s="68">
        <f t="shared" si="1"/>
        <v>0.1383413166376137</v>
      </c>
      <c r="F6" s="66">
        <f t="shared" si="2"/>
        <v>2.0100637951404861</v>
      </c>
      <c r="G6" s="67">
        <f t="shared" si="3"/>
        <v>10.73279053586719</v>
      </c>
      <c r="H6" s="67">
        <f t="shared" si="4"/>
        <v>6.3325694030062926E-2</v>
      </c>
      <c r="I6" s="66">
        <f t="shared" si="5"/>
        <v>2.084403447128536</v>
      </c>
      <c r="N6" s="62"/>
    </row>
    <row r="7" spans="1:14" ht="13">
      <c r="A7" t="s">
        <v>58</v>
      </c>
      <c r="C7" s="64">
        <v>4</v>
      </c>
      <c r="D7" s="68">
        <f t="shared" si="0"/>
        <v>3948.324557499619</v>
      </c>
      <c r="E7" s="68">
        <f t="shared" si="1"/>
        <v>0.1790950292723123</v>
      </c>
      <c r="F7" s="66">
        <f t="shared" si="2"/>
        <v>2.0155571307363842</v>
      </c>
      <c r="G7" s="67">
        <f t="shared" si="3"/>
        <v>12.73913611821704</v>
      </c>
      <c r="H7" s="67">
        <f t="shared" si="4"/>
        <v>7.5136262193447267E-2</v>
      </c>
      <c r="I7" s="66">
        <f t="shared" si="5"/>
        <v>2.084352610130221</v>
      </c>
      <c r="N7" s="62"/>
    </row>
    <row r="8" spans="1:14" ht="13">
      <c r="A8" t="s">
        <v>59</v>
      </c>
      <c r="C8" s="64">
        <v>5</v>
      </c>
      <c r="D8" s="68">
        <f t="shared" si="0"/>
        <v>4932.0809028518543</v>
      </c>
      <c r="E8" s="68">
        <f t="shared" si="1"/>
        <v>0.2205547454115338</v>
      </c>
      <c r="F8" s="66">
        <f t="shared" si="2"/>
        <v>2.0188845501629968</v>
      </c>
      <c r="G8" s="67">
        <f t="shared" si="3"/>
        <v>14.52553039453252</v>
      </c>
      <c r="H8" s="67">
        <f t="shared" si="4"/>
        <v>8.565778934897407E-2</v>
      </c>
      <c r="I8" s="66">
        <f t="shared" si="5"/>
        <v>2.0843071464463678</v>
      </c>
      <c r="N8" s="62"/>
    </row>
    <row r="9" spans="1:14" ht="13">
      <c r="A9" t="s">
        <v>60</v>
      </c>
      <c r="C9" s="64">
        <v>6</v>
      </c>
      <c r="D9" s="68">
        <f t="shared" si="0"/>
        <v>5914.5833192808323</v>
      </c>
      <c r="E9" s="68">
        <f t="shared" si="1"/>
        <v>0.26221215333918979</v>
      </c>
      <c r="F9" s="66">
        <f t="shared" si="2"/>
        <v>2.0210772593615358</v>
      </c>
      <c r="G9" s="69">
        <f t="shared" si="3"/>
        <v>16.217946257901708</v>
      </c>
      <c r="H9" s="69">
        <f t="shared" si="4"/>
        <v>9.5650588519753749E-2</v>
      </c>
      <c r="I9" s="66">
        <f t="shared" si="5"/>
        <v>2.0846630825370029</v>
      </c>
      <c r="N9" s="62"/>
    </row>
    <row r="10" spans="1:14" ht="13">
      <c r="A10" t="s">
        <v>61</v>
      </c>
      <c r="C10" s="64">
        <v>7</v>
      </c>
      <c r="D10" s="68">
        <f t="shared" si="0"/>
        <v>6891.3847948223984</v>
      </c>
      <c r="E10" s="68">
        <f t="shared" si="1"/>
        <v>0.30385646858419163</v>
      </c>
      <c r="F10" s="66">
        <f t="shared" si="2"/>
        <v>2.0225240453167079</v>
      </c>
      <c r="G10" s="69">
        <f t="shared" si="3"/>
        <v>17.870751855306661</v>
      </c>
      <c r="H10" s="69">
        <f t="shared" si="4"/>
        <v>0.1054008155992668</v>
      </c>
      <c r="I10" s="66">
        <f t="shared" si="5"/>
        <v>2.0847608071097841</v>
      </c>
      <c r="N10" s="62"/>
    </row>
    <row r="11" spans="1:14" ht="13">
      <c r="A11" t="s">
        <v>62</v>
      </c>
      <c r="C11" s="64">
        <v>8</v>
      </c>
      <c r="D11" s="68">
        <f t="shared" si="0"/>
        <v>7863.7394965871326</v>
      </c>
      <c r="E11" s="68">
        <f t="shared" si="1"/>
        <v>0.34541620914093862</v>
      </c>
      <c r="F11" s="66">
        <f t="shared" si="2"/>
        <v>2.023557685631626</v>
      </c>
      <c r="G11" s="69">
        <f t="shared" si="3"/>
        <v>19.401632017610389</v>
      </c>
      <c r="H11" s="69">
        <f t="shared" si="4"/>
        <v>0.1144163515642007</v>
      </c>
      <c r="I11" s="66">
        <f t="shared" si="5"/>
        <v>2.0846760115457168</v>
      </c>
      <c r="N11" s="62"/>
    </row>
    <row r="12" spans="1:14" ht="13">
      <c r="A12" t="s">
        <v>63</v>
      </c>
      <c r="C12" s="64">
        <v>9</v>
      </c>
      <c r="D12" s="68">
        <f t="shared" si="0"/>
        <v>8833.1523709129742</v>
      </c>
      <c r="E12" s="68">
        <f t="shared" si="1"/>
        <v>0.3869170361949138</v>
      </c>
      <c r="F12" s="66">
        <f t="shared" si="2"/>
        <v>2.0243344607454081</v>
      </c>
      <c r="G12" s="69">
        <f t="shared" si="3"/>
        <v>20.87333253981658</v>
      </c>
      <c r="H12" s="69">
        <f t="shared" si="4"/>
        <v>0.12308676624159</v>
      </c>
      <c r="I12" s="66">
        <f t="shared" si="5"/>
        <v>2.0846132778675401</v>
      </c>
      <c r="N12" s="62"/>
    </row>
    <row r="13" spans="1:14" ht="13">
      <c r="A13" t="s">
        <v>64</v>
      </c>
      <c r="C13" s="64">
        <v>10</v>
      </c>
      <c r="D13" s="68">
        <f t="shared" si="0"/>
        <v>9803.7511687069782</v>
      </c>
      <c r="E13" s="68">
        <f t="shared" si="1"/>
        <v>0.42853713698025042</v>
      </c>
      <c r="F13" s="66">
        <f t="shared" si="2"/>
        <v>2.0249271391750812</v>
      </c>
      <c r="G13" s="69">
        <f t="shared" si="3"/>
        <v>22.363178804122249</v>
      </c>
      <c r="H13" s="69">
        <f t="shared" si="4"/>
        <v>0.13186920248735701</v>
      </c>
      <c r="I13" s="66">
        <f t="shared" si="5"/>
        <v>2.0846013154906009</v>
      </c>
      <c r="N13" s="62"/>
    </row>
    <row r="14" spans="1:14" ht="13">
      <c r="C14" s="64"/>
      <c r="D14" s="70"/>
      <c r="E14" s="65"/>
      <c r="F14" s="66"/>
      <c r="G14" s="69"/>
      <c r="H14" s="69"/>
      <c r="I14" s="66"/>
      <c r="N14" s="62"/>
    </row>
    <row r="15" spans="1:14" ht="13">
      <c r="C15" s="64"/>
      <c r="D15" s="70"/>
      <c r="E15" s="65"/>
      <c r="F15" s="66"/>
      <c r="G15" s="69"/>
      <c r="H15" s="69"/>
      <c r="I15" s="66"/>
      <c r="N15" s="62"/>
    </row>
    <row r="16" spans="1:14" ht="13">
      <c r="C16" s="64"/>
      <c r="D16" s="70"/>
      <c r="E16" s="65"/>
      <c r="F16" s="66"/>
      <c r="G16" s="69"/>
      <c r="H16" s="69"/>
      <c r="I16" s="66"/>
      <c r="N16" s="62"/>
    </row>
    <row r="17" spans="1:14" ht="13">
      <c r="N17" s="62"/>
    </row>
    <row r="18" spans="1:14" ht="39">
      <c r="C18" s="63" t="s">
        <v>108</v>
      </c>
      <c r="D18" s="63" t="s">
        <v>114</v>
      </c>
      <c r="E18" s="63" t="s">
        <v>110</v>
      </c>
      <c r="F18" s="63" t="s">
        <v>111</v>
      </c>
      <c r="G18" s="63" t="s">
        <v>112</v>
      </c>
      <c r="H18" s="63" t="s">
        <v>113</v>
      </c>
      <c r="I18" s="63" t="s">
        <v>111</v>
      </c>
      <c r="N18" s="62"/>
    </row>
    <row r="19" spans="1:14" ht="13">
      <c r="A19" t="s">
        <v>66</v>
      </c>
      <c r="C19" s="64">
        <v>1</v>
      </c>
      <c r="D19" s="71">
        <f t="shared" ref="D19:D29" si="6">VLOOKUP(A19, inductor1,32,FALSE())</f>
        <v>99.133066043642629</v>
      </c>
      <c r="E19" s="71">
        <f t="shared" ref="E19:E29" si="7">VLOOKUP(A19,inductor1,33,FALSE())</f>
        <v>7.2194808691327054E-3</v>
      </c>
      <c r="F19" s="66">
        <f t="shared" ref="F19:F29" si="8">VLOOKUP(A19,inductor1,34,FALSE())</f>
        <v>1.9977067859750011</v>
      </c>
      <c r="G19" s="72">
        <f t="shared" ref="G19:G29" si="9">VLOOKUP(A19,inductor1,28,FALSE())</f>
        <v>1.172034527716707</v>
      </c>
      <c r="H19" s="72">
        <f t="shared" ref="H19:H29" si="10">VLOOKUP(A19,inductor1,29,FALSE())</f>
        <v>6.9132554870001452E-3</v>
      </c>
      <c r="I19" s="66">
        <f t="shared" ref="I19:I29" si="11">VLOOKUP(A19,inductor1,30,FALSE())</f>
        <v>2.0844940430929171</v>
      </c>
      <c r="N19" s="62"/>
    </row>
    <row r="20" spans="1:14" ht="13">
      <c r="A20" t="s">
        <v>67</v>
      </c>
      <c r="C20" s="64">
        <v>2</v>
      </c>
      <c r="D20" s="65">
        <f t="shared" si="6"/>
        <v>198.98240369918412</v>
      </c>
      <c r="E20" s="65">
        <f t="shared" si="7"/>
        <v>1.117435156575018E-2</v>
      </c>
      <c r="F20" s="66">
        <f t="shared" si="8"/>
        <v>2.0028069294659452</v>
      </c>
      <c r="G20" s="72">
        <f t="shared" si="9"/>
        <v>1.748513116268172</v>
      </c>
      <c r="H20" s="72">
        <f t="shared" si="10"/>
        <v>1.0309353158519399E-2</v>
      </c>
      <c r="I20" s="66">
        <f t="shared" si="11"/>
        <v>2.0847048519438101</v>
      </c>
      <c r="N20" s="62"/>
    </row>
    <row r="21" spans="1:14" ht="13">
      <c r="A21" t="s">
        <v>68</v>
      </c>
      <c r="C21" s="64">
        <v>3</v>
      </c>
      <c r="D21" s="65">
        <f t="shared" si="6"/>
        <v>298.20460787291199</v>
      </c>
      <c r="E21" s="65">
        <f t="shared" si="7"/>
        <v>1.5342528737054979E-2</v>
      </c>
      <c r="F21" s="66">
        <f t="shared" si="8"/>
        <v>2.0065452579153722</v>
      </c>
      <c r="G21" s="72">
        <f t="shared" si="9"/>
        <v>2.2201949748129679</v>
      </c>
      <c r="H21" s="72">
        <f t="shared" si="10"/>
        <v>1.3088803552488331E-2</v>
      </c>
      <c r="I21" s="66">
        <f t="shared" si="11"/>
        <v>2.0847654272913272</v>
      </c>
      <c r="N21" s="62"/>
    </row>
    <row r="22" spans="1:14" ht="13">
      <c r="A22" t="s">
        <v>69</v>
      </c>
      <c r="C22" s="64">
        <v>4</v>
      </c>
      <c r="D22" s="65">
        <f t="shared" si="6"/>
        <v>396.48117416427658</v>
      </c>
      <c r="E22" s="65">
        <f t="shared" si="7"/>
        <v>1.982935710976054E-2</v>
      </c>
      <c r="F22" s="66">
        <f t="shared" si="8"/>
        <v>2.0094056256725401</v>
      </c>
      <c r="G22" s="72">
        <f t="shared" si="9"/>
        <v>2.8113200865464911</v>
      </c>
      <c r="H22" s="72">
        <f t="shared" si="10"/>
        <v>1.6573666332454402E-2</v>
      </c>
      <c r="I22" s="66">
        <f t="shared" si="11"/>
        <v>2.0849078581774041</v>
      </c>
      <c r="N22" s="62"/>
    </row>
    <row r="23" spans="1:14" ht="13">
      <c r="A23" t="s">
        <v>70</v>
      </c>
      <c r="C23" s="64">
        <v>5</v>
      </c>
      <c r="D23" s="65">
        <f t="shared" si="6"/>
        <v>494.45455610507821</v>
      </c>
      <c r="E23" s="65">
        <f t="shared" si="7"/>
        <v>2.4048104766117448E-2</v>
      </c>
      <c r="F23" s="66">
        <f t="shared" si="8"/>
        <v>2.0108967844449741</v>
      </c>
      <c r="G23" s="72">
        <f t="shared" si="9"/>
        <v>3.2011308566969361</v>
      </c>
      <c r="H23" s="72">
        <f t="shared" si="10"/>
        <v>1.886781778695339E-2</v>
      </c>
      <c r="I23" s="66">
        <f t="shared" si="11"/>
        <v>2.0846060285408892</v>
      </c>
      <c r="N23" s="62"/>
    </row>
    <row r="24" spans="1:14" ht="13">
      <c r="A24" t="s">
        <v>71</v>
      </c>
      <c r="C24" s="64">
        <v>6</v>
      </c>
      <c r="D24" s="65">
        <f t="shared" si="6"/>
        <v>593.51202190329514</v>
      </c>
      <c r="E24" s="65">
        <f t="shared" si="7"/>
        <v>2.8324386837305562E-2</v>
      </c>
      <c r="F24" s="66">
        <f t="shared" si="8"/>
        <v>2.012228083043158</v>
      </c>
      <c r="G24" s="72">
        <f t="shared" si="9"/>
        <v>3.5658053819058551</v>
      </c>
      <c r="H24" s="72">
        <f t="shared" si="10"/>
        <v>2.1016807573875348E-2</v>
      </c>
      <c r="I24" s="66">
        <f t="shared" si="11"/>
        <v>2.0845932365420601</v>
      </c>
      <c r="N24" s="62"/>
    </row>
    <row r="25" spans="1:14" ht="13">
      <c r="A25" t="s">
        <v>72</v>
      </c>
      <c r="C25" s="64">
        <v>7</v>
      </c>
      <c r="D25" s="65">
        <f t="shared" si="6"/>
        <v>691.32825933113202</v>
      </c>
      <c r="E25" s="65">
        <f t="shared" si="7"/>
        <v>3.258089545969603E-2</v>
      </c>
      <c r="F25" s="66">
        <f t="shared" si="8"/>
        <v>2.0133195397674881</v>
      </c>
      <c r="G25" s="72">
        <f t="shared" si="9"/>
        <v>3.9245381482470889</v>
      </c>
      <c r="H25" s="72">
        <f t="shared" si="10"/>
        <v>2.313079450209015E-2</v>
      </c>
      <c r="I25" s="66">
        <f t="shared" si="11"/>
        <v>2.0845771133560742</v>
      </c>
      <c r="N25" s="62"/>
    </row>
    <row r="26" spans="1:14" ht="13">
      <c r="A26" t="s">
        <v>73</v>
      </c>
      <c r="C26" s="64">
        <v>8</v>
      </c>
      <c r="D26" s="65">
        <f t="shared" si="6"/>
        <v>789.0776814215576</v>
      </c>
      <c r="E26" s="65">
        <f t="shared" si="7"/>
        <v>3.6778941215891287E-2</v>
      </c>
      <c r="F26" s="66">
        <f t="shared" si="8"/>
        <v>2.0144041958362329</v>
      </c>
      <c r="G26" s="72">
        <f t="shared" si="9"/>
        <v>4.225533444709284</v>
      </c>
      <c r="H26" s="72">
        <f t="shared" si="10"/>
        <v>2.4909422496714202E-2</v>
      </c>
      <c r="I26" s="66">
        <f t="shared" si="11"/>
        <v>2.0849235320663029</v>
      </c>
      <c r="N26" s="62"/>
    </row>
    <row r="27" spans="1:14" ht="13">
      <c r="A27" t="s">
        <v>74</v>
      </c>
      <c r="C27" s="64">
        <v>9</v>
      </c>
      <c r="D27" s="65">
        <f t="shared" si="6"/>
        <v>887.3026190437937</v>
      </c>
      <c r="E27" s="65">
        <f t="shared" si="7"/>
        <v>4.1046722787558887E-2</v>
      </c>
      <c r="F27" s="66">
        <f t="shared" si="8"/>
        <v>2.0152302314356501</v>
      </c>
      <c r="G27" s="72">
        <f t="shared" si="9"/>
        <v>4.5463904480848178</v>
      </c>
      <c r="H27" s="72">
        <f t="shared" si="10"/>
        <v>2.679868687931488E-2</v>
      </c>
      <c r="I27" s="66">
        <f t="shared" si="11"/>
        <v>2.084812572144584</v>
      </c>
      <c r="N27" s="62"/>
    </row>
    <row r="28" spans="1:14" ht="13" hidden="1">
      <c r="A28" t="s">
        <v>75</v>
      </c>
      <c r="C28" s="64">
        <v>10</v>
      </c>
      <c r="D28" s="65">
        <f t="shared" si="6"/>
        <v>984.7795463914664</v>
      </c>
      <c r="E28" s="65">
        <f t="shared" si="7"/>
        <v>4.5246522760057917E-2</v>
      </c>
      <c r="F28" s="66">
        <f t="shared" si="8"/>
        <v>2.016110004058516</v>
      </c>
      <c r="G28" s="72">
        <f t="shared" si="9"/>
        <v>4.8225752586573716</v>
      </c>
      <c r="H28" s="72">
        <f t="shared" si="10"/>
        <v>2.8508400302903011E-2</v>
      </c>
      <c r="I28" s="66">
        <f t="shared" si="11"/>
        <v>2.0854956122138</v>
      </c>
    </row>
    <row r="29" spans="1:14" ht="13">
      <c r="A29" t="s">
        <v>75</v>
      </c>
      <c r="C29" s="64">
        <v>10</v>
      </c>
      <c r="D29" s="65">
        <f t="shared" si="6"/>
        <v>984.7795463914664</v>
      </c>
      <c r="E29" s="65">
        <f t="shared" si="7"/>
        <v>4.5246522760057917E-2</v>
      </c>
      <c r="F29" s="66">
        <f t="shared" si="8"/>
        <v>2.016110004058516</v>
      </c>
      <c r="G29" s="72">
        <f t="shared" si="9"/>
        <v>4.8225752586573716</v>
      </c>
      <c r="H29" s="72">
        <f t="shared" si="10"/>
        <v>2.8508400302903011E-2</v>
      </c>
      <c r="I29" s="66">
        <f t="shared" si="11"/>
        <v>2.0854956122138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FD095"/>
  </sheetPr>
  <dimension ref="A1:E1022"/>
  <sheetViews>
    <sheetView topLeftCell="A367" zoomScale="110" zoomScaleNormal="110" workbookViewId="0">
      <selection activeCell="D3" sqref="D3"/>
    </sheetView>
  </sheetViews>
  <sheetFormatPr defaultColWidth="8.6328125" defaultRowHeight="12.5"/>
  <cols>
    <col min="1" max="1" width="15.54296875" customWidth="1"/>
    <col min="3" max="3" width="12.7265625" customWidth="1"/>
    <col min="4" max="4" width="14.1796875" customWidth="1"/>
  </cols>
  <sheetData>
    <row r="1" spans="1:5">
      <c r="A1" t="s">
        <v>115</v>
      </c>
    </row>
    <row r="2" spans="1:5">
      <c r="A2" t="s">
        <v>116</v>
      </c>
      <c r="B2" t="s">
        <v>117</v>
      </c>
      <c r="C2" t="s">
        <v>118</v>
      </c>
      <c r="D2" t="s">
        <v>119</v>
      </c>
    </row>
    <row r="3" spans="1:5">
      <c r="A3" s="73" t="s">
        <v>120</v>
      </c>
      <c r="B3">
        <v>20.420000000000002</v>
      </c>
      <c r="C3">
        <v>48.65</v>
      </c>
      <c r="D3" s="74">
        <f t="shared" ref="D3:D66" si="0">A3+12/24</f>
        <v>45792.333437499998</v>
      </c>
      <c r="E3" s="75">
        <f t="shared" ref="E3:E66" si="1">D3</f>
        <v>45792.333437499998</v>
      </c>
    </row>
    <row r="4" spans="1:5">
      <c r="A4" s="73" t="s">
        <v>121</v>
      </c>
      <c r="B4">
        <v>20.41</v>
      </c>
      <c r="C4">
        <v>48.63</v>
      </c>
      <c r="D4" s="74">
        <f t="shared" si="0"/>
        <v>45792.334814814814</v>
      </c>
      <c r="E4" s="75">
        <f t="shared" si="1"/>
        <v>45792.334814814814</v>
      </c>
    </row>
    <row r="5" spans="1:5">
      <c r="A5" s="73" t="s">
        <v>122</v>
      </c>
      <c r="B5">
        <v>20.41</v>
      </c>
      <c r="C5">
        <v>48.74</v>
      </c>
      <c r="D5" s="74">
        <f t="shared" si="0"/>
        <v>45792.336215277777</v>
      </c>
      <c r="E5" s="75">
        <f t="shared" si="1"/>
        <v>45792.336215277777</v>
      </c>
    </row>
    <row r="6" spans="1:5">
      <c r="A6" s="73" t="s">
        <v>123</v>
      </c>
      <c r="B6">
        <v>20.41</v>
      </c>
      <c r="C6">
        <v>48.68</v>
      </c>
      <c r="D6" s="74">
        <f t="shared" si="0"/>
        <v>45792.337604166663</v>
      </c>
      <c r="E6" s="75">
        <f t="shared" si="1"/>
        <v>45792.337604166663</v>
      </c>
    </row>
    <row r="7" spans="1:5">
      <c r="A7" s="73" t="s">
        <v>124</v>
      </c>
      <c r="B7">
        <v>20.399999999999999</v>
      </c>
      <c r="C7">
        <v>48.83</v>
      </c>
      <c r="D7" s="74">
        <f t="shared" si="0"/>
        <v>45792.338993055557</v>
      </c>
      <c r="E7" s="75">
        <f t="shared" si="1"/>
        <v>45792.338993055557</v>
      </c>
    </row>
    <row r="8" spans="1:5">
      <c r="A8" s="73" t="s">
        <v>125</v>
      </c>
      <c r="B8">
        <v>20.37</v>
      </c>
      <c r="C8">
        <v>48.81</v>
      </c>
      <c r="D8" s="74">
        <f t="shared" si="0"/>
        <v>45792.340370370373</v>
      </c>
      <c r="E8" s="75">
        <f t="shared" si="1"/>
        <v>45792.340370370373</v>
      </c>
    </row>
    <row r="9" spans="1:5">
      <c r="A9" s="73" t="s">
        <v>126</v>
      </c>
      <c r="B9">
        <v>20.39</v>
      </c>
      <c r="C9">
        <v>48.88</v>
      </c>
      <c r="D9" s="74">
        <f t="shared" si="0"/>
        <v>45792.341770833336</v>
      </c>
      <c r="E9" s="75">
        <f t="shared" si="1"/>
        <v>45792.341770833336</v>
      </c>
    </row>
    <row r="10" spans="1:5">
      <c r="A10" s="73" t="s">
        <v>127</v>
      </c>
      <c r="B10">
        <v>20.38</v>
      </c>
      <c r="C10">
        <v>48.95</v>
      </c>
      <c r="D10" s="74">
        <f t="shared" si="0"/>
        <v>45792.343148148146</v>
      </c>
      <c r="E10" s="75">
        <f t="shared" si="1"/>
        <v>45792.343148148146</v>
      </c>
    </row>
    <row r="11" spans="1:5">
      <c r="A11" s="73" t="s">
        <v>128</v>
      </c>
      <c r="B11">
        <v>20.39</v>
      </c>
      <c r="C11">
        <v>48.95</v>
      </c>
      <c r="D11" s="74">
        <f t="shared" si="0"/>
        <v>45792.344537037039</v>
      </c>
      <c r="E11" s="75">
        <f t="shared" si="1"/>
        <v>45792.344537037039</v>
      </c>
    </row>
    <row r="12" spans="1:5">
      <c r="A12" s="73" t="s">
        <v>129</v>
      </c>
      <c r="B12">
        <v>20.37</v>
      </c>
      <c r="C12">
        <v>49.02</v>
      </c>
      <c r="D12" s="74">
        <f t="shared" si="0"/>
        <v>45792.345925925925</v>
      </c>
      <c r="E12" s="75">
        <f t="shared" si="1"/>
        <v>45792.345925925925</v>
      </c>
    </row>
    <row r="13" spans="1:5">
      <c r="A13" s="73" t="s">
        <v>130</v>
      </c>
      <c r="B13">
        <v>20.399999999999999</v>
      </c>
      <c r="C13">
        <v>48.95</v>
      </c>
      <c r="D13" s="74">
        <f t="shared" si="0"/>
        <v>45792.347326388888</v>
      </c>
      <c r="E13" s="75">
        <f t="shared" si="1"/>
        <v>45792.347326388888</v>
      </c>
    </row>
    <row r="14" spans="1:5">
      <c r="A14" s="73" t="s">
        <v>131</v>
      </c>
      <c r="B14">
        <v>20.399999999999999</v>
      </c>
      <c r="C14">
        <v>49.01</v>
      </c>
      <c r="D14" s="74">
        <f t="shared" si="0"/>
        <v>45792.348703703705</v>
      </c>
      <c r="E14" s="75">
        <f t="shared" si="1"/>
        <v>45792.348703703705</v>
      </c>
    </row>
    <row r="15" spans="1:5">
      <c r="A15" s="73" t="s">
        <v>132</v>
      </c>
      <c r="B15">
        <v>20.41</v>
      </c>
      <c r="C15">
        <v>48.99</v>
      </c>
      <c r="D15" s="74">
        <f t="shared" si="0"/>
        <v>45792.350104166668</v>
      </c>
      <c r="E15" s="75">
        <f t="shared" si="1"/>
        <v>45792.350104166668</v>
      </c>
    </row>
    <row r="16" spans="1:5">
      <c r="A16" s="73" t="s">
        <v>133</v>
      </c>
      <c r="B16">
        <v>20.420000000000002</v>
      </c>
      <c r="C16">
        <v>49.06</v>
      </c>
      <c r="D16" s="74">
        <f t="shared" si="0"/>
        <v>45792.351493055554</v>
      </c>
      <c r="E16" s="75">
        <f t="shared" si="1"/>
        <v>45792.351493055554</v>
      </c>
    </row>
    <row r="17" spans="1:5">
      <c r="A17" s="73" t="s">
        <v>134</v>
      </c>
      <c r="B17">
        <v>20.43</v>
      </c>
      <c r="C17">
        <v>48.98</v>
      </c>
      <c r="D17" s="74">
        <f t="shared" si="0"/>
        <v>45792.352881944447</v>
      </c>
      <c r="E17" s="75">
        <f t="shared" si="1"/>
        <v>45792.352881944447</v>
      </c>
    </row>
    <row r="18" spans="1:5">
      <c r="A18" s="73" t="s">
        <v>135</v>
      </c>
      <c r="B18">
        <v>20.399999999999999</v>
      </c>
      <c r="C18">
        <v>49.09</v>
      </c>
      <c r="D18" s="74">
        <f t="shared" si="0"/>
        <v>45792.354259259257</v>
      </c>
      <c r="E18" s="75">
        <f t="shared" si="1"/>
        <v>45792.354259259257</v>
      </c>
    </row>
    <row r="19" spans="1:5">
      <c r="A19" s="73" t="s">
        <v>136</v>
      </c>
      <c r="B19">
        <v>20.440000000000001</v>
      </c>
      <c r="C19">
        <v>48.92</v>
      </c>
      <c r="D19" s="74">
        <f t="shared" si="0"/>
        <v>45792.35565972222</v>
      </c>
      <c r="E19" s="75">
        <f t="shared" si="1"/>
        <v>45792.35565972222</v>
      </c>
    </row>
    <row r="20" spans="1:5">
      <c r="A20" s="73" t="s">
        <v>137</v>
      </c>
      <c r="B20">
        <v>20.43</v>
      </c>
      <c r="C20">
        <v>48.9</v>
      </c>
      <c r="D20" s="74">
        <f t="shared" si="0"/>
        <v>45792.357037037036</v>
      </c>
      <c r="E20" s="75">
        <f t="shared" si="1"/>
        <v>45792.357037037036</v>
      </c>
    </row>
    <row r="21" spans="1:5">
      <c r="A21" s="73" t="s">
        <v>138</v>
      </c>
      <c r="B21">
        <v>20.420000000000002</v>
      </c>
      <c r="C21">
        <v>48.95</v>
      </c>
      <c r="D21" s="74">
        <f t="shared" si="0"/>
        <v>45792.358425925922</v>
      </c>
      <c r="E21" s="75">
        <f t="shared" si="1"/>
        <v>45792.358425925922</v>
      </c>
    </row>
    <row r="22" spans="1:5">
      <c r="A22" s="73" t="s">
        <v>139</v>
      </c>
      <c r="B22">
        <v>20.420000000000002</v>
      </c>
      <c r="C22">
        <v>48.93</v>
      </c>
      <c r="D22" s="74">
        <f t="shared" si="0"/>
        <v>45792.359826388885</v>
      </c>
      <c r="E22" s="75">
        <f t="shared" si="1"/>
        <v>45792.359826388885</v>
      </c>
    </row>
    <row r="23" spans="1:5">
      <c r="A23" s="73" t="s">
        <v>140</v>
      </c>
      <c r="B23">
        <v>20.399999999999999</v>
      </c>
      <c r="C23">
        <v>49.09</v>
      </c>
      <c r="D23" s="74">
        <f t="shared" si="0"/>
        <v>45792.361215277779</v>
      </c>
      <c r="E23" s="75">
        <f t="shared" si="1"/>
        <v>45792.361215277779</v>
      </c>
    </row>
    <row r="24" spans="1:5">
      <c r="A24" s="73" t="s">
        <v>141</v>
      </c>
      <c r="B24">
        <v>20.399999999999999</v>
      </c>
      <c r="C24">
        <v>49.08</v>
      </c>
      <c r="D24" s="74">
        <f t="shared" si="0"/>
        <v>45792.362592592595</v>
      </c>
      <c r="E24" s="75">
        <f t="shared" si="1"/>
        <v>45792.362592592595</v>
      </c>
    </row>
    <row r="25" spans="1:5">
      <c r="A25" s="73" t="s">
        <v>142</v>
      </c>
      <c r="B25">
        <v>20.41</v>
      </c>
      <c r="C25">
        <v>49.15</v>
      </c>
      <c r="D25" s="74">
        <f t="shared" si="0"/>
        <v>45792.363993055558</v>
      </c>
      <c r="E25" s="75">
        <f t="shared" si="1"/>
        <v>45792.363993055558</v>
      </c>
    </row>
    <row r="26" spans="1:5">
      <c r="A26" s="73" t="s">
        <v>143</v>
      </c>
      <c r="B26">
        <v>20.420000000000002</v>
      </c>
      <c r="C26">
        <v>49.22</v>
      </c>
      <c r="D26" s="74">
        <f t="shared" si="0"/>
        <v>45792.365370370368</v>
      </c>
      <c r="E26" s="75">
        <f t="shared" si="1"/>
        <v>45792.365370370368</v>
      </c>
    </row>
    <row r="27" spans="1:5">
      <c r="A27" s="73" t="s">
        <v>144</v>
      </c>
      <c r="B27">
        <v>20.41</v>
      </c>
      <c r="C27">
        <v>49.23</v>
      </c>
      <c r="D27" s="74">
        <f t="shared" si="0"/>
        <v>45792.366770833331</v>
      </c>
      <c r="E27" s="75">
        <f t="shared" si="1"/>
        <v>45792.366770833331</v>
      </c>
    </row>
    <row r="28" spans="1:5">
      <c r="A28" s="73" t="s">
        <v>145</v>
      </c>
      <c r="B28">
        <v>20.399999999999999</v>
      </c>
      <c r="C28">
        <v>49.32</v>
      </c>
      <c r="D28" s="74">
        <f t="shared" si="0"/>
        <v>45792.368148148147</v>
      </c>
      <c r="E28" s="75">
        <f t="shared" si="1"/>
        <v>45792.368148148147</v>
      </c>
    </row>
    <row r="29" spans="1:5">
      <c r="A29" s="73" t="s">
        <v>146</v>
      </c>
      <c r="B29">
        <v>20.399999999999999</v>
      </c>
      <c r="C29">
        <v>49.18</v>
      </c>
      <c r="D29" s="74">
        <f t="shared" si="0"/>
        <v>45792.36954861111</v>
      </c>
      <c r="E29" s="75">
        <f t="shared" si="1"/>
        <v>45792.36954861111</v>
      </c>
    </row>
    <row r="30" spans="1:5">
      <c r="A30" s="73" t="s">
        <v>147</v>
      </c>
      <c r="B30">
        <v>20.399999999999999</v>
      </c>
      <c r="C30">
        <v>49.2</v>
      </c>
      <c r="D30" s="74">
        <f t="shared" si="0"/>
        <v>45792.370925925927</v>
      </c>
      <c r="E30" s="75">
        <f t="shared" si="1"/>
        <v>45792.370925925927</v>
      </c>
    </row>
    <row r="31" spans="1:5">
      <c r="A31" s="73" t="s">
        <v>148</v>
      </c>
      <c r="B31">
        <v>20.38</v>
      </c>
      <c r="C31">
        <v>49.26</v>
      </c>
      <c r="D31" s="74">
        <f t="shared" si="0"/>
        <v>45792.37232638889</v>
      </c>
      <c r="E31" s="75">
        <f t="shared" si="1"/>
        <v>45792.37232638889</v>
      </c>
    </row>
    <row r="32" spans="1:5">
      <c r="A32" s="73" t="s">
        <v>149</v>
      </c>
      <c r="B32">
        <v>20.39</v>
      </c>
      <c r="C32">
        <v>49.31</v>
      </c>
      <c r="D32" s="74">
        <f t="shared" si="0"/>
        <v>45792.373703703706</v>
      </c>
      <c r="E32" s="75">
        <f t="shared" si="1"/>
        <v>45792.373703703706</v>
      </c>
    </row>
    <row r="33" spans="1:5">
      <c r="A33" s="73" t="s">
        <v>150</v>
      </c>
      <c r="B33">
        <v>20.38</v>
      </c>
      <c r="C33">
        <v>49.4</v>
      </c>
      <c r="D33" s="74">
        <f t="shared" si="0"/>
        <v>45792.375104166669</v>
      </c>
      <c r="E33" s="75">
        <f t="shared" si="1"/>
        <v>45792.375104166669</v>
      </c>
    </row>
    <row r="34" spans="1:5">
      <c r="A34" s="73" t="s">
        <v>151</v>
      </c>
      <c r="B34">
        <v>20.39</v>
      </c>
      <c r="C34">
        <v>49.23</v>
      </c>
      <c r="D34" s="74">
        <f t="shared" si="0"/>
        <v>45792.376493055555</v>
      </c>
      <c r="E34" s="75">
        <f t="shared" si="1"/>
        <v>45792.376493055555</v>
      </c>
    </row>
    <row r="35" spans="1:5">
      <c r="A35" s="73" t="s">
        <v>152</v>
      </c>
      <c r="B35">
        <v>20.399999999999999</v>
      </c>
      <c r="C35">
        <v>49.24</v>
      </c>
      <c r="D35" s="74">
        <f t="shared" si="0"/>
        <v>45792.377881944441</v>
      </c>
      <c r="E35" s="75">
        <f t="shared" si="1"/>
        <v>45792.377881944441</v>
      </c>
    </row>
    <row r="36" spans="1:5">
      <c r="A36" s="73" t="s">
        <v>153</v>
      </c>
      <c r="B36">
        <v>20.39</v>
      </c>
      <c r="C36">
        <v>49.33</v>
      </c>
      <c r="D36" s="74">
        <f t="shared" si="0"/>
        <v>45792.379259259258</v>
      </c>
      <c r="E36" s="75">
        <f t="shared" si="1"/>
        <v>45792.379259259258</v>
      </c>
    </row>
    <row r="37" spans="1:5">
      <c r="A37" s="73" t="s">
        <v>154</v>
      </c>
      <c r="B37">
        <v>20.38</v>
      </c>
      <c r="C37">
        <v>49.37</v>
      </c>
      <c r="D37" s="74">
        <f t="shared" si="0"/>
        <v>45792.380659722221</v>
      </c>
      <c r="E37" s="75">
        <f t="shared" si="1"/>
        <v>45792.380659722221</v>
      </c>
    </row>
    <row r="38" spans="1:5">
      <c r="A38" s="73" t="s">
        <v>155</v>
      </c>
      <c r="B38">
        <v>20.41</v>
      </c>
      <c r="C38">
        <v>49.43</v>
      </c>
      <c r="D38" s="74">
        <f t="shared" si="0"/>
        <v>45792.382048611114</v>
      </c>
      <c r="E38" s="75">
        <f t="shared" si="1"/>
        <v>45792.382048611114</v>
      </c>
    </row>
    <row r="39" spans="1:5">
      <c r="A39" s="73" t="s">
        <v>156</v>
      </c>
      <c r="B39">
        <v>20.420000000000002</v>
      </c>
      <c r="C39">
        <v>49.37</v>
      </c>
      <c r="D39" s="74">
        <f t="shared" si="0"/>
        <v>45792.383425925924</v>
      </c>
      <c r="E39" s="75">
        <f t="shared" si="1"/>
        <v>45792.383425925924</v>
      </c>
    </row>
    <row r="40" spans="1:5">
      <c r="A40" s="73" t="s">
        <v>157</v>
      </c>
      <c r="B40">
        <v>20.43</v>
      </c>
      <c r="C40">
        <v>49.43</v>
      </c>
      <c r="D40" s="74">
        <f t="shared" si="0"/>
        <v>45792.384814814817</v>
      </c>
      <c r="E40" s="75">
        <f t="shared" si="1"/>
        <v>45792.384814814817</v>
      </c>
    </row>
    <row r="41" spans="1:5">
      <c r="A41" s="73" t="s">
        <v>158</v>
      </c>
      <c r="B41">
        <v>20.440000000000001</v>
      </c>
      <c r="C41">
        <v>49.47</v>
      </c>
      <c r="D41" s="74">
        <f t="shared" si="0"/>
        <v>45792.38621527778</v>
      </c>
      <c r="E41" s="75">
        <f t="shared" si="1"/>
        <v>45792.38621527778</v>
      </c>
    </row>
    <row r="42" spans="1:5">
      <c r="A42" s="73" t="s">
        <v>159</v>
      </c>
      <c r="B42">
        <v>20.440000000000001</v>
      </c>
      <c r="C42">
        <v>49.29</v>
      </c>
      <c r="D42" s="74">
        <f t="shared" si="0"/>
        <v>45792.387604166666</v>
      </c>
      <c r="E42" s="75">
        <f t="shared" si="1"/>
        <v>45792.387604166666</v>
      </c>
    </row>
    <row r="43" spans="1:5">
      <c r="A43" s="73" t="s">
        <v>160</v>
      </c>
      <c r="B43">
        <v>20.43</v>
      </c>
      <c r="C43">
        <v>49.39</v>
      </c>
      <c r="D43" s="74">
        <f t="shared" si="0"/>
        <v>45792.388993055552</v>
      </c>
      <c r="E43" s="75">
        <f t="shared" si="1"/>
        <v>45792.388993055552</v>
      </c>
    </row>
    <row r="44" spans="1:5">
      <c r="A44" s="73" t="s">
        <v>161</v>
      </c>
      <c r="B44">
        <v>20.43</v>
      </c>
      <c r="C44">
        <v>49.38</v>
      </c>
      <c r="D44" s="74">
        <f t="shared" si="0"/>
        <v>45792.390370370369</v>
      </c>
      <c r="E44" s="75">
        <f t="shared" si="1"/>
        <v>45792.390370370369</v>
      </c>
    </row>
    <row r="45" spans="1:5">
      <c r="A45" s="73" t="s">
        <v>162</v>
      </c>
      <c r="B45">
        <v>20.440000000000001</v>
      </c>
      <c r="C45">
        <v>49.52</v>
      </c>
      <c r="D45" s="74">
        <f t="shared" si="0"/>
        <v>45792.391770833332</v>
      </c>
      <c r="E45" s="75">
        <f t="shared" si="1"/>
        <v>45792.391770833332</v>
      </c>
    </row>
    <row r="46" spans="1:5">
      <c r="A46" s="73" t="s">
        <v>163</v>
      </c>
      <c r="B46">
        <v>20.43</v>
      </c>
      <c r="C46">
        <v>49.58</v>
      </c>
      <c r="D46" s="74">
        <f t="shared" si="0"/>
        <v>45792.393148148149</v>
      </c>
      <c r="E46" s="75">
        <f t="shared" si="1"/>
        <v>45792.393148148149</v>
      </c>
    </row>
    <row r="47" spans="1:5">
      <c r="A47" s="73" t="s">
        <v>164</v>
      </c>
      <c r="B47">
        <v>20.440000000000001</v>
      </c>
      <c r="C47">
        <v>49.45</v>
      </c>
      <c r="D47" s="74">
        <f t="shared" si="0"/>
        <v>45792.394537037035</v>
      </c>
      <c r="E47" s="75">
        <f t="shared" si="1"/>
        <v>45792.394537037035</v>
      </c>
    </row>
    <row r="48" spans="1:5">
      <c r="A48" s="73" t="s">
        <v>165</v>
      </c>
      <c r="B48">
        <v>20.440000000000001</v>
      </c>
      <c r="C48">
        <v>49.5</v>
      </c>
      <c r="D48" s="74">
        <f t="shared" si="0"/>
        <v>45792.395925925928</v>
      </c>
      <c r="E48" s="75">
        <f t="shared" si="1"/>
        <v>45792.395925925928</v>
      </c>
    </row>
    <row r="49" spans="1:5">
      <c r="A49" s="73" t="s">
        <v>166</v>
      </c>
      <c r="B49">
        <v>20.440000000000001</v>
      </c>
      <c r="C49">
        <v>49.61</v>
      </c>
      <c r="D49" s="74">
        <f t="shared" si="0"/>
        <v>45792.397326388891</v>
      </c>
      <c r="E49" s="75">
        <f t="shared" si="1"/>
        <v>45792.397326388891</v>
      </c>
    </row>
    <row r="50" spans="1:5">
      <c r="A50" s="73" t="s">
        <v>167</v>
      </c>
      <c r="B50">
        <v>20.43</v>
      </c>
      <c r="C50">
        <v>49.56</v>
      </c>
      <c r="D50" s="74">
        <f t="shared" si="0"/>
        <v>45792.3987037037</v>
      </c>
      <c r="E50" s="75">
        <f t="shared" si="1"/>
        <v>45792.3987037037</v>
      </c>
    </row>
    <row r="51" spans="1:5">
      <c r="A51" s="73" t="s">
        <v>168</v>
      </c>
      <c r="B51">
        <v>20.43</v>
      </c>
      <c r="C51">
        <v>49.66</v>
      </c>
      <c r="D51" s="74">
        <f t="shared" si="0"/>
        <v>45792.400092592594</v>
      </c>
      <c r="E51" s="75">
        <f t="shared" si="1"/>
        <v>45792.400092592594</v>
      </c>
    </row>
    <row r="52" spans="1:5">
      <c r="A52" s="73" t="s">
        <v>169</v>
      </c>
      <c r="B52">
        <v>20.43</v>
      </c>
      <c r="C52">
        <v>49.62</v>
      </c>
      <c r="D52" s="74">
        <f t="shared" si="0"/>
        <v>45792.401493055557</v>
      </c>
      <c r="E52" s="75">
        <f t="shared" si="1"/>
        <v>45792.401493055557</v>
      </c>
    </row>
    <row r="53" spans="1:5">
      <c r="A53" s="73" t="s">
        <v>170</v>
      </c>
      <c r="B53">
        <v>20.420000000000002</v>
      </c>
      <c r="C53">
        <v>49.55</v>
      </c>
      <c r="D53" s="74">
        <f t="shared" si="0"/>
        <v>45792.402881944443</v>
      </c>
      <c r="E53" s="75">
        <f t="shared" si="1"/>
        <v>45792.402881944443</v>
      </c>
    </row>
    <row r="54" spans="1:5">
      <c r="A54" s="73" t="s">
        <v>171</v>
      </c>
      <c r="B54">
        <v>20.420000000000002</v>
      </c>
      <c r="C54">
        <v>49.16</v>
      </c>
      <c r="D54" s="74">
        <f t="shared" si="0"/>
        <v>45792.40425925926</v>
      </c>
      <c r="E54" s="75">
        <f t="shared" si="1"/>
        <v>45792.40425925926</v>
      </c>
    </row>
    <row r="55" spans="1:5">
      <c r="A55" s="73" t="s">
        <v>172</v>
      </c>
      <c r="B55">
        <v>20.420000000000002</v>
      </c>
      <c r="C55">
        <v>48.89</v>
      </c>
      <c r="D55" s="74">
        <f t="shared" si="0"/>
        <v>45792.405659722222</v>
      </c>
      <c r="E55" s="75">
        <f t="shared" si="1"/>
        <v>45792.405659722222</v>
      </c>
    </row>
    <row r="56" spans="1:5">
      <c r="A56" s="73" t="s">
        <v>173</v>
      </c>
      <c r="B56">
        <v>20.43</v>
      </c>
      <c r="C56">
        <v>48.8</v>
      </c>
      <c r="D56" s="74">
        <f t="shared" si="0"/>
        <v>45792.407037037039</v>
      </c>
      <c r="E56" s="75">
        <f t="shared" si="1"/>
        <v>45792.407037037039</v>
      </c>
    </row>
    <row r="57" spans="1:5">
      <c r="A57" s="73" t="s">
        <v>174</v>
      </c>
      <c r="B57">
        <v>20.440000000000001</v>
      </c>
      <c r="C57">
        <v>49.12</v>
      </c>
      <c r="D57" s="74">
        <f t="shared" si="0"/>
        <v>45792.408425925925</v>
      </c>
      <c r="E57" s="75">
        <f t="shared" si="1"/>
        <v>45792.408425925925</v>
      </c>
    </row>
    <row r="58" spans="1:5">
      <c r="A58" s="73" t="s">
        <v>175</v>
      </c>
      <c r="B58">
        <v>20.45</v>
      </c>
      <c r="C58">
        <v>49.3</v>
      </c>
      <c r="D58" s="74">
        <f t="shared" si="0"/>
        <v>45792.409814814811</v>
      </c>
      <c r="E58" s="75">
        <f t="shared" si="1"/>
        <v>45792.409814814811</v>
      </c>
    </row>
    <row r="59" spans="1:5">
      <c r="A59" s="73" t="s">
        <v>176</v>
      </c>
      <c r="B59">
        <v>20.46</v>
      </c>
      <c r="C59">
        <v>49.36</v>
      </c>
      <c r="D59" s="74">
        <f t="shared" si="0"/>
        <v>45792.411215277774</v>
      </c>
      <c r="E59" s="75">
        <f t="shared" si="1"/>
        <v>45792.411215277774</v>
      </c>
    </row>
    <row r="60" spans="1:5">
      <c r="A60" s="73" t="s">
        <v>177</v>
      </c>
      <c r="B60">
        <v>20.47</v>
      </c>
      <c r="C60">
        <v>49.45</v>
      </c>
      <c r="D60" s="74">
        <f t="shared" si="0"/>
        <v>45792.412592592591</v>
      </c>
      <c r="E60" s="75">
        <f t="shared" si="1"/>
        <v>45792.412592592591</v>
      </c>
    </row>
    <row r="61" spans="1:5">
      <c r="A61" s="73" t="s">
        <v>178</v>
      </c>
      <c r="B61">
        <v>20.47</v>
      </c>
      <c r="C61">
        <v>49.38</v>
      </c>
      <c r="D61" s="74">
        <f t="shared" si="0"/>
        <v>45792.413981481484</v>
      </c>
      <c r="E61" s="75">
        <f t="shared" si="1"/>
        <v>45792.413981481484</v>
      </c>
    </row>
    <row r="62" spans="1:5">
      <c r="A62" s="73" t="s">
        <v>179</v>
      </c>
      <c r="B62">
        <v>20.46</v>
      </c>
      <c r="C62">
        <v>49.51</v>
      </c>
      <c r="D62" s="74">
        <f t="shared" si="0"/>
        <v>45792.415370370371</v>
      </c>
      <c r="E62" s="75">
        <f t="shared" si="1"/>
        <v>45792.415370370371</v>
      </c>
    </row>
    <row r="63" spans="1:5">
      <c r="A63" s="73" t="s">
        <v>180</v>
      </c>
      <c r="B63">
        <v>20.47</v>
      </c>
      <c r="C63">
        <v>49.39</v>
      </c>
      <c r="D63" s="74">
        <f t="shared" si="0"/>
        <v>45792.416770833333</v>
      </c>
      <c r="E63" s="75">
        <f t="shared" si="1"/>
        <v>45792.416770833333</v>
      </c>
    </row>
    <row r="64" spans="1:5">
      <c r="A64" s="73" t="s">
        <v>181</v>
      </c>
      <c r="B64">
        <v>20.46</v>
      </c>
      <c r="C64">
        <v>49.32</v>
      </c>
      <c r="D64" s="74">
        <f t="shared" si="0"/>
        <v>45792.41814814815</v>
      </c>
      <c r="E64" s="75">
        <f t="shared" si="1"/>
        <v>45792.41814814815</v>
      </c>
    </row>
    <row r="65" spans="1:5">
      <c r="A65" s="73" t="s">
        <v>182</v>
      </c>
      <c r="B65">
        <v>20.46</v>
      </c>
      <c r="C65">
        <v>49.35</v>
      </c>
      <c r="D65" s="74">
        <f t="shared" si="0"/>
        <v>45792.419537037036</v>
      </c>
      <c r="E65" s="75">
        <f t="shared" si="1"/>
        <v>45792.419537037036</v>
      </c>
    </row>
    <row r="66" spans="1:5">
      <c r="A66" s="73" t="s">
        <v>183</v>
      </c>
      <c r="B66">
        <v>20.46</v>
      </c>
      <c r="C66">
        <v>49.32</v>
      </c>
      <c r="D66" s="74">
        <f t="shared" si="0"/>
        <v>45792.420925925922</v>
      </c>
      <c r="E66" s="75">
        <f t="shared" si="1"/>
        <v>45792.420925925922</v>
      </c>
    </row>
    <row r="67" spans="1:5">
      <c r="A67" s="73" t="s">
        <v>184</v>
      </c>
      <c r="B67">
        <v>20.47</v>
      </c>
      <c r="C67">
        <v>49.35</v>
      </c>
      <c r="D67" s="74">
        <f t="shared" ref="D67:D130" si="2">A67+12/24</f>
        <v>45792.422326388885</v>
      </c>
      <c r="E67" s="75">
        <f t="shared" ref="E67:E130" si="3">D67</f>
        <v>45792.422326388885</v>
      </c>
    </row>
    <row r="68" spans="1:5">
      <c r="A68" s="73" t="s">
        <v>185</v>
      </c>
      <c r="B68">
        <v>20.48</v>
      </c>
      <c r="C68">
        <v>49.41</v>
      </c>
      <c r="D68" s="74">
        <f t="shared" si="2"/>
        <v>45792.423703703702</v>
      </c>
      <c r="E68" s="75">
        <f t="shared" si="3"/>
        <v>45792.423703703702</v>
      </c>
    </row>
    <row r="69" spans="1:5">
      <c r="A69" s="73" t="s">
        <v>186</v>
      </c>
      <c r="B69">
        <v>20.47</v>
      </c>
      <c r="C69">
        <v>49.31</v>
      </c>
      <c r="D69" s="74">
        <f t="shared" si="2"/>
        <v>45792.425092592595</v>
      </c>
      <c r="E69" s="75">
        <f t="shared" si="3"/>
        <v>45792.425092592595</v>
      </c>
    </row>
    <row r="70" spans="1:5">
      <c r="A70" s="73" t="s">
        <v>187</v>
      </c>
      <c r="B70">
        <v>20.48</v>
      </c>
      <c r="C70">
        <v>49.4</v>
      </c>
      <c r="D70" s="74">
        <f t="shared" si="2"/>
        <v>45792.426481481481</v>
      </c>
      <c r="E70" s="75">
        <f t="shared" si="3"/>
        <v>45792.426481481481</v>
      </c>
    </row>
    <row r="71" spans="1:5">
      <c r="A71" s="73" t="s">
        <v>188</v>
      </c>
      <c r="B71">
        <v>20.46</v>
      </c>
      <c r="C71">
        <v>49.34</v>
      </c>
      <c r="D71" s="74">
        <f t="shared" si="2"/>
        <v>45792.427881944444</v>
      </c>
      <c r="E71" s="75">
        <f t="shared" si="3"/>
        <v>45792.427881944444</v>
      </c>
    </row>
    <row r="72" spans="1:5">
      <c r="A72" s="73" t="s">
        <v>189</v>
      </c>
      <c r="B72">
        <v>20.47</v>
      </c>
      <c r="C72">
        <v>49.35</v>
      </c>
      <c r="D72" s="74">
        <f t="shared" si="2"/>
        <v>45792.429259259261</v>
      </c>
      <c r="E72" s="75">
        <f t="shared" si="3"/>
        <v>45792.429259259261</v>
      </c>
    </row>
    <row r="73" spans="1:5">
      <c r="A73" s="73" t="s">
        <v>190</v>
      </c>
      <c r="B73">
        <v>20.46</v>
      </c>
      <c r="C73">
        <v>49.45</v>
      </c>
      <c r="D73" s="74">
        <f t="shared" si="2"/>
        <v>45792.430659722224</v>
      </c>
      <c r="E73" s="75">
        <f t="shared" si="3"/>
        <v>45792.430659722224</v>
      </c>
    </row>
    <row r="74" spans="1:5">
      <c r="A74" s="73" t="s">
        <v>191</v>
      </c>
      <c r="B74">
        <v>20.46</v>
      </c>
      <c r="C74">
        <v>49.35</v>
      </c>
      <c r="D74" s="74">
        <f t="shared" si="2"/>
        <v>45792.432037037041</v>
      </c>
      <c r="E74" s="75">
        <f t="shared" si="3"/>
        <v>45792.432037037041</v>
      </c>
    </row>
    <row r="75" spans="1:5">
      <c r="A75" s="73" t="s">
        <v>192</v>
      </c>
      <c r="B75">
        <v>20.47</v>
      </c>
      <c r="C75">
        <v>49.32</v>
      </c>
      <c r="D75" s="74">
        <f t="shared" si="2"/>
        <v>45792.433437500003</v>
      </c>
      <c r="E75" s="75">
        <f t="shared" si="3"/>
        <v>45792.433437500003</v>
      </c>
    </row>
    <row r="76" spans="1:5">
      <c r="A76" s="73" t="s">
        <v>193</v>
      </c>
      <c r="B76">
        <v>20.48</v>
      </c>
      <c r="C76">
        <v>49.42</v>
      </c>
      <c r="D76" s="74">
        <f t="shared" si="2"/>
        <v>45792.43482638889</v>
      </c>
      <c r="E76" s="75">
        <f t="shared" si="3"/>
        <v>45792.43482638889</v>
      </c>
    </row>
    <row r="77" spans="1:5">
      <c r="A77" s="73" t="s">
        <v>194</v>
      </c>
      <c r="B77">
        <v>20.46</v>
      </c>
      <c r="C77">
        <v>49.41</v>
      </c>
      <c r="D77" s="74">
        <f t="shared" si="2"/>
        <v>45792.436215277776</v>
      </c>
      <c r="E77" s="75">
        <f t="shared" si="3"/>
        <v>45792.436215277776</v>
      </c>
    </row>
    <row r="78" spans="1:5">
      <c r="A78" s="73" t="s">
        <v>195</v>
      </c>
      <c r="B78">
        <v>20.45</v>
      </c>
      <c r="C78">
        <v>49.51</v>
      </c>
      <c r="D78" s="74">
        <f t="shared" si="2"/>
        <v>45792.437592592592</v>
      </c>
      <c r="E78" s="75">
        <f t="shared" si="3"/>
        <v>45792.437592592592</v>
      </c>
    </row>
    <row r="79" spans="1:5">
      <c r="A79" s="73" t="s">
        <v>196</v>
      </c>
      <c r="B79">
        <v>20.440000000000001</v>
      </c>
      <c r="C79">
        <v>49.19</v>
      </c>
      <c r="D79" s="74">
        <f t="shared" si="2"/>
        <v>45792.438993055555</v>
      </c>
      <c r="E79" s="75">
        <f t="shared" si="3"/>
        <v>45792.438993055555</v>
      </c>
    </row>
    <row r="80" spans="1:5">
      <c r="A80" s="73" t="s">
        <v>197</v>
      </c>
      <c r="B80">
        <v>20.440000000000001</v>
      </c>
      <c r="C80">
        <v>48.86</v>
      </c>
      <c r="D80" s="74">
        <f t="shared" si="2"/>
        <v>45792.440370370372</v>
      </c>
      <c r="E80" s="75">
        <f t="shared" si="3"/>
        <v>45792.440370370372</v>
      </c>
    </row>
    <row r="81" spans="1:5">
      <c r="A81" s="73" t="s">
        <v>198</v>
      </c>
      <c r="B81">
        <v>20.43</v>
      </c>
      <c r="C81">
        <v>48.63</v>
      </c>
      <c r="D81" s="74">
        <f t="shared" si="2"/>
        <v>45792.441759259258</v>
      </c>
      <c r="E81" s="75">
        <f t="shared" si="3"/>
        <v>45792.441759259258</v>
      </c>
    </row>
    <row r="82" spans="1:5">
      <c r="A82" s="73" t="s">
        <v>199</v>
      </c>
      <c r="B82">
        <v>20.43</v>
      </c>
      <c r="C82">
        <v>48.93</v>
      </c>
      <c r="D82" s="74">
        <f t="shared" si="2"/>
        <v>45792.443148148152</v>
      </c>
      <c r="E82" s="75">
        <f t="shared" si="3"/>
        <v>45792.443148148152</v>
      </c>
    </row>
    <row r="83" spans="1:5">
      <c r="A83" s="73" t="s">
        <v>200</v>
      </c>
      <c r="B83">
        <v>20.440000000000001</v>
      </c>
      <c r="C83">
        <v>49.04</v>
      </c>
      <c r="D83" s="74">
        <f t="shared" si="2"/>
        <v>45792.444548611114</v>
      </c>
      <c r="E83" s="75">
        <f t="shared" si="3"/>
        <v>45792.444548611114</v>
      </c>
    </row>
    <row r="84" spans="1:5">
      <c r="A84" s="73" t="s">
        <v>201</v>
      </c>
      <c r="B84">
        <v>20.43</v>
      </c>
      <c r="C84">
        <v>49</v>
      </c>
      <c r="D84" s="74">
        <f t="shared" si="2"/>
        <v>45792.445937500001</v>
      </c>
      <c r="E84" s="75">
        <f t="shared" si="3"/>
        <v>45792.445937500001</v>
      </c>
    </row>
    <row r="85" spans="1:5">
      <c r="A85" s="73" t="s">
        <v>202</v>
      </c>
      <c r="B85">
        <v>20.43</v>
      </c>
      <c r="C85">
        <v>49.02</v>
      </c>
      <c r="D85" s="74">
        <f t="shared" si="2"/>
        <v>45792.447326388887</v>
      </c>
      <c r="E85" s="75">
        <f t="shared" si="3"/>
        <v>45792.447326388887</v>
      </c>
    </row>
    <row r="86" spans="1:5">
      <c r="A86" s="73" t="s">
        <v>203</v>
      </c>
      <c r="B86">
        <v>20.43</v>
      </c>
      <c r="C86">
        <v>49.17</v>
      </c>
      <c r="D86" s="74">
        <f t="shared" si="2"/>
        <v>45792.448703703703</v>
      </c>
      <c r="E86" s="75">
        <f t="shared" si="3"/>
        <v>45792.448703703703</v>
      </c>
    </row>
    <row r="87" spans="1:5">
      <c r="A87" s="73" t="s">
        <v>204</v>
      </c>
      <c r="B87">
        <v>20.43</v>
      </c>
      <c r="C87">
        <v>49.24</v>
      </c>
      <c r="D87" s="74">
        <f t="shared" si="2"/>
        <v>45792.450104166666</v>
      </c>
      <c r="E87" s="75">
        <f t="shared" si="3"/>
        <v>45792.450104166666</v>
      </c>
    </row>
    <row r="88" spans="1:5">
      <c r="A88" s="73" t="s">
        <v>205</v>
      </c>
      <c r="B88">
        <v>20.420000000000002</v>
      </c>
      <c r="C88">
        <v>49.39</v>
      </c>
      <c r="D88" s="74">
        <f t="shared" si="2"/>
        <v>45792.451481481483</v>
      </c>
      <c r="E88" s="75">
        <f t="shared" si="3"/>
        <v>45792.451481481483</v>
      </c>
    </row>
    <row r="89" spans="1:5">
      <c r="A89" s="73" t="s">
        <v>206</v>
      </c>
      <c r="B89">
        <v>20.420000000000002</v>
      </c>
      <c r="C89">
        <v>49.44</v>
      </c>
      <c r="D89" s="74">
        <f t="shared" si="2"/>
        <v>45792.452870370369</v>
      </c>
      <c r="E89" s="75">
        <f t="shared" si="3"/>
        <v>45792.452870370369</v>
      </c>
    </row>
    <row r="90" spans="1:5">
      <c r="A90" s="73" t="s">
        <v>207</v>
      </c>
      <c r="B90">
        <v>20.43</v>
      </c>
      <c r="C90">
        <v>49.43</v>
      </c>
      <c r="D90" s="74">
        <f t="shared" si="2"/>
        <v>45792.454259259262</v>
      </c>
      <c r="E90" s="75">
        <f t="shared" si="3"/>
        <v>45792.454259259262</v>
      </c>
    </row>
    <row r="91" spans="1:5">
      <c r="A91" s="73" t="s">
        <v>208</v>
      </c>
      <c r="B91">
        <v>20.420000000000002</v>
      </c>
      <c r="C91">
        <v>49.43</v>
      </c>
      <c r="D91" s="74">
        <f t="shared" si="2"/>
        <v>45792.455659722225</v>
      </c>
      <c r="E91" s="75">
        <f t="shared" si="3"/>
        <v>45792.455659722225</v>
      </c>
    </row>
    <row r="92" spans="1:5">
      <c r="A92" s="73" t="s">
        <v>209</v>
      </c>
      <c r="B92">
        <v>20.43</v>
      </c>
      <c r="C92">
        <v>49.38</v>
      </c>
      <c r="D92" s="74">
        <f t="shared" si="2"/>
        <v>45792.457037037035</v>
      </c>
      <c r="E92" s="75">
        <f t="shared" si="3"/>
        <v>45792.457037037035</v>
      </c>
    </row>
    <row r="93" spans="1:5">
      <c r="A93" s="73" t="s">
        <v>210</v>
      </c>
      <c r="B93">
        <v>20.420000000000002</v>
      </c>
      <c r="C93">
        <v>49.35</v>
      </c>
      <c r="D93" s="74">
        <f t="shared" si="2"/>
        <v>45792.458425925928</v>
      </c>
      <c r="E93" s="75">
        <f t="shared" si="3"/>
        <v>45792.458425925928</v>
      </c>
    </row>
    <row r="94" spans="1:5">
      <c r="A94" s="73" t="s">
        <v>211</v>
      </c>
      <c r="B94">
        <v>20.41</v>
      </c>
      <c r="C94">
        <v>49.33</v>
      </c>
      <c r="D94" s="74">
        <f t="shared" si="2"/>
        <v>45792.459814814814</v>
      </c>
      <c r="E94" s="75">
        <f t="shared" si="3"/>
        <v>45792.459814814814</v>
      </c>
    </row>
    <row r="95" spans="1:5">
      <c r="A95" s="73" t="s">
        <v>212</v>
      </c>
      <c r="B95">
        <v>20.420000000000002</v>
      </c>
      <c r="C95">
        <v>49.18</v>
      </c>
      <c r="D95" s="74">
        <f t="shared" si="2"/>
        <v>45792.461215277777</v>
      </c>
      <c r="E95" s="75">
        <f t="shared" si="3"/>
        <v>45792.461215277777</v>
      </c>
    </row>
    <row r="96" spans="1:5">
      <c r="A96" s="73" t="s">
        <v>213</v>
      </c>
      <c r="B96">
        <v>20.440000000000001</v>
      </c>
      <c r="C96">
        <v>49.19</v>
      </c>
      <c r="D96" s="74">
        <f t="shared" si="2"/>
        <v>45792.462592592594</v>
      </c>
      <c r="E96" s="75">
        <f t="shared" si="3"/>
        <v>45792.462592592594</v>
      </c>
    </row>
    <row r="97" spans="1:5">
      <c r="A97" s="73" t="s">
        <v>214</v>
      </c>
      <c r="B97">
        <v>20.43</v>
      </c>
      <c r="C97">
        <v>49.29</v>
      </c>
      <c r="D97" s="74">
        <f t="shared" si="2"/>
        <v>45792.46398148148</v>
      </c>
      <c r="E97" s="75">
        <f t="shared" si="3"/>
        <v>45792.46398148148</v>
      </c>
    </row>
    <row r="98" spans="1:5">
      <c r="A98" s="73" t="s">
        <v>215</v>
      </c>
      <c r="B98">
        <v>20.440000000000001</v>
      </c>
      <c r="C98">
        <v>49.14</v>
      </c>
      <c r="D98" s="74">
        <f t="shared" si="2"/>
        <v>45792.465370370373</v>
      </c>
      <c r="E98" s="75">
        <f t="shared" si="3"/>
        <v>45792.465370370373</v>
      </c>
    </row>
    <row r="99" spans="1:5">
      <c r="A99" s="73" t="s">
        <v>216</v>
      </c>
      <c r="B99">
        <v>20.43</v>
      </c>
      <c r="C99">
        <v>49.15</v>
      </c>
      <c r="D99" s="74">
        <f t="shared" si="2"/>
        <v>45792.466770833336</v>
      </c>
      <c r="E99" s="75">
        <f t="shared" si="3"/>
        <v>45792.466770833336</v>
      </c>
    </row>
    <row r="100" spans="1:5">
      <c r="A100" s="73" t="s">
        <v>217</v>
      </c>
      <c r="B100">
        <v>20.440000000000001</v>
      </c>
      <c r="C100">
        <v>49.22</v>
      </c>
      <c r="D100" s="74">
        <f t="shared" si="2"/>
        <v>45792.468159722222</v>
      </c>
      <c r="E100" s="75">
        <f t="shared" si="3"/>
        <v>45792.468159722222</v>
      </c>
    </row>
    <row r="101" spans="1:5">
      <c r="A101" s="73" t="s">
        <v>218</v>
      </c>
      <c r="B101">
        <v>20.440000000000001</v>
      </c>
      <c r="C101">
        <v>49.18</v>
      </c>
      <c r="D101" s="74">
        <f t="shared" si="2"/>
        <v>45792.469548611109</v>
      </c>
      <c r="E101" s="75">
        <f t="shared" si="3"/>
        <v>45792.469548611109</v>
      </c>
    </row>
    <row r="102" spans="1:5">
      <c r="A102" s="73" t="s">
        <v>219</v>
      </c>
      <c r="B102">
        <v>20.43</v>
      </c>
      <c r="C102">
        <v>49.33</v>
      </c>
      <c r="D102" s="74">
        <f t="shared" si="2"/>
        <v>45792.470925925925</v>
      </c>
      <c r="E102" s="75">
        <f t="shared" si="3"/>
        <v>45792.470925925925</v>
      </c>
    </row>
    <row r="103" spans="1:5">
      <c r="A103" s="73" t="s">
        <v>220</v>
      </c>
      <c r="B103">
        <v>20.420000000000002</v>
      </c>
      <c r="C103">
        <v>49.41</v>
      </c>
      <c r="D103" s="74">
        <f t="shared" si="2"/>
        <v>45792.472326388888</v>
      </c>
      <c r="E103" s="75">
        <f t="shared" si="3"/>
        <v>45792.472326388888</v>
      </c>
    </row>
    <row r="104" spans="1:5">
      <c r="A104" s="73" t="s">
        <v>221</v>
      </c>
      <c r="B104">
        <v>20.440000000000001</v>
      </c>
      <c r="C104">
        <v>49.35</v>
      </c>
      <c r="D104" s="74">
        <f t="shared" si="2"/>
        <v>45792.473703703705</v>
      </c>
      <c r="E104" s="75">
        <f t="shared" si="3"/>
        <v>45792.473703703705</v>
      </c>
    </row>
    <row r="105" spans="1:5">
      <c r="A105" s="73" t="s">
        <v>222</v>
      </c>
      <c r="B105">
        <v>20.45</v>
      </c>
      <c r="C105">
        <v>49.4</v>
      </c>
      <c r="D105" s="74">
        <f t="shared" si="2"/>
        <v>45792.475092592591</v>
      </c>
      <c r="E105" s="75">
        <f t="shared" si="3"/>
        <v>45792.475092592591</v>
      </c>
    </row>
    <row r="106" spans="1:5">
      <c r="A106" s="73" t="s">
        <v>223</v>
      </c>
      <c r="B106">
        <v>20.41</v>
      </c>
      <c r="C106">
        <v>49.44</v>
      </c>
      <c r="D106" s="74">
        <f t="shared" si="2"/>
        <v>45792.476481481484</v>
      </c>
      <c r="E106" s="75">
        <f t="shared" si="3"/>
        <v>45792.476481481484</v>
      </c>
    </row>
    <row r="107" spans="1:5">
      <c r="A107" s="73" t="s">
        <v>224</v>
      </c>
      <c r="B107">
        <v>20.420000000000002</v>
      </c>
      <c r="C107">
        <v>49.22</v>
      </c>
      <c r="D107" s="74">
        <f t="shared" si="2"/>
        <v>45792.477881944447</v>
      </c>
      <c r="E107" s="75">
        <f t="shared" si="3"/>
        <v>45792.477881944447</v>
      </c>
    </row>
    <row r="108" spans="1:5">
      <c r="A108" s="73" t="s">
        <v>225</v>
      </c>
      <c r="B108">
        <v>20.420000000000002</v>
      </c>
      <c r="C108">
        <v>49.22</v>
      </c>
      <c r="D108" s="74">
        <f t="shared" si="2"/>
        <v>45792.479259259257</v>
      </c>
      <c r="E108" s="75">
        <f t="shared" si="3"/>
        <v>45792.479259259257</v>
      </c>
    </row>
    <row r="109" spans="1:5">
      <c r="A109" s="73" t="s">
        <v>226</v>
      </c>
      <c r="B109">
        <v>20.43</v>
      </c>
      <c r="C109">
        <v>49.28</v>
      </c>
      <c r="D109" s="74">
        <f t="shared" si="2"/>
        <v>45792.48064814815</v>
      </c>
      <c r="E109" s="75">
        <f t="shared" si="3"/>
        <v>45792.48064814815</v>
      </c>
    </row>
    <row r="110" spans="1:5">
      <c r="A110" s="73" t="s">
        <v>227</v>
      </c>
      <c r="B110">
        <v>20.420000000000002</v>
      </c>
      <c r="C110">
        <v>49.23</v>
      </c>
      <c r="D110" s="74">
        <f t="shared" si="2"/>
        <v>45792.482037037036</v>
      </c>
      <c r="E110" s="75">
        <f t="shared" si="3"/>
        <v>45792.482037037036</v>
      </c>
    </row>
    <row r="111" spans="1:5">
      <c r="A111" s="73" t="s">
        <v>228</v>
      </c>
      <c r="B111">
        <v>20.440000000000001</v>
      </c>
      <c r="C111">
        <v>49.21</v>
      </c>
      <c r="D111" s="74">
        <f t="shared" si="2"/>
        <v>45792.483437499999</v>
      </c>
      <c r="E111" s="75">
        <f t="shared" si="3"/>
        <v>45792.483437499999</v>
      </c>
    </row>
    <row r="112" spans="1:5">
      <c r="A112" s="73" t="s">
        <v>229</v>
      </c>
      <c r="B112">
        <v>20.43</v>
      </c>
      <c r="C112">
        <v>49.12</v>
      </c>
      <c r="D112" s="74">
        <f t="shared" si="2"/>
        <v>45792.484826388885</v>
      </c>
      <c r="E112" s="75">
        <f t="shared" si="3"/>
        <v>45792.484826388885</v>
      </c>
    </row>
    <row r="113" spans="1:5">
      <c r="A113" s="73" t="s">
        <v>230</v>
      </c>
      <c r="B113">
        <v>20.43</v>
      </c>
      <c r="C113">
        <v>48.98</v>
      </c>
      <c r="D113" s="74">
        <f t="shared" si="2"/>
        <v>45792.486215277779</v>
      </c>
      <c r="E113" s="75">
        <f t="shared" si="3"/>
        <v>45792.486215277779</v>
      </c>
    </row>
    <row r="114" spans="1:5">
      <c r="A114" s="73" t="s">
        <v>231</v>
      </c>
      <c r="B114">
        <v>20.43</v>
      </c>
      <c r="C114">
        <v>48.98</v>
      </c>
      <c r="D114" s="74">
        <f t="shared" si="2"/>
        <v>45792.487592592595</v>
      </c>
      <c r="E114" s="75">
        <f t="shared" si="3"/>
        <v>45792.487592592595</v>
      </c>
    </row>
    <row r="115" spans="1:5">
      <c r="A115" s="73" t="s">
        <v>232</v>
      </c>
      <c r="B115">
        <v>20.41</v>
      </c>
      <c r="C115">
        <v>48.95</v>
      </c>
      <c r="D115" s="74">
        <f t="shared" si="2"/>
        <v>45792.488993055558</v>
      </c>
      <c r="E115" s="75">
        <f t="shared" si="3"/>
        <v>45792.488993055558</v>
      </c>
    </row>
    <row r="116" spans="1:5">
      <c r="A116" s="73" t="s">
        <v>233</v>
      </c>
      <c r="B116">
        <v>20.440000000000001</v>
      </c>
      <c r="C116">
        <v>48.84</v>
      </c>
      <c r="D116" s="74">
        <f t="shared" si="2"/>
        <v>45792.490370370368</v>
      </c>
      <c r="E116" s="75">
        <f t="shared" si="3"/>
        <v>45792.490370370368</v>
      </c>
    </row>
    <row r="117" spans="1:5">
      <c r="A117" s="73" t="s">
        <v>234</v>
      </c>
      <c r="B117">
        <v>20.43</v>
      </c>
      <c r="C117">
        <v>48.83</v>
      </c>
      <c r="D117" s="74">
        <f t="shared" si="2"/>
        <v>45792.491759259261</v>
      </c>
      <c r="E117" s="75">
        <f t="shared" si="3"/>
        <v>45792.491759259261</v>
      </c>
    </row>
    <row r="118" spans="1:5">
      <c r="A118" s="73" t="s">
        <v>235</v>
      </c>
      <c r="B118">
        <v>20.420000000000002</v>
      </c>
      <c r="C118">
        <v>48.89</v>
      </c>
      <c r="D118" s="74">
        <f t="shared" si="2"/>
        <v>45792.493148148147</v>
      </c>
      <c r="E118" s="75">
        <f t="shared" si="3"/>
        <v>45792.493148148147</v>
      </c>
    </row>
    <row r="119" spans="1:5">
      <c r="A119" s="73" t="s">
        <v>236</v>
      </c>
      <c r="B119">
        <v>20.440000000000001</v>
      </c>
      <c r="C119">
        <v>48.72</v>
      </c>
      <c r="D119" s="74">
        <f t="shared" si="2"/>
        <v>45792.49454861111</v>
      </c>
      <c r="E119" s="75">
        <f t="shared" si="3"/>
        <v>45792.49454861111</v>
      </c>
    </row>
    <row r="120" spans="1:5">
      <c r="A120" s="73" t="s">
        <v>237</v>
      </c>
      <c r="B120">
        <v>20.440000000000001</v>
      </c>
      <c r="C120">
        <v>48.75</v>
      </c>
      <c r="D120" s="74">
        <f t="shared" si="2"/>
        <v>45792.495925925927</v>
      </c>
      <c r="E120" s="75">
        <f t="shared" si="3"/>
        <v>45792.495925925927</v>
      </c>
    </row>
    <row r="121" spans="1:5">
      <c r="A121" s="73" t="s">
        <v>238</v>
      </c>
      <c r="B121">
        <v>20.43</v>
      </c>
      <c r="C121">
        <v>48.79</v>
      </c>
      <c r="D121" s="74">
        <f t="shared" si="2"/>
        <v>45792.49732638889</v>
      </c>
      <c r="E121" s="75">
        <f t="shared" si="3"/>
        <v>45792.49732638889</v>
      </c>
    </row>
    <row r="122" spans="1:5">
      <c r="A122" s="73" t="s">
        <v>239</v>
      </c>
      <c r="B122">
        <v>20.440000000000001</v>
      </c>
      <c r="C122">
        <v>48.83</v>
      </c>
      <c r="D122" s="74">
        <f t="shared" si="2"/>
        <v>45792.498703703706</v>
      </c>
      <c r="E122" s="75">
        <f t="shared" si="3"/>
        <v>45792.498703703706</v>
      </c>
    </row>
    <row r="123" spans="1:5">
      <c r="A123" s="73" t="s">
        <v>240</v>
      </c>
      <c r="B123">
        <v>20.420000000000002</v>
      </c>
      <c r="C123">
        <v>48.71</v>
      </c>
      <c r="D123" s="74">
        <f t="shared" si="2"/>
        <v>45792.500104166669</v>
      </c>
      <c r="E123" s="75">
        <f t="shared" si="3"/>
        <v>45792.500104166669</v>
      </c>
    </row>
    <row r="124" spans="1:5">
      <c r="A124" s="73" t="s">
        <v>241</v>
      </c>
      <c r="B124">
        <v>20.420000000000002</v>
      </c>
      <c r="C124">
        <v>48.78</v>
      </c>
      <c r="D124" s="74">
        <f t="shared" si="2"/>
        <v>45792.501481481479</v>
      </c>
      <c r="E124" s="75">
        <f t="shared" si="3"/>
        <v>45792.501481481479</v>
      </c>
    </row>
    <row r="125" spans="1:5">
      <c r="A125" s="73" t="s">
        <v>242</v>
      </c>
      <c r="B125">
        <v>20.43</v>
      </c>
      <c r="C125">
        <v>48.76</v>
      </c>
      <c r="D125" s="74">
        <f t="shared" si="2"/>
        <v>45792.502870370372</v>
      </c>
      <c r="E125" s="75">
        <f t="shared" si="3"/>
        <v>45792.502870370372</v>
      </c>
    </row>
    <row r="126" spans="1:5">
      <c r="A126" s="73" t="s">
        <v>243</v>
      </c>
      <c r="B126">
        <v>20.420000000000002</v>
      </c>
      <c r="C126">
        <v>48.52</v>
      </c>
      <c r="D126" s="74">
        <f t="shared" si="2"/>
        <v>45792.504259259258</v>
      </c>
      <c r="E126" s="75">
        <f t="shared" si="3"/>
        <v>45792.504259259258</v>
      </c>
    </row>
    <row r="127" spans="1:5">
      <c r="A127" s="73" t="s">
        <v>244</v>
      </c>
      <c r="B127">
        <v>20.440000000000001</v>
      </c>
      <c r="C127">
        <v>48.41</v>
      </c>
      <c r="D127" s="74">
        <f t="shared" si="2"/>
        <v>45792.505659722221</v>
      </c>
      <c r="E127" s="75">
        <f t="shared" si="3"/>
        <v>45792.505659722221</v>
      </c>
    </row>
    <row r="128" spans="1:5">
      <c r="A128" s="73" t="s">
        <v>245</v>
      </c>
      <c r="B128">
        <v>20.440000000000001</v>
      </c>
      <c r="C128">
        <v>48.36</v>
      </c>
      <c r="D128" s="74">
        <f t="shared" si="2"/>
        <v>45792.507037037038</v>
      </c>
      <c r="E128" s="75">
        <f t="shared" si="3"/>
        <v>45792.507037037038</v>
      </c>
    </row>
    <row r="129" spans="1:5">
      <c r="A129" s="73" t="s">
        <v>246</v>
      </c>
      <c r="B129">
        <v>20.440000000000001</v>
      </c>
      <c r="C129">
        <v>48.37</v>
      </c>
      <c r="D129" s="74">
        <f t="shared" si="2"/>
        <v>45792.508437500001</v>
      </c>
      <c r="E129" s="75">
        <f t="shared" si="3"/>
        <v>45792.508437500001</v>
      </c>
    </row>
    <row r="130" spans="1:5">
      <c r="A130" s="73" t="s">
        <v>247</v>
      </c>
      <c r="B130">
        <v>20.440000000000001</v>
      </c>
      <c r="C130">
        <v>48.4</v>
      </c>
      <c r="D130" s="74">
        <f t="shared" si="2"/>
        <v>45792.509814814817</v>
      </c>
      <c r="E130" s="75">
        <f t="shared" si="3"/>
        <v>45792.509814814817</v>
      </c>
    </row>
    <row r="131" spans="1:5">
      <c r="A131" s="73" t="s">
        <v>248</v>
      </c>
      <c r="B131">
        <v>20.43</v>
      </c>
      <c r="C131">
        <v>48.29</v>
      </c>
      <c r="D131" s="74">
        <f t="shared" ref="D131:D194" si="4">A131+12/24</f>
        <v>45792.51121527778</v>
      </c>
      <c r="E131" s="75">
        <f t="shared" ref="E131:E194" si="5">D131</f>
        <v>45792.51121527778</v>
      </c>
    </row>
    <row r="132" spans="1:5">
      <c r="A132" s="73" t="s">
        <v>249</v>
      </c>
      <c r="B132">
        <v>20.45</v>
      </c>
      <c r="C132">
        <v>48.28</v>
      </c>
      <c r="D132" s="74">
        <f t="shared" si="4"/>
        <v>45792.512592592589</v>
      </c>
      <c r="E132" s="75">
        <f t="shared" si="5"/>
        <v>45792.512592592589</v>
      </c>
    </row>
    <row r="133" spans="1:5">
      <c r="A133" s="73" t="s">
        <v>250</v>
      </c>
      <c r="B133">
        <v>20.440000000000001</v>
      </c>
      <c r="C133">
        <v>48.33</v>
      </c>
      <c r="D133" s="74">
        <f t="shared" si="4"/>
        <v>45792.513993055552</v>
      </c>
      <c r="E133" s="75">
        <f t="shared" si="5"/>
        <v>45792.513993055552</v>
      </c>
    </row>
    <row r="134" spans="1:5">
      <c r="A134" s="73" t="s">
        <v>251</v>
      </c>
      <c r="B134">
        <v>20.45</v>
      </c>
      <c r="C134">
        <v>48.53</v>
      </c>
      <c r="D134" s="74">
        <f t="shared" si="4"/>
        <v>45792.515370370369</v>
      </c>
      <c r="E134" s="75">
        <f t="shared" si="5"/>
        <v>45792.515370370369</v>
      </c>
    </row>
    <row r="135" spans="1:5">
      <c r="A135" s="73" t="s">
        <v>252</v>
      </c>
      <c r="B135">
        <v>20.440000000000001</v>
      </c>
      <c r="C135">
        <v>48.6</v>
      </c>
      <c r="D135" s="74">
        <f t="shared" si="4"/>
        <v>45792.516770833332</v>
      </c>
      <c r="E135" s="75">
        <f t="shared" si="5"/>
        <v>45792.516770833332</v>
      </c>
    </row>
    <row r="136" spans="1:5">
      <c r="A136" s="73" t="s">
        <v>253</v>
      </c>
      <c r="B136">
        <v>20.43</v>
      </c>
      <c r="C136">
        <v>48.53</v>
      </c>
      <c r="D136" s="74">
        <f t="shared" si="4"/>
        <v>45792.518159722225</v>
      </c>
      <c r="E136" s="75">
        <f t="shared" si="5"/>
        <v>45792.518159722225</v>
      </c>
    </row>
    <row r="137" spans="1:5">
      <c r="A137" s="73" t="s">
        <v>254</v>
      </c>
      <c r="B137">
        <v>20.41</v>
      </c>
      <c r="C137">
        <v>48.64</v>
      </c>
      <c r="D137" s="74">
        <f t="shared" si="4"/>
        <v>45792.519548611112</v>
      </c>
      <c r="E137" s="75">
        <f t="shared" si="5"/>
        <v>45792.519548611112</v>
      </c>
    </row>
    <row r="138" spans="1:5">
      <c r="A138" s="73" t="s">
        <v>255</v>
      </c>
      <c r="B138">
        <v>20.43</v>
      </c>
      <c r="C138">
        <v>48.7</v>
      </c>
      <c r="D138" s="74">
        <f t="shared" si="4"/>
        <v>45792.520925925928</v>
      </c>
      <c r="E138" s="75">
        <f t="shared" si="5"/>
        <v>45792.520925925928</v>
      </c>
    </row>
    <row r="139" spans="1:5">
      <c r="A139" s="73" t="s">
        <v>256</v>
      </c>
      <c r="B139">
        <v>20.420000000000002</v>
      </c>
      <c r="C139">
        <v>48.64</v>
      </c>
      <c r="D139" s="74">
        <f t="shared" si="4"/>
        <v>45792.522326388891</v>
      </c>
      <c r="E139" s="75">
        <f t="shared" si="5"/>
        <v>45792.522326388891</v>
      </c>
    </row>
    <row r="140" spans="1:5">
      <c r="A140" s="73" t="s">
        <v>257</v>
      </c>
      <c r="B140">
        <v>20.41</v>
      </c>
      <c r="C140">
        <v>48.76</v>
      </c>
      <c r="D140" s="74">
        <f t="shared" si="4"/>
        <v>45792.523715277777</v>
      </c>
      <c r="E140" s="75">
        <f t="shared" si="5"/>
        <v>45792.523715277777</v>
      </c>
    </row>
    <row r="141" spans="1:5">
      <c r="A141" s="73" t="s">
        <v>258</v>
      </c>
      <c r="B141">
        <v>20.420000000000002</v>
      </c>
      <c r="C141">
        <v>48.83</v>
      </c>
      <c r="D141" s="74">
        <f t="shared" si="4"/>
        <v>45792.525104166663</v>
      </c>
      <c r="E141" s="75">
        <f t="shared" si="5"/>
        <v>45792.525104166663</v>
      </c>
    </row>
    <row r="142" spans="1:5">
      <c r="A142" s="73" t="s">
        <v>259</v>
      </c>
      <c r="B142">
        <v>20.420000000000002</v>
      </c>
      <c r="C142">
        <v>48.76</v>
      </c>
      <c r="D142" s="74">
        <f t="shared" si="4"/>
        <v>45792.52648148148</v>
      </c>
      <c r="E142" s="75">
        <f t="shared" si="5"/>
        <v>45792.52648148148</v>
      </c>
    </row>
    <row r="143" spans="1:5">
      <c r="A143" s="73" t="s">
        <v>260</v>
      </c>
      <c r="B143">
        <v>20.43</v>
      </c>
      <c r="C143">
        <v>48.84</v>
      </c>
      <c r="D143" s="74">
        <f t="shared" si="4"/>
        <v>45792.527881944443</v>
      </c>
      <c r="E143" s="75">
        <f t="shared" si="5"/>
        <v>45792.527881944443</v>
      </c>
    </row>
    <row r="144" spans="1:5">
      <c r="A144" s="73" t="s">
        <v>261</v>
      </c>
      <c r="B144">
        <v>20.43</v>
      </c>
      <c r="C144">
        <v>48.87</v>
      </c>
      <c r="D144" s="74">
        <f t="shared" si="4"/>
        <v>45792.52925925926</v>
      </c>
      <c r="E144" s="75">
        <f t="shared" si="5"/>
        <v>45792.52925925926</v>
      </c>
    </row>
    <row r="145" spans="1:5">
      <c r="A145" s="73" t="s">
        <v>262</v>
      </c>
      <c r="B145">
        <v>20.43</v>
      </c>
      <c r="C145">
        <v>48.81</v>
      </c>
      <c r="D145" s="74">
        <f t="shared" si="4"/>
        <v>45792.530659722222</v>
      </c>
      <c r="E145" s="75">
        <f t="shared" si="5"/>
        <v>45792.530659722222</v>
      </c>
    </row>
    <row r="146" spans="1:5">
      <c r="A146" s="73" t="s">
        <v>263</v>
      </c>
      <c r="B146">
        <v>20.420000000000002</v>
      </c>
      <c r="C146">
        <v>48.84</v>
      </c>
      <c r="D146" s="74">
        <f t="shared" si="4"/>
        <v>45792.532037037039</v>
      </c>
      <c r="E146" s="75">
        <f t="shared" si="5"/>
        <v>45792.532037037039</v>
      </c>
    </row>
    <row r="147" spans="1:5">
      <c r="A147" s="73" t="s">
        <v>264</v>
      </c>
      <c r="B147">
        <v>20.43</v>
      </c>
      <c r="C147">
        <v>48.85</v>
      </c>
      <c r="D147" s="74">
        <f t="shared" si="4"/>
        <v>45792.533437500002</v>
      </c>
      <c r="E147" s="75">
        <f t="shared" si="5"/>
        <v>45792.533437500002</v>
      </c>
    </row>
    <row r="148" spans="1:5">
      <c r="A148" s="73" t="s">
        <v>265</v>
      </c>
      <c r="B148">
        <v>20.440000000000001</v>
      </c>
      <c r="C148">
        <v>48.81</v>
      </c>
      <c r="D148" s="74">
        <f t="shared" si="4"/>
        <v>45792.534826388888</v>
      </c>
      <c r="E148" s="75">
        <f t="shared" si="5"/>
        <v>45792.534826388888</v>
      </c>
    </row>
    <row r="149" spans="1:5">
      <c r="A149" s="73" t="s">
        <v>266</v>
      </c>
      <c r="B149">
        <v>20.420000000000002</v>
      </c>
      <c r="C149">
        <v>48.86</v>
      </c>
      <c r="D149" s="74">
        <f t="shared" si="4"/>
        <v>45792.536215277774</v>
      </c>
      <c r="E149" s="75">
        <f t="shared" si="5"/>
        <v>45792.536215277774</v>
      </c>
    </row>
    <row r="150" spans="1:5">
      <c r="A150" s="73" t="s">
        <v>267</v>
      </c>
      <c r="B150">
        <v>20.43</v>
      </c>
      <c r="C150">
        <v>48.69</v>
      </c>
      <c r="D150" s="74">
        <f t="shared" si="4"/>
        <v>45792.537592592591</v>
      </c>
      <c r="E150" s="75">
        <f t="shared" si="5"/>
        <v>45792.537592592591</v>
      </c>
    </row>
    <row r="151" spans="1:5">
      <c r="A151" s="73" t="s">
        <v>268</v>
      </c>
      <c r="B151">
        <v>20.440000000000001</v>
      </c>
      <c r="C151">
        <v>48.61</v>
      </c>
      <c r="D151" s="74">
        <f t="shared" si="4"/>
        <v>45792.538993055554</v>
      </c>
      <c r="E151" s="75">
        <f t="shared" si="5"/>
        <v>45792.538993055554</v>
      </c>
    </row>
    <row r="152" spans="1:5">
      <c r="A152" s="73" t="s">
        <v>269</v>
      </c>
      <c r="B152">
        <v>20.440000000000001</v>
      </c>
      <c r="C152">
        <v>48.69</v>
      </c>
      <c r="D152" s="74">
        <f t="shared" si="4"/>
        <v>45792.540381944447</v>
      </c>
      <c r="E152" s="75">
        <f t="shared" si="5"/>
        <v>45792.540381944447</v>
      </c>
    </row>
    <row r="153" spans="1:5">
      <c r="A153" s="73" t="s">
        <v>270</v>
      </c>
      <c r="B153">
        <v>20.440000000000001</v>
      </c>
      <c r="C153">
        <v>48.63</v>
      </c>
      <c r="D153" s="74">
        <f t="shared" si="4"/>
        <v>45792.541770833333</v>
      </c>
      <c r="E153" s="75">
        <f t="shared" si="5"/>
        <v>45792.541770833333</v>
      </c>
    </row>
    <row r="154" spans="1:5">
      <c r="A154" s="73" t="s">
        <v>271</v>
      </c>
      <c r="B154">
        <v>20.420000000000002</v>
      </c>
      <c r="C154">
        <v>48.76</v>
      </c>
      <c r="D154" s="74">
        <f t="shared" si="4"/>
        <v>45792.54314814815</v>
      </c>
      <c r="E154" s="75">
        <f t="shared" si="5"/>
        <v>45792.54314814815</v>
      </c>
    </row>
    <row r="155" spans="1:5">
      <c r="A155" s="73" t="s">
        <v>272</v>
      </c>
      <c r="B155">
        <v>20.41</v>
      </c>
      <c r="C155">
        <v>48.86</v>
      </c>
      <c r="D155" s="74">
        <f t="shared" si="4"/>
        <v>45792.544548611113</v>
      </c>
      <c r="E155" s="75">
        <f t="shared" si="5"/>
        <v>45792.544548611113</v>
      </c>
    </row>
    <row r="156" spans="1:5">
      <c r="A156" s="73" t="s">
        <v>273</v>
      </c>
      <c r="B156">
        <v>20.420000000000002</v>
      </c>
      <c r="C156">
        <v>48.69</v>
      </c>
      <c r="D156" s="74">
        <f t="shared" si="4"/>
        <v>45792.545937499999</v>
      </c>
      <c r="E156" s="75">
        <f t="shared" si="5"/>
        <v>45792.545937499999</v>
      </c>
    </row>
    <row r="157" spans="1:5">
      <c r="A157" s="73" t="s">
        <v>274</v>
      </c>
      <c r="B157">
        <v>20.43</v>
      </c>
      <c r="C157">
        <v>48.66</v>
      </c>
      <c r="D157" s="74">
        <f t="shared" si="4"/>
        <v>45792.547326388885</v>
      </c>
      <c r="E157" s="75">
        <f t="shared" si="5"/>
        <v>45792.547326388885</v>
      </c>
    </row>
    <row r="158" spans="1:5">
      <c r="A158" s="73" t="s">
        <v>275</v>
      </c>
      <c r="B158">
        <v>20.420000000000002</v>
      </c>
      <c r="C158">
        <v>48.74</v>
      </c>
      <c r="D158" s="74">
        <f t="shared" si="4"/>
        <v>45792.548703703702</v>
      </c>
      <c r="E158" s="75">
        <f t="shared" si="5"/>
        <v>45792.548703703702</v>
      </c>
    </row>
    <row r="159" spans="1:5">
      <c r="A159" s="73" t="s">
        <v>276</v>
      </c>
      <c r="B159">
        <v>20.43</v>
      </c>
      <c r="C159">
        <v>48.79</v>
      </c>
      <c r="D159" s="74">
        <f t="shared" si="4"/>
        <v>45792.550104166665</v>
      </c>
      <c r="E159" s="75">
        <f t="shared" si="5"/>
        <v>45792.550104166665</v>
      </c>
    </row>
    <row r="160" spans="1:5">
      <c r="A160" s="73" t="s">
        <v>277</v>
      </c>
      <c r="B160">
        <v>20.420000000000002</v>
      </c>
      <c r="C160">
        <v>48.81</v>
      </c>
      <c r="D160" s="74">
        <f t="shared" si="4"/>
        <v>45792.551493055558</v>
      </c>
      <c r="E160" s="75">
        <f t="shared" si="5"/>
        <v>45792.551493055558</v>
      </c>
    </row>
    <row r="161" spans="1:5">
      <c r="A161" s="73" t="s">
        <v>278</v>
      </c>
      <c r="B161">
        <v>20.440000000000001</v>
      </c>
      <c r="C161">
        <v>48.92</v>
      </c>
      <c r="D161" s="74">
        <f t="shared" si="4"/>
        <v>45792.552881944444</v>
      </c>
      <c r="E161" s="75">
        <f t="shared" si="5"/>
        <v>45792.552881944444</v>
      </c>
    </row>
    <row r="162" spans="1:5">
      <c r="A162" s="73" t="s">
        <v>279</v>
      </c>
      <c r="B162">
        <v>20.440000000000001</v>
      </c>
      <c r="C162">
        <v>48.95</v>
      </c>
      <c r="D162" s="74">
        <f t="shared" si="4"/>
        <v>45792.554259259261</v>
      </c>
      <c r="E162" s="75">
        <f t="shared" si="5"/>
        <v>45792.554259259261</v>
      </c>
    </row>
    <row r="163" spans="1:5">
      <c r="A163" s="73" t="s">
        <v>280</v>
      </c>
      <c r="B163">
        <v>20.45</v>
      </c>
      <c r="C163">
        <v>48.86</v>
      </c>
      <c r="D163" s="74">
        <f t="shared" si="4"/>
        <v>45792.555659722224</v>
      </c>
      <c r="E163" s="75">
        <f t="shared" si="5"/>
        <v>45792.555659722224</v>
      </c>
    </row>
    <row r="164" spans="1:5">
      <c r="A164" s="73" t="s">
        <v>281</v>
      </c>
      <c r="B164">
        <v>20.440000000000001</v>
      </c>
      <c r="C164">
        <v>48.92</v>
      </c>
      <c r="D164" s="74">
        <f t="shared" si="4"/>
        <v>45792.55704861111</v>
      </c>
      <c r="E164" s="75">
        <f t="shared" si="5"/>
        <v>45792.55704861111</v>
      </c>
    </row>
    <row r="165" spans="1:5">
      <c r="A165" s="73" t="s">
        <v>282</v>
      </c>
      <c r="B165">
        <v>20.45</v>
      </c>
      <c r="C165">
        <v>48.88</v>
      </c>
      <c r="D165" s="74">
        <f t="shared" si="4"/>
        <v>45792.558437500003</v>
      </c>
      <c r="E165" s="75">
        <f t="shared" si="5"/>
        <v>45792.558437500003</v>
      </c>
    </row>
    <row r="166" spans="1:5">
      <c r="A166" s="73" t="s">
        <v>283</v>
      </c>
      <c r="B166">
        <v>20.46</v>
      </c>
      <c r="C166">
        <v>48.74</v>
      </c>
      <c r="D166" s="74">
        <f t="shared" si="4"/>
        <v>45792.559814814813</v>
      </c>
      <c r="E166" s="75">
        <f t="shared" si="5"/>
        <v>45792.559814814813</v>
      </c>
    </row>
    <row r="167" spans="1:5">
      <c r="A167" s="73" t="s">
        <v>284</v>
      </c>
      <c r="B167">
        <v>20.440000000000001</v>
      </c>
      <c r="C167">
        <v>48.77</v>
      </c>
      <c r="D167" s="74">
        <f t="shared" si="4"/>
        <v>45792.561203703706</v>
      </c>
      <c r="E167" s="75">
        <f t="shared" si="5"/>
        <v>45792.561203703706</v>
      </c>
    </row>
    <row r="168" spans="1:5">
      <c r="A168" s="73" t="s">
        <v>285</v>
      </c>
      <c r="B168">
        <v>20.43</v>
      </c>
      <c r="C168">
        <v>48.86</v>
      </c>
      <c r="D168" s="74">
        <f t="shared" si="4"/>
        <v>45792.562592592592</v>
      </c>
      <c r="E168" s="75">
        <f t="shared" si="5"/>
        <v>45792.562592592592</v>
      </c>
    </row>
    <row r="169" spans="1:5">
      <c r="A169" s="73" t="s">
        <v>286</v>
      </c>
      <c r="B169">
        <v>20.43</v>
      </c>
      <c r="C169">
        <v>48.84</v>
      </c>
      <c r="D169" s="74">
        <f t="shared" si="4"/>
        <v>45792.563993055555</v>
      </c>
      <c r="E169" s="75">
        <f t="shared" si="5"/>
        <v>45792.563993055555</v>
      </c>
    </row>
    <row r="170" spans="1:5">
      <c r="A170" s="73" t="s">
        <v>287</v>
      </c>
      <c r="B170">
        <v>20.420000000000002</v>
      </c>
      <c r="C170">
        <v>48.89</v>
      </c>
      <c r="D170" s="74">
        <f t="shared" si="4"/>
        <v>45792.565370370372</v>
      </c>
      <c r="E170" s="75">
        <f t="shared" si="5"/>
        <v>45792.565370370372</v>
      </c>
    </row>
    <row r="171" spans="1:5">
      <c r="A171" s="73" t="s">
        <v>288</v>
      </c>
      <c r="B171">
        <v>20.420000000000002</v>
      </c>
      <c r="C171">
        <v>48.99</v>
      </c>
      <c r="D171" s="74">
        <f t="shared" si="4"/>
        <v>45792.566759259258</v>
      </c>
      <c r="E171" s="75">
        <f t="shared" si="5"/>
        <v>45792.566759259258</v>
      </c>
    </row>
    <row r="172" spans="1:5">
      <c r="A172" s="73" t="s">
        <v>289</v>
      </c>
      <c r="B172">
        <v>20.41</v>
      </c>
      <c r="C172">
        <v>49.02</v>
      </c>
      <c r="D172" s="74">
        <f t="shared" si="4"/>
        <v>45792.568148148152</v>
      </c>
      <c r="E172" s="75">
        <f t="shared" si="5"/>
        <v>45792.568148148152</v>
      </c>
    </row>
    <row r="173" spans="1:5">
      <c r="A173" s="73" t="s">
        <v>290</v>
      </c>
      <c r="B173">
        <v>20.440000000000001</v>
      </c>
      <c r="C173">
        <v>48.94</v>
      </c>
      <c r="D173" s="74">
        <f t="shared" si="4"/>
        <v>45792.569548611114</v>
      </c>
      <c r="E173" s="75">
        <f t="shared" si="5"/>
        <v>45792.569548611114</v>
      </c>
    </row>
    <row r="174" spans="1:5">
      <c r="A174" s="73" t="s">
        <v>291</v>
      </c>
      <c r="B174">
        <v>20.440000000000001</v>
      </c>
      <c r="C174">
        <v>49.01</v>
      </c>
      <c r="D174" s="74">
        <f t="shared" si="4"/>
        <v>45792.570925925924</v>
      </c>
      <c r="E174" s="75">
        <f t="shared" si="5"/>
        <v>45792.570925925924</v>
      </c>
    </row>
    <row r="175" spans="1:5">
      <c r="A175" s="73" t="s">
        <v>292</v>
      </c>
      <c r="B175">
        <v>20.440000000000001</v>
      </c>
      <c r="C175">
        <v>48.99</v>
      </c>
      <c r="D175" s="74">
        <f t="shared" si="4"/>
        <v>45792.572314814817</v>
      </c>
      <c r="E175" s="75">
        <f t="shared" si="5"/>
        <v>45792.572314814817</v>
      </c>
    </row>
    <row r="176" spans="1:5">
      <c r="A176" s="73" t="s">
        <v>293</v>
      </c>
      <c r="B176">
        <v>20.43</v>
      </c>
      <c r="C176">
        <v>49</v>
      </c>
      <c r="D176" s="74">
        <f t="shared" si="4"/>
        <v>45792.573703703703</v>
      </c>
      <c r="E176" s="75">
        <f t="shared" si="5"/>
        <v>45792.573703703703</v>
      </c>
    </row>
    <row r="177" spans="1:5">
      <c r="A177" s="73" t="s">
        <v>294</v>
      </c>
      <c r="B177">
        <v>20.41</v>
      </c>
      <c r="C177">
        <v>49.09</v>
      </c>
      <c r="D177" s="74">
        <f t="shared" si="4"/>
        <v>45792.575104166666</v>
      </c>
      <c r="E177" s="75">
        <f t="shared" si="5"/>
        <v>45792.575104166666</v>
      </c>
    </row>
    <row r="178" spans="1:5">
      <c r="A178" s="73" t="s">
        <v>295</v>
      </c>
      <c r="B178">
        <v>20.440000000000001</v>
      </c>
      <c r="C178">
        <v>49.04</v>
      </c>
      <c r="D178" s="74">
        <f t="shared" si="4"/>
        <v>45792.576481481483</v>
      </c>
      <c r="E178" s="75">
        <f t="shared" si="5"/>
        <v>45792.576481481483</v>
      </c>
    </row>
    <row r="179" spans="1:5">
      <c r="A179" s="73" t="s">
        <v>296</v>
      </c>
      <c r="B179">
        <v>20.420000000000002</v>
      </c>
      <c r="C179">
        <v>49.13</v>
      </c>
      <c r="D179" s="74">
        <f t="shared" si="4"/>
        <v>45792.577881944446</v>
      </c>
      <c r="E179" s="75">
        <f t="shared" si="5"/>
        <v>45792.577881944446</v>
      </c>
    </row>
    <row r="180" spans="1:5">
      <c r="A180" s="73" t="s">
        <v>297</v>
      </c>
      <c r="B180">
        <v>20.41</v>
      </c>
      <c r="C180">
        <v>49.24</v>
      </c>
      <c r="D180" s="74">
        <f t="shared" si="4"/>
        <v>45792.579259259262</v>
      </c>
      <c r="E180" s="75">
        <f t="shared" si="5"/>
        <v>45792.579259259262</v>
      </c>
    </row>
    <row r="181" spans="1:5">
      <c r="A181" s="73" t="s">
        <v>298</v>
      </c>
      <c r="B181">
        <v>20.43</v>
      </c>
      <c r="C181">
        <v>49.18</v>
      </c>
      <c r="D181" s="74">
        <f t="shared" si="4"/>
        <v>45792.580659722225</v>
      </c>
      <c r="E181" s="75">
        <f t="shared" si="5"/>
        <v>45792.580659722225</v>
      </c>
    </row>
    <row r="182" spans="1:5">
      <c r="A182" s="73" t="s">
        <v>299</v>
      </c>
      <c r="B182">
        <v>20.440000000000001</v>
      </c>
      <c r="C182">
        <v>49.3</v>
      </c>
      <c r="D182" s="74">
        <f t="shared" si="4"/>
        <v>45792.582037037035</v>
      </c>
      <c r="E182" s="75">
        <f t="shared" si="5"/>
        <v>45792.582037037035</v>
      </c>
    </row>
    <row r="183" spans="1:5">
      <c r="A183" s="73" t="s">
        <v>300</v>
      </c>
      <c r="B183">
        <v>20.43</v>
      </c>
      <c r="C183">
        <v>49.34</v>
      </c>
      <c r="D183" s="74">
        <f t="shared" si="4"/>
        <v>45792.583425925928</v>
      </c>
      <c r="E183" s="75">
        <f t="shared" si="5"/>
        <v>45792.583425925928</v>
      </c>
    </row>
    <row r="184" spans="1:5">
      <c r="A184" s="73" t="s">
        <v>301</v>
      </c>
      <c r="B184">
        <v>20.45</v>
      </c>
      <c r="C184">
        <v>49.23</v>
      </c>
      <c r="D184" s="74">
        <f t="shared" si="4"/>
        <v>45792.584814814814</v>
      </c>
      <c r="E184" s="75">
        <f t="shared" si="5"/>
        <v>45792.584814814814</v>
      </c>
    </row>
    <row r="185" spans="1:5">
      <c r="A185" s="73" t="s">
        <v>302</v>
      </c>
      <c r="B185">
        <v>20.45</v>
      </c>
      <c r="C185">
        <v>49.26</v>
      </c>
      <c r="D185" s="74">
        <f t="shared" si="4"/>
        <v>45792.586215277777</v>
      </c>
      <c r="E185" s="75">
        <f t="shared" si="5"/>
        <v>45792.586215277777</v>
      </c>
    </row>
    <row r="186" spans="1:5">
      <c r="A186" s="73" t="s">
        <v>303</v>
      </c>
      <c r="B186">
        <v>20.440000000000001</v>
      </c>
      <c r="C186">
        <v>49.2</v>
      </c>
      <c r="D186" s="74">
        <f t="shared" si="4"/>
        <v>45792.587604166663</v>
      </c>
      <c r="E186" s="75">
        <f t="shared" si="5"/>
        <v>45792.587604166663</v>
      </c>
    </row>
    <row r="187" spans="1:5">
      <c r="A187" s="73" t="s">
        <v>304</v>
      </c>
      <c r="B187">
        <v>20.45</v>
      </c>
      <c r="C187">
        <v>49.23</v>
      </c>
      <c r="D187" s="74">
        <f t="shared" si="4"/>
        <v>45792.588993055557</v>
      </c>
      <c r="E187" s="75">
        <f t="shared" si="5"/>
        <v>45792.588993055557</v>
      </c>
    </row>
    <row r="188" spans="1:5">
      <c r="A188" s="73" t="s">
        <v>305</v>
      </c>
      <c r="B188">
        <v>20.45</v>
      </c>
      <c r="C188">
        <v>49.23</v>
      </c>
      <c r="D188" s="74">
        <f t="shared" si="4"/>
        <v>45792.590370370373</v>
      </c>
      <c r="E188" s="75">
        <f t="shared" si="5"/>
        <v>45792.590370370373</v>
      </c>
    </row>
    <row r="189" spans="1:5">
      <c r="A189" s="73" t="s">
        <v>306</v>
      </c>
      <c r="B189">
        <v>20.440000000000001</v>
      </c>
      <c r="C189">
        <v>49.04</v>
      </c>
      <c r="D189" s="74">
        <f t="shared" si="4"/>
        <v>45792.591770833336</v>
      </c>
      <c r="E189" s="75">
        <f t="shared" si="5"/>
        <v>45792.591770833336</v>
      </c>
    </row>
    <row r="190" spans="1:5">
      <c r="A190" s="73" t="s">
        <v>307</v>
      </c>
      <c r="B190">
        <v>20.43</v>
      </c>
      <c r="C190">
        <v>49.03</v>
      </c>
      <c r="D190" s="74">
        <f t="shared" si="4"/>
        <v>45792.593159722222</v>
      </c>
      <c r="E190" s="75">
        <f t="shared" si="5"/>
        <v>45792.593159722222</v>
      </c>
    </row>
    <row r="191" spans="1:5">
      <c r="A191" s="73" t="s">
        <v>308</v>
      </c>
      <c r="B191">
        <v>20.420000000000002</v>
      </c>
      <c r="C191">
        <v>49.03</v>
      </c>
      <c r="D191" s="74">
        <f t="shared" si="4"/>
        <v>45792.594548611109</v>
      </c>
      <c r="E191" s="75">
        <f t="shared" si="5"/>
        <v>45792.594548611109</v>
      </c>
    </row>
    <row r="192" spans="1:5">
      <c r="A192" s="73" t="s">
        <v>309</v>
      </c>
      <c r="B192">
        <v>20.440000000000001</v>
      </c>
      <c r="C192">
        <v>48.96</v>
      </c>
      <c r="D192" s="74">
        <f t="shared" si="4"/>
        <v>45792.595925925925</v>
      </c>
      <c r="E192" s="75">
        <f t="shared" si="5"/>
        <v>45792.595925925925</v>
      </c>
    </row>
    <row r="193" spans="1:5">
      <c r="A193" s="73" t="s">
        <v>310</v>
      </c>
      <c r="B193">
        <v>20.45</v>
      </c>
      <c r="C193">
        <v>49.03</v>
      </c>
      <c r="D193" s="74">
        <f t="shared" si="4"/>
        <v>45792.597326388888</v>
      </c>
      <c r="E193" s="75">
        <f t="shared" si="5"/>
        <v>45792.597326388888</v>
      </c>
    </row>
    <row r="194" spans="1:5">
      <c r="A194" s="73" t="s">
        <v>311</v>
      </c>
      <c r="B194">
        <v>20.43</v>
      </c>
      <c r="C194">
        <v>48.87</v>
      </c>
      <c r="D194" s="74">
        <f t="shared" si="4"/>
        <v>45792.598703703705</v>
      </c>
      <c r="E194" s="75">
        <f t="shared" si="5"/>
        <v>45792.598703703705</v>
      </c>
    </row>
    <row r="195" spans="1:5">
      <c r="A195" s="73" t="s">
        <v>312</v>
      </c>
      <c r="B195">
        <v>20.43</v>
      </c>
      <c r="C195">
        <v>48.86</v>
      </c>
      <c r="D195" s="74">
        <f t="shared" ref="D195:D258" si="6">A195+12/24</f>
        <v>45792.600104166668</v>
      </c>
      <c r="E195" s="75">
        <f t="shared" ref="E195:E258" si="7">D195</f>
        <v>45792.600104166668</v>
      </c>
    </row>
    <row r="196" spans="1:5">
      <c r="A196" s="73" t="s">
        <v>313</v>
      </c>
      <c r="B196">
        <v>20.440000000000001</v>
      </c>
      <c r="C196">
        <v>48.84</v>
      </c>
      <c r="D196" s="74">
        <f t="shared" si="6"/>
        <v>45792.601481481484</v>
      </c>
      <c r="E196" s="75">
        <f t="shared" si="7"/>
        <v>45792.601481481484</v>
      </c>
    </row>
    <row r="197" spans="1:5">
      <c r="A197" s="73" t="s">
        <v>314</v>
      </c>
      <c r="B197">
        <v>20.420000000000002</v>
      </c>
      <c r="C197">
        <v>48.97</v>
      </c>
      <c r="D197" s="74">
        <f t="shared" si="6"/>
        <v>45792.602881944447</v>
      </c>
      <c r="E197" s="75">
        <f t="shared" si="7"/>
        <v>45792.602881944447</v>
      </c>
    </row>
    <row r="198" spans="1:5">
      <c r="A198" s="73" t="s">
        <v>315</v>
      </c>
      <c r="B198">
        <v>20.420000000000002</v>
      </c>
      <c r="C198">
        <v>49.1</v>
      </c>
      <c r="D198" s="74">
        <f t="shared" si="6"/>
        <v>45792.604259259257</v>
      </c>
      <c r="E198" s="75">
        <f t="shared" si="7"/>
        <v>45792.604259259257</v>
      </c>
    </row>
    <row r="199" spans="1:5">
      <c r="A199" s="73" t="s">
        <v>316</v>
      </c>
      <c r="B199">
        <v>20.420000000000002</v>
      </c>
      <c r="C199">
        <v>49.04</v>
      </c>
      <c r="D199" s="74">
        <f t="shared" si="6"/>
        <v>45792.60565972222</v>
      </c>
      <c r="E199" s="75">
        <f t="shared" si="7"/>
        <v>45792.60565972222</v>
      </c>
    </row>
    <row r="200" spans="1:5">
      <c r="A200" s="73" t="s">
        <v>317</v>
      </c>
      <c r="B200">
        <v>20.43</v>
      </c>
      <c r="C200">
        <v>49.12</v>
      </c>
      <c r="D200" s="74">
        <f t="shared" si="6"/>
        <v>45792.607037037036</v>
      </c>
      <c r="E200" s="75">
        <f t="shared" si="7"/>
        <v>45792.607037037036</v>
      </c>
    </row>
    <row r="201" spans="1:5">
      <c r="A201" s="73" t="s">
        <v>318</v>
      </c>
      <c r="B201">
        <v>20.41</v>
      </c>
      <c r="C201">
        <v>49.15</v>
      </c>
      <c r="D201" s="74">
        <f t="shared" si="6"/>
        <v>45792.608437499999</v>
      </c>
      <c r="E201" s="75">
        <f t="shared" si="7"/>
        <v>45792.608437499999</v>
      </c>
    </row>
    <row r="202" spans="1:5">
      <c r="A202" s="73" t="s">
        <v>319</v>
      </c>
      <c r="B202">
        <v>20.420000000000002</v>
      </c>
      <c r="C202">
        <v>49.07</v>
      </c>
      <c r="D202" s="74">
        <f t="shared" si="6"/>
        <v>45792.609826388885</v>
      </c>
      <c r="E202" s="75">
        <f t="shared" si="7"/>
        <v>45792.609826388885</v>
      </c>
    </row>
    <row r="203" spans="1:5">
      <c r="A203" s="73" t="s">
        <v>320</v>
      </c>
      <c r="B203">
        <v>20.440000000000001</v>
      </c>
      <c r="C203">
        <v>49.06</v>
      </c>
      <c r="D203" s="74">
        <f t="shared" si="6"/>
        <v>45792.611215277779</v>
      </c>
      <c r="E203" s="75">
        <f t="shared" si="7"/>
        <v>45792.611215277779</v>
      </c>
    </row>
    <row r="204" spans="1:5">
      <c r="A204" s="73" t="s">
        <v>321</v>
      </c>
      <c r="B204">
        <v>20.45</v>
      </c>
      <c r="C204">
        <v>49.09</v>
      </c>
      <c r="D204" s="74">
        <f t="shared" si="6"/>
        <v>45792.612592592595</v>
      </c>
      <c r="E204" s="75">
        <f t="shared" si="7"/>
        <v>45792.612592592595</v>
      </c>
    </row>
    <row r="205" spans="1:5">
      <c r="A205" s="73" t="s">
        <v>322</v>
      </c>
      <c r="B205">
        <v>20.43</v>
      </c>
      <c r="C205">
        <v>49.02</v>
      </c>
      <c r="D205" s="74">
        <f t="shared" si="6"/>
        <v>45792.613993055558</v>
      </c>
      <c r="E205" s="75">
        <f t="shared" si="7"/>
        <v>45792.613993055558</v>
      </c>
    </row>
    <row r="206" spans="1:5">
      <c r="A206" s="73" t="s">
        <v>323</v>
      </c>
      <c r="B206">
        <v>20.43</v>
      </c>
      <c r="C206">
        <v>49.04</v>
      </c>
      <c r="D206" s="74">
        <f t="shared" si="6"/>
        <v>45792.615381944444</v>
      </c>
      <c r="E206" s="75">
        <f t="shared" si="7"/>
        <v>45792.615381944444</v>
      </c>
    </row>
    <row r="207" spans="1:5">
      <c r="A207" s="73" t="s">
        <v>324</v>
      </c>
      <c r="B207">
        <v>20.43</v>
      </c>
      <c r="C207">
        <v>49.1</v>
      </c>
      <c r="D207" s="74">
        <f t="shared" si="6"/>
        <v>45792.616770833331</v>
      </c>
      <c r="E207" s="75">
        <f t="shared" si="7"/>
        <v>45792.616770833331</v>
      </c>
    </row>
    <row r="208" spans="1:5">
      <c r="A208" s="73" t="s">
        <v>325</v>
      </c>
      <c r="B208">
        <v>20.440000000000001</v>
      </c>
      <c r="C208">
        <v>48.96</v>
      </c>
      <c r="D208" s="74">
        <f t="shared" si="6"/>
        <v>45792.618148148147</v>
      </c>
      <c r="E208" s="75">
        <f t="shared" si="7"/>
        <v>45792.618148148147</v>
      </c>
    </row>
    <row r="209" spans="1:5">
      <c r="A209" s="73" t="s">
        <v>326</v>
      </c>
      <c r="B209">
        <v>20.440000000000001</v>
      </c>
      <c r="C209">
        <v>49.05</v>
      </c>
      <c r="D209" s="74">
        <f t="shared" si="6"/>
        <v>45792.619537037041</v>
      </c>
      <c r="E209" s="75">
        <f t="shared" si="7"/>
        <v>45792.619537037041</v>
      </c>
    </row>
    <row r="210" spans="1:5">
      <c r="A210" s="73" t="s">
        <v>327</v>
      </c>
      <c r="B210">
        <v>20.45</v>
      </c>
      <c r="C210">
        <v>49.08</v>
      </c>
      <c r="D210" s="74">
        <f t="shared" si="6"/>
        <v>45792.620925925927</v>
      </c>
      <c r="E210" s="75">
        <f t="shared" si="7"/>
        <v>45792.620925925927</v>
      </c>
    </row>
    <row r="211" spans="1:5">
      <c r="A211" s="73" t="s">
        <v>328</v>
      </c>
      <c r="B211">
        <v>20.440000000000001</v>
      </c>
      <c r="C211">
        <v>49.04</v>
      </c>
      <c r="D211" s="74">
        <f t="shared" si="6"/>
        <v>45792.62232638889</v>
      </c>
      <c r="E211" s="75">
        <f t="shared" si="7"/>
        <v>45792.62232638889</v>
      </c>
    </row>
    <row r="212" spans="1:5">
      <c r="A212" s="73" t="s">
        <v>329</v>
      </c>
      <c r="B212">
        <v>20.43</v>
      </c>
      <c r="C212">
        <v>49.1</v>
      </c>
      <c r="D212" s="74">
        <f t="shared" si="6"/>
        <v>45792.623715277776</v>
      </c>
      <c r="E212" s="75">
        <f t="shared" si="7"/>
        <v>45792.623715277776</v>
      </c>
    </row>
    <row r="213" spans="1:5">
      <c r="A213" s="73" t="s">
        <v>330</v>
      </c>
      <c r="B213">
        <v>20.45</v>
      </c>
      <c r="C213">
        <v>49.04</v>
      </c>
      <c r="D213" s="74">
        <f t="shared" si="6"/>
        <v>45792.625104166669</v>
      </c>
      <c r="E213" s="75">
        <f t="shared" si="7"/>
        <v>45792.625104166669</v>
      </c>
    </row>
    <row r="214" spans="1:5">
      <c r="A214" s="73" t="s">
        <v>331</v>
      </c>
      <c r="B214">
        <v>20.440000000000001</v>
      </c>
      <c r="C214">
        <v>49.09</v>
      </c>
      <c r="D214" s="74">
        <f t="shared" si="6"/>
        <v>45792.626481481479</v>
      </c>
      <c r="E214" s="75">
        <f t="shared" si="7"/>
        <v>45792.626481481479</v>
      </c>
    </row>
    <row r="215" spans="1:5">
      <c r="A215" s="73" t="s">
        <v>332</v>
      </c>
      <c r="B215">
        <v>20.43</v>
      </c>
      <c r="C215">
        <v>49.18</v>
      </c>
      <c r="D215" s="74">
        <f t="shared" si="6"/>
        <v>45792.627881944441</v>
      </c>
      <c r="E215" s="75">
        <f t="shared" si="7"/>
        <v>45792.627881944441</v>
      </c>
    </row>
    <row r="216" spans="1:5">
      <c r="A216" s="73" t="s">
        <v>333</v>
      </c>
      <c r="B216">
        <v>20.420000000000002</v>
      </c>
      <c r="C216">
        <v>49.14</v>
      </c>
      <c r="D216" s="74">
        <f t="shared" si="6"/>
        <v>45792.629270833335</v>
      </c>
      <c r="E216" s="75">
        <f t="shared" si="7"/>
        <v>45792.629270833335</v>
      </c>
    </row>
    <row r="217" spans="1:5">
      <c r="A217" s="73" t="s">
        <v>334</v>
      </c>
      <c r="B217">
        <v>20.440000000000001</v>
      </c>
      <c r="C217">
        <v>49.22</v>
      </c>
      <c r="D217" s="74">
        <f t="shared" si="6"/>
        <v>45792.630659722221</v>
      </c>
      <c r="E217" s="75">
        <f t="shared" si="7"/>
        <v>45792.630659722221</v>
      </c>
    </row>
    <row r="218" spans="1:5">
      <c r="A218" s="73" t="s">
        <v>335</v>
      </c>
      <c r="B218">
        <v>20.420000000000002</v>
      </c>
      <c r="C218">
        <v>49.15</v>
      </c>
      <c r="D218" s="74">
        <f t="shared" si="6"/>
        <v>45792.632037037038</v>
      </c>
      <c r="E218" s="75">
        <f t="shared" si="7"/>
        <v>45792.632037037038</v>
      </c>
    </row>
    <row r="219" spans="1:5">
      <c r="A219" s="73" t="s">
        <v>336</v>
      </c>
      <c r="B219">
        <v>20.420000000000002</v>
      </c>
      <c r="C219">
        <v>49.23</v>
      </c>
      <c r="D219" s="74">
        <f t="shared" si="6"/>
        <v>45792.633437500001</v>
      </c>
      <c r="E219" s="75">
        <f t="shared" si="7"/>
        <v>45792.633437500001</v>
      </c>
    </row>
    <row r="220" spans="1:5">
      <c r="A220" s="73" t="s">
        <v>337</v>
      </c>
      <c r="B220">
        <v>20.440000000000001</v>
      </c>
      <c r="C220">
        <v>49.27</v>
      </c>
      <c r="D220" s="74">
        <f t="shared" si="6"/>
        <v>45792.634814814817</v>
      </c>
      <c r="E220" s="75">
        <f t="shared" si="7"/>
        <v>45792.634814814817</v>
      </c>
    </row>
    <row r="221" spans="1:5">
      <c r="A221" s="73" t="s">
        <v>338</v>
      </c>
      <c r="B221">
        <v>20.440000000000001</v>
      </c>
      <c r="C221">
        <v>49.2</v>
      </c>
      <c r="D221" s="74">
        <f t="shared" si="6"/>
        <v>45792.63621527778</v>
      </c>
      <c r="E221" s="75">
        <f t="shared" si="7"/>
        <v>45792.63621527778</v>
      </c>
    </row>
    <row r="222" spans="1:5">
      <c r="A222" s="73" t="s">
        <v>339</v>
      </c>
      <c r="B222">
        <v>20.440000000000001</v>
      </c>
      <c r="C222">
        <v>49.27</v>
      </c>
      <c r="D222" s="74">
        <f t="shared" si="6"/>
        <v>45792.637592592589</v>
      </c>
      <c r="E222" s="75">
        <f t="shared" si="7"/>
        <v>45792.637592592589</v>
      </c>
    </row>
    <row r="223" spans="1:5">
      <c r="A223" s="73" t="s">
        <v>340</v>
      </c>
      <c r="B223">
        <v>20.440000000000001</v>
      </c>
      <c r="C223">
        <v>49.2</v>
      </c>
      <c r="D223" s="74">
        <f t="shared" si="6"/>
        <v>45792.638981481483</v>
      </c>
      <c r="E223" s="75">
        <f t="shared" si="7"/>
        <v>45792.638981481483</v>
      </c>
    </row>
    <row r="224" spans="1:5">
      <c r="A224" s="73" t="s">
        <v>341</v>
      </c>
      <c r="B224">
        <v>20.440000000000001</v>
      </c>
      <c r="C224">
        <v>49.27</v>
      </c>
      <c r="D224" s="74">
        <f t="shared" si="6"/>
        <v>45792.640370370369</v>
      </c>
      <c r="E224" s="75">
        <f t="shared" si="7"/>
        <v>45792.640370370369</v>
      </c>
    </row>
    <row r="225" spans="1:5">
      <c r="A225" s="73" t="s">
        <v>342</v>
      </c>
      <c r="B225">
        <v>20.45</v>
      </c>
      <c r="C225">
        <v>49.34</v>
      </c>
      <c r="D225" s="74">
        <f t="shared" si="6"/>
        <v>45792.641770833332</v>
      </c>
      <c r="E225" s="75">
        <f t="shared" si="7"/>
        <v>45792.641770833332</v>
      </c>
    </row>
    <row r="226" spans="1:5">
      <c r="A226" s="73" t="s">
        <v>343</v>
      </c>
      <c r="B226">
        <v>20.440000000000001</v>
      </c>
      <c r="C226">
        <v>49.29</v>
      </c>
      <c r="D226" s="74">
        <f t="shared" si="6"/>
        <v>45792.643159722225</v>
      </c>
      <c r="E226" s="75">
        <f t="shared" si="7"/>
        <v>45792.643159722225</v>
      </c>
    </row>
    <row r="227" spans="1:5">
      <c r="A227" s="73" t="s">
        <v>344</v>
      </c>
      <c r="B227">
        <v>20.440000000000001</v>
      </c>
      <c r="C227">
        <v>49.38</v>
      </c>
      <c r="D227" s="74">
        <f t="shared" si="6"/>
        <v>45792.644548611112</v>
      </c>
      <c r="E227" s="75">
        <f t="shared" si="7"/>
        <v>45792.644548611112</v>
      </c>
    </row>
    <row r="228" spans="1:5">
      <c r="A228" s="73" t="s">
        <v>345</v>
      </c>
      <c r="B228">
        <v>20.43</v>
      </c>
      <c r="C228">
        <v>49.24</v>
      </c>
      <c r="D228" s="74">
        <f t="shared" si="6"/>
        <v>45792.645925925928</v>
      </c>
      <c r="E228" s="75">
        <f t="shared" si="7"/>
        <v>45792.645925925928</v>
      </c>
    </row>
    <row r="229" spans="1:5">
      <c r="A229" s="73" t="s">
        <v>346</v>
      </c>
      <c r="B229">
        <v>20.41</v>
      </c>
      <c r="C229">
        <v>49.23</v>
      </c>
      <c r="D229" s="74">
        <f t="shared" si="6"/>
        <v>45792.647326388891</v>
      </c>
      <c r="E229" s="75">
        <f t="shared" si="7"/>
        <v>45792.647326388891</v>
      </c>
    </row>
    <row r="230" spans="1:5">
      <c r="A230" s="73" t="s">
        <v>347</v>
      </c>
      <c r="B230">
        <v>20.420000000000002</v>
      </c>
      <c r="C230">
        <v>49.28</v>
      </c>
      <c r="D230" s="74">
        <f t="shared" si="6"/>
        <v>45792.6487037037</v>
      </c>
      <c r="E230" s="75">
        <f t="shared" si="7"/>
        <v>45792.6487037037</v>
      </c>
    </row>
    <row r="231" spans="1:5">
      <c r="A231" s="73" t="s">
        <v>348</v>
      </c>
      <c r="B231">
        <v>20.420000000000002</v>
      </c>
      <c r="C231">
        <v>49.2</v>
      </c>
      <c r="D231" s="74">
        <f t="shared" si="6"/>
        <v>45792.650104166663</v>
      </c>
      <c r="E231" s="75">
        <f t="shared" si="7"/>
        <v>45792.650104166663</v>
      </c>
    </row>
    <row r="232" spans="1:5">
      <c r="A232" s="73" t="s">
        <v>349</v>
      </c>
      <c r="B232">
        <v>20.420000000000002</v>
      </c>
      <c r="C232">
        <v>49.28</v>
      </c>
      <c r="D232" s="74">
        <f t="shared" si="6"/>
        <v>45792.651493055557</v>
      </c>
      <c r="E232" s="75">
        <f t="shared" si="7"/>
        <v>45792.651493055557</v>
      </c>
    </row>
    <row r="233" spans="1:5">
      <c r="A233" s="73" t="s">
        <v>350</v>
      </c>
      <c r="B233">
        <v>20.420000000000002</v>
      </c>
      <c r="C233">
        <v>49.27</v>
      </c>
      <c r="D233" s="74">
        <f t="shared" si="6"/>
        <v>45792.652881944443</v>
      </c>
      <c r="E233" s="75">
        <f t="shared" si="7"/>
        <v>45792.652881944443</v>
      </c>
    </row>
    <row r="234" spans="1:5">
      <c r="A234" s="73" t="s">
        <v>351</v>
      </c>
      <c r="B234">
        <v>20.420000000000002</v>
      </c>
      <c r="C234">
        <v>48.81</v>
      </c>
      <c r="D234" s="74">
        <f t="shared" si="6"/>
        <v>45792.65425925926</v>
      </c>
      <c r="E234" s="75">
        <f t="shared" si="7"/>
        <v>45792.65425925926</v>
      </c>
    </row>
    <row r="235" spans="1:5">
      <c r="A235" s="73" t="s">
        <v>352</v>
      </c>
      <c r="B235">
        <v>20.420000000000002</v>
      </c>
      <c r="C235">
        <v>48.46</v>
      </c>
      <c r="D235" s="74">
        <f t="shared" si="6"/>
        <v>45792.655659722222</v>
      </c>
      <c r="E235" s="75">
        <f t="shared" si="7"/>
        <v>45792.655659722222</v>
      </c>
    </row>
    <row r="236" spans="1:5">
      <c r="A236" s="73" t="s">
        <v>353</v>
      </c>
      <c r="B236">
        <v>20.41</v>
      </c>
      <c r="C236">
        <v>48.42</v>
      </c>
      <c r="D236" s="74">
        <f t="shared" si="6"/>
        <v>45792.657037037039</v>
      </c>
      <c r="E236" s="75">
        <f t="shared" si="7"/>
        <v>45792.657037037039</v>
      </c>
    </row>
    <row r="237" spans="1:5">
      <c r="A237" s="73" t="s">
        <v>354</v>
      </c>
      <c r="B237">
        <v>20.420000000000002</v>
      </c>
      <c r="C237">
        <v>48.63</v>
      </c>
      <c r="D237" s="74">
        <f t="shared" si="6"/>
        <v>45792.658437500002</v>
      </c>
      <c r="E237" s="75">
        <f t="shared" si="7"/>
        <v>45792.658437500002</v>
      </c>
    </row>
    <row r="238" spans="1:5">
      <c r="A238" s="73" t="s">
        <v>355</v>
      </c>
      <c r="B238">
        <v>20.420000000000002</v>
      </c>
      <c r="C238">
        <v>48.71</v>
      </c>
      <c r="D238" s="74">
        <f t="shared" si="6"/>
        <v>45792.659814814811</v>
      </c>
      <c r="E238" s="75">
        <f t="shared" si="7"/>
        <v>45792.659814814811</v>
      </c>
    </row>
    <row r="239" spans="1:5">
      <c r="A239" s="73" t="s">
        <v>356</v>
      </c>
      <c r="B239">
        <v>20.420000000000002</v>
      </c>
      <c r="C239">
        <v>48.82</v>
      </c>
      <c r="D239" s="74">
        <f t="shared" si="6"/>
        <v>45792.661203703705</v>
      </c>
      <c r="E239" s="75">
        <f t="shared" si="7"/>
        <v>45792.661203703705</v>
      </c>
    </row>
    <row r="240" spans="1:5">
      <c r="A240" s="73" t="s">
        <v>357</v>
      </c>
      <c r="B240">
        <v>20.420000000000002</v>
      </c>
      <c r="C240">
        <v>48.92</v>
      </c>
      <c r="D240" s="74">
        <f t="shared" si="6"/>
        <v>45792.662592592591</v>
      </c>
      <c r="E240" s="75">
        <f t="shared" si="7"/>
        <v>45792.662592592591</v>
      </c>
    </row>
    <row r="241" spans="1:5">
      <c r="A241" s="73" t="s">
        <v>358</v>
      </c>
      <c r="B241">
        <v>20.41</v>
      </c>
      <c r="C241">
        <v>48.91</v>
      </c>
      <c r="D241" s="74">
        <f t="shared" si="6"/>
        <v>45792.663993055554</v>
      </c>
      <c r="E241" s="75">
        <f t="shared" si="7"/>
        <v>45792.663993055554</v>
      </c>
    </row>
    <row r="242" spans="1:5">
      <c r="A242" s="73" t="s">
        <v>359</v>
      </c>
      <c r="B242">
        <v>20.399999999999999</v>
      </c>
      <c r="C242">
        <v>49.02</v>
      </c>
      <c r="D242" s="74">
        <f t="shared" si="6"/>
        <v>45792.665370370371</v>
      </c>
      <c r="E242" s="75">
        <f t="shared" si="7"/>
        <v>45792.665370370371</v>
      </c>
    </row>
    <row r="243" spans="1:5">
      <c r="A243" s="73" t="s">
        <v>360</v>
      </c>
      <c r="B243">
        <v>20.420000000000002</v>
      </c>
      <c r="C243">
        <v>48.98</v>
      </c>
      <c r="D243" s="74">
        <f t="shared" si="6"/>
        <v>45792.666770833333</v>
      </c>
      <c r="E243" s="75">
        <f t="shared" si="7"/>
        <v>45792.666770833333</v>
      </c>
    </row>
    <row r="244" spans="1:5">
      <c r="A244" s="73" t="s">
        <v>361</v>
      </c>
      <c r="B244">
        <v>20.43</v>
      </c>
      <c r="C244">
        <v>49.04</v>
      </c>
      <c r="D244" s="74">
        <f t="shared" si="6"/>
        <v>45792.66814814815</v>
      </c>
      <c r="E244" s="75">
        <f t="shared" si="7"/>
        <v>45792.66814814815</v>
      </c>
    </row>
    <row r="245" spans="1:5">
      <c r="A245" s="73" t="s">
        <v>362</v>
      </c>
      <c r="B245">
        <v>20.43</v>
      </c>
      <c r="C245">
        <v>49.03</v>
      </c>
      <c r="D245" s="74">
        <f t="shared" si="6"/>
        <v>45792.669548611113</v>
      </c>
      <c r="E245" s="75">
        <f t="shared" si="7"/>
        <v>45792.669548611113</v>
      </c>
    </row>
    <row r="246" spans="1:5">
      <c r="A246" s="73" t="s">
        <v>363</v>
      </c>
      <c r="B246">
        <v>20.440000000000001</v>
      </c>
      <c r="C246">
        <v>49.06</v>
      </c>
      <c r="D246" s="74">
        <f t="shared" si="6"/>
        <v>45792.670925925922</v>
      </c>
      <c r="E246" s="75">
        <f t="shared" si="7"/>
        <v>45792.670925925922</v>
      </c>
    </row>
    <row r="247" spans="1:5">
      <c r="A247" s="73" t="s">
        <v>364</v>
      </c>
      <c r="B247">
        <v>20.420000000000002</v>
      </c>
      <c r="C247">
        <v>49.17</v>
      </c>
      <c r="D247" s="74">
        <f t="shared" si="6"/>
        <v>45792.672326388885</v>
      </c>
      <c r="E247" s="75">
        <f t="shared" si="7"/>
        <v>45792.672326388885</v>
      </c>
    </row>
    <row r="248" spans="1:5">
      <c r="A248" s="73" t="s">
        <v>365</v>
      </c>
      <c r="B248">
        <v>20.43</v>
      </c>
      <c r="C248">
        <v>49.13</v>
      </c>
      <c r="D248" s="74">
        <f t="shared" si="6"/>
        <v>45792.673703703702</v>
      </c>
      <c r="E248" s="75">
        <f t="shared" si="7"/>
        <v>45792.673703703702</v>
      </c>
    </row>
    <row r="249" spans="1:5">
      <c r="A249" s="73" t="s">
        <v>366</v>
      </c>
      <c r="B249">
        <v>20.41</v>
      </c>
      <c r="C249">
        <v>49.22</v>
      </c>
      <c r="D249" s="74">
        <f t="shared" si="6"/>
        <v>45792.675104166665</v>
      </c>
      <c r="E249" s="75">
        <f t="shared" si="7"/>
        <v>45792.675104166665</v>
      </c>
    </row>
    <row r="250" spans="1:5">
      <c r="A250" s="73" t="s">
        <v>367</v>
      </c>
      <c r="B250">
        <v>20.41</v>
      </c>
      <c r="C250">
        <v>49.11</v>
      </c>
      <c r="D250" s="74">
        <f t="shared" si="6"/>
        <v>45792.676481481481</v>
      </c>
      <c r="E250" s="75">
        <f t="shared" si="7"/>
        <v>45792.676481481481</v>
      </c>
    </row>
    <row r="251" spans="1:5">
      <c r="A251" s="73" t="s">
        <v>368</v>
      </c>
      <c r="B251">
        <v>20.399999999999999</v>
      </c>
      <c r="C251">
        <v>49.1</v>
      </c>
      <c r="D251" s="74">
        <f t="shared" si="6"/>
        <v>45792.677881944444</v>
      </c>
      <c r="E251" s="75">
        <f t="shared" si="7"/>
        <v>45792.677881944444</v>
      </c>
    </row>
    <row r="252" spans="1:5">
      <c r="A252" s="73" t="s">
        <v>369</v>
      </c>
      <c r="B252">
        <v>20.420000000000002</v>
      </c>
      <c r="C252">
        <v>49.17</v>
      </c>
      <c r="D252" s="74">
        <f t="shared" si="6"/>
        <v>45792.679259259261</v>
      </c>
      <c r="E252" s="75">
        <f t="shared" si="7"/>
        <v>45792.679259259261</v>
      </c>
    </row>
    <row r="253" spans="1:5">
      <c r="A253" s="73" t="s">
        <v>370</v>
      </c>
      <c r="B253">
        <v>20.440000000000001</v>
      </c>
      <c r="C253">
        <v>49.1</v>
      </c>
      <c r="D253" s="74">
        <f t="shared" si="6"/>
        <v>45792.680659722224</v>
      </c>
      <c r="E253" s="75">
        <f t="shared" si="7"/>
        <v>45792.680659722224</v>
      </c>
    </row>
    <row r="254" spans="1:5">
      <c r="A254" s="73" t="s">
        <v>371</v>
      </c>
      <c r="B254">
        <v>20.45</v>
      </c>
      <c r="C254">
        <v>49.18</v>
      </c>
      <c r="D254" s="74">
        <f t="shared" si="6"/>
        <v>45792.682037037041</v>
      </c>
      <c r="E254" s="75">
        <f t="shared" si="7"/>
        <v>45792.682037037041</v>
      </c>
    </row>
    <row r="255" spans="1:5">
      <c r="A255" s="73" t="s">
        <v>372</v>
      </c>
      <c r="B255">
        <v>20.45</v>
      </c>
      <c r="C255">
        <v>49.22</v>
      </c>
      <c r="D255" s="74">
        <f t="shared" si="6"/>
        <v>45792.683437500003</v>
      </c>
      <c r="E255" s="75">
        <f t="shared" si="7"/>
        <v>45792.683437500003</v>
      </c>
    </row>
    <row r="256" spans="1:5">
      <c r="A256" s="73" t="s">
        <v>373</v>
      </c>
      <c r="B256">
        <v>20.440000000000001</v>
      </c>
      <c r="C256">
        <v>49.22</v>
      </c>
      <c r="D256" s="74">
        <f t="shared" si="6"/>
        <v>45792.684814814813</v>
      </c>
      <c r="E256" s="75">
        <f t="shared" si="7"/>
        <v>45792.684814814813</v>
      </c>
    </row>
    <row r="257" spans="1:5">
      <c r="A257" s="73" t="s">
        <v>374</v>
      </c>
      <c r="B257">
        <v>20.43</v>
      </c>
      <c r="C257">
        <v>49.32</v>
      </c>
      <c r="D257" s="74">
        <f t="shared" si="6"/>
        <v>45792.686203703706</v>
      </c>
      <c r="E257" s="75">
        <f t="shared" si="7"/>
        <v>45792.686203703706</v>
      </c>
    </row>
    <row r="258" spans="1:5">
      <c r="A258" s="73" t="s">
        <v>375</v>
      </c>
      <c r="B258">
        <v>20.420000000000002</v>
      </c>
      <c r="C258">
        <v>49.25</v>
      </c>
      <c r="D258" s="74">
        <f t="shared" si="6"/>
        <v>45792.687592592592</v>
      </c>
      <c r="E258" s="75">
        <f t="shared" si="7"/>
        <v>45792.687592592592</v>
      </c>
    </row>
    <row r="259" spans="1:5">
      <c r="A259" s="73" t="s">
        <v>376</v>
      </c>
      <c r="B259">
        <v>20.43</v>
      </c>
      <c r="C259">
        <v>49.31</v>
      </c>
      <c r="D259" s="74">
        <f t="shared" ref="D259:D322" si="8">A259+12/24</f>
        <v>45792.688993055555</v>
      </c>
      <c r="E259" s="75">
        <f t="shared" ref="E259:E322" si="9">D259</f>
        <v>45792.688993055555</v>
      </c>
    </row>
    <row r="260" spans="1:5">
      <c r="A260" s="73" t="s">
        <v>377</v>
      </c>
      <c r="B260">
        <v>20.43</v>
      </c>
      <c r="C260">
        <v>49.36</v>
      </c>
      <c r="D260" s="74">
        <f t="shared" si="8"/>
        <v>45792.690370370372</v>
      </c>
      <c r="E260" s="75">
        <f t="shared" si="9"/>
        <v>45792.690370370372</v>
      </c>
    </row>
    <row r="261" spans="1:5">
      <c r="A261" s="73" t="s">
        <v>378</v>
      </c>
      <c r="B261">
        <v>20.43</v>
      </c>
      <c r="C261">
        <v>49.34</v>
      </c>
      <c r="D261" s="74">
        <f t="shared" si="8"/>
        <v>45792.691759259258</v>
      </c>
      <c r="E261" s="75">
        <f t="shared" si="9"/>
        <v>45792.691759259258</v>
      </c>
    </row>
    <row r="262" spans="1:5">
      <c r="A262" s="73" t="s">
        <v>379</v>
      </c>
      <c r="B262">
        <v>20.420000000000002</v>
      </c>
      <c r="C262">
        <v>49.45</v>
      </c>
      <c r="D262" s="74">
        <f t="shared" si="8"/>
        <v>45792.693159722221</v>
      </c>
      <c r="E262" s="75">
        <f t="shared" si="9"/>
        <v>45792.693159722221</v>
      </c>
    </row>
    <row r="263" spans="1:5">
      <c r="A263" s="73" t="s">
        <v>380</v>
      </c>
      <c r="B263">
        <v>20.43</v>
      </c>
      <c r="C263">
        <v>49.06</v>
      </c>
      <c r="D263" s="74">
        <f t="shared" si="8"/>
        <v>45792.694548611114</v>
      </c>
      <c r="E263" s="75">
        <f t="shared" si="9"/>
        <v>45792.694548611114</v>
      </c>
    </row>
    <row r="264" spans="1:5">
      <c r="A264" s="73" t="s">
        <v>381</v>
      </c>
      <c r="B264">
        <v>20.440000000000001</v>
      </c>
      <c r="C264">
        <v>48.73</v>
      </c>
      <c r="D264" s="74">
        <f t="shared" si="8"/>
        <v>45792.695925925924</v>
      </c>
      <c r="E264" s="75">
        <f t="shared" si="9"/>
        <v>45792.695925925924</v>
      </c>
    </row>
    <row r="265" spans="1:5">
      <c r="A265" s="73" t="s">
        <v>382</v>
      </c>
      <c r="B265">
        <v>20.43</v>
      </c>
      <c r="C265">
        <v>48.49</v>
      </c>
      <c r="D265" s="74">
        <f t="shared" si="8"/>
        <v>45792.697326388887</v>
      </c>
      <c r="E265" s="75">
        <f t="shared" si="9"/>
        <v>45792.697326388887</v>
      </c>
    </row>
    <row r="266" spans="1:5">
      <c r="A266" s="73" t="s">
        <v>383</v>
      </c>
      <c r="B266">
        <v>20.43</v>
      </c>
      <c r="C266">
        <v>48.67</v>
      </c>
      <c r="D266" s="74">
        <f t="shared" si="8"/>
        <v>45792.69871527778</v>
      </c>
      <c r="E266" s="75">
        <f t="shared" si="9"/>
        <v>45792.69871527778</v>
      </c>
    </row>
    <row r="267" spans="1:5">
      <c r="A267" s="73" t="s">
        <v>384</v>
      </c>
      <c r="B267">
        <v>20.420000000000002</v>
      </c>
      <c r="C267">
        <v>48.82</v>
      </c>
      <c r="D267" s="74">
        <f t="shared" si="8"/>
        <v>45792.700104166666</v>
      </c>
      <c r="E267" s="75">
        <f t="shared" si="9"/>
        <v>45792.700104166666</v>
      </c>
    </row>
    <row r="268" spans="1:5">
      <c r="A268" s="73" t="s">
        <v>385</v>
      </c>
      <c r="B268">
        <v>20.420000000000002</v>
      </c>
      <c r="C268">
        <v>48.87</v>
      </c>
      <c r="D268" s="74">
        <f t="shared" si="8"/>
        <v>45792.701481481483</v>
      </c>
      <c r="E268" s="75">
        <f t="shared" si="9"/>
        <v>45792.701481481483</v>
      </c>
    </row>
    <row r="269" spans="1:5">
      <c r="A269" s="73" t="s">
        <v>386</v>
      </c>
      <c r="B269">
        <v>20.43</v>
      </c>
      <c r="C269">
        <v>48.95</v>
      </c>
      <c r="D269" s="74">
        <f t="shared" si="8"/>
        <v>45792.702881944446</v>
      </c>
      <c r="E269" s="75">
        <f t="shared" si="9"/>
        <v>45792.702881944446</v>
      </c>
    </row>
    <row r="270" spans="1:5">
      <c r="A270" s="73" t="s">
        <v>387</v>
      </c>
      <c r="B270">
        <v>20.43</v>
      </c>
      <c r="C270">
        <v>48.92</v>
      </c>
      <c r="D270" s="74">
        <f t="shared" si="8"/>
        <v>45792.704270833332</v>
      </c>
      <c r="E270" s="75">
        <f t="shared" si="9"/>
        <v>45792.704270833332</v>
      </c>
    </row>
    <row r="271" spans="1:5">
      <c r="A271" s="73" t="s">
        <v>388</v>
      </c>
      <c r="B271">
        <v>20.440000000000001</v>
      </c>
      <c r="C271">
        <v>49.01</v>
      </c>
      <c r="D271" s="74">
        <f t="shared" si="8"/>
        <v>45792.705659722225</v>
      </c>
      <c r="E271" s="75">
        <f t="shared" si="9"/>
        <v>45792.705659722225</v>
      </c>
    </row>
    <row r="272" spans="1:5">
      <c r="A272" s="73" t="s">
        <v>389</v>
      </c>
      <c r="B272">
        <v>20.420000000000002</v>
      </c>
      <c r="C272">
        <v>48.98</v>
      </c>
      <c r="D272" s="74">
        <f t="shared" si="8"/>
        <v>45792.707037037035</v>
      </c>
      <c r="E272" s="75">
        <f t="shared" si="9"/>
        <v>45792.707037037035</v>
      </c>
    </row>
    <row r="273" spans="1:5">
      <c r="A273" s="73" t="s">
        <v>390</v>
      </c>
      <c r="B273">
        <v>20.420000000000002</v>
      </c>
      <c r="C273">
        <v>49.07</v>
      </c>
      <c r="D273" s="74">
        <f t="shared" si="8"/>
        <v>45792.708425925928</v>
      </c>
      <c r="E273" s="75">
        <f t="shared" si="9"/>
        <v>45792.708425925928</v>
      </c>
    </row>
    <row r="274" spans="1:5">
      <c r="A274" s="73" t="s">
        <v>391</v>
      </c>
      <c r="B274">
        <v>20.440000000000001</v>
      </c>
      <c r="C274">
        <v>48.99</v>
      </c>
      <c r="D274" s="74">
        <f t="shared" si="8"/>
        <v>45792.709814814814</v>
      </c>
      <c r="E274" s="75">
        <f t="shared" si="9"/>
        <v>45792.709814814814</v>
      </c>
    </row>
    <row r="275" spans="1:5">
      <c r="A275" s="73" t="s">
        <v>392</v>
      </c>
      <c r="B275">
        <v>20.420000000000002</v>
      </c>
      <c r="C275">
        <v>49.11</v>
      </c>
      <c r="D275" s="74">
        <f t="shared" si="8"/>
        <v>45792.711215277777</v>
      </c>
      <c r="E275" s="75">
        <f t="shared" si="9"/>
        <v>45792.711215277777</v>
      </c>
    </row>
    <row r="276" spans="1:5">
      <c r="A276" s="73" t="s">
        <v>393</v>
      </c>
      <c r="B276">
        <v>20.43</v>
      </c>
      <c r="C276">
        <v>49.09</v>
      </c>
      <c r="D276" s="74">
        <f t="shared" si="8"/>
        <v>45792.712592592594</v>
      </c>
      <c r="E276" s="75">
        <f t="shared" si="9"/>
        <v>45792.712592592594</v>
      </c>
    </row>
    <row r="277" spans="1:5">
      <c r="A277" s="73" t="s">
        <v>394</v>
      </c>
      <c r="B277">
        <v>20.440000000000001</v>
      </c>
      <c r="C277">
        <v>49.18</v>
      </c>
      <c r="D277" s="74">
        <f t="shared" si="8"/>
        <v>45792.713993055557</v>
      </c>
      <c r="E277" s="75">
        <f t="shared" si="9"/>
        <v>45792.713993055557</v>
      </c>
    </row>
    <row r="278" spans="1:5">
      <c r="A278" s="73" t="s">
        <v>395</v>
      </c>
      <c r="B278">
        <v>20.43</v>
      </c>
      <c r="C278">
        <v>49.2</v>
      </c>
      <c r="D278" s="74">
        <f t="shared" si="8"/>
        <v>45792.715381944443</v>
      </c>
      <c r="E278" s="75">
        <f t="shared" si="9"/>
        <v>45792.715381944443</v>
      </c>
    </row>
    <row r="279" spans="1:5">
      <c r="A279" s="73" t="s">
        <v>396</v>
      </c>
      <c r="B279">
        <v>20.43</v>
      </c>
      <c r="C279">
        <v>49.17</v>
      </c>
      <c r="D279" s="74">
        <f t="shared" si="8"/>
        <v>45792.716770833336</v>
      </c>
      <c r="E279" s="75">
        <f t="shared" si="9"/>
        <v>45792.716770833336</v>
      </c>
    </row>
    <row r="280" spans="1:5">
      <c r="A280" s="73" t="s">
        <v>397</v>
      </c>
      <c r="B280">
        <v>20.420000000000002</v>
      </c>
      <c r="C280">
        <v>49.27</v>
      </c>
      <c r="D280" s="74">
        <f t="shared" si="8"/>
        <v>45792.718148148146</v>
      </c>
      <c r="E280" s="75">
        <f t="shared" si="9"/>
        <v>45792.718148148146</v>
      </c>
    </row>
    <row r="281" spans="1:5">
      <c r="A281" s="73" t="s">
        <v>398</v>
      </c>
      <c r="B281">
        <v>20.420000000000002</v>
      </c>
      <c r="C281">
        <v>49.22</v>
      </c>
      <c r="D281" s="74">
        <f t="shared" si="8"/>
        <v>45792.719537037039</v>
      </c>
      <c r="E281" s="75">
        <f t="shared" si="9"/>
        <v>45792.719537037039</v>
      </c>
    </row>
    <row r="282" spans="1:5">
      <c r="A282" s="73" t="s">
        <v>399</v>
      </c>
      <c r="B282">
        <v>20.43</v>
      </c>
      <c r="C282">
        <v>49.28</v>
      </c>
      <c r="D282" s="74">
        <f t="shared" si="8"/>
        <v>45792.720937500002</v>
      </c>
      <c r="E282" s="75">
        <f t="shared" si="9"/>
        <v>45792.720937500002</v>
      </c>
    </row>
    <row r="283" spans="1:5">
      <c r="A283" s="73" t="s">
        <v>400</v>
      </c>
      <c r="B283">
        <v>20.420000000000002</v>
      </c>
      <c r="C283">
        <v>49.19</v>
      </c>
      <c r="D283" s="74">
        <f t="shared" si="8"/>
        <v>45792.722326388888</v>
      </c>
      <c r="E283" s="75">
        <f t="shared" si="9"/>
        <v>45792.722326388888</v>
      </c>
    </row>
    <row r="284" spans="1:5">
      <c r="A284" s="73" t="s">
        <v>401</v>
      </c>
      <c r="B284">
        <v>20.43</v>
      </c>
      <c r="C284">
        <v>49.13</v>
      </c>
      <c r="D284" s="74">
        <f t="shared" si="8"/>
        <v>45792.723703703705</v>
      </c>
      <c r="E284" s="75">
        <f t="shared" si="9"/>
        <v>45792.723703703705</v>
      </c>
    </row>
    <row r="285" spans="1:5">
      <c r="A285" s="73" t="s">
        <v>402</v>
      </c>
      <c r="B285">
        <v>20.43</v>
      </c>
      <c r="C285">
        <v>49.18</v>
      </c>
      <c r="D285" s="74">
        <f t="shared" si="8"/>
        <v>45792.725104166668</v>
      </c>
      <c r="E285" s="75">
        <f t="shared" si="9"/>
        <v>45792.725104166668</v>
      </c>
    </row>
    <row r="286" spans="1:5">
      <c r="A286" s="73" t="s">
        <v>403</v>
      </c>
      <c r="B286">
        <v>20.420000000000002</v>
      </c>
      <c r="C286">
        <v>49.13</v>
      </c>
      <c r="D286" s="74">
        <f t="shared" si="8"/>
        <v>45792.726493055554</v>
      </c>
      <c r="E286" s="75">
        <f t="shared" si="9"/>
        <v>45792.726493055554</v>
      </c>
    </row>
    <row r="287" spans="1:5">
      <c r="A287" s="73" t="s">
        <v>404</v>
      </c>
      <c r="B287">
        <v>20.420000000000002</v>
      </c>
      <c r="C287">
        <v>49.23</v>
      </c>
      <c r="D287" s="74">
        <f t="shared" si="8"/>
        <v>45792.727881944447</v>
      </c>
      <c r="E287" s="75">
        <f t="shared" si="9"/>
        <v>45792.727881944447</v>
      </c>
    </row>
    <row r="288" spans="1:5">
      <c r="A288" s="73" t="s">
        <v>405</v>
      </c>
      <c r="B288">
        <v>20.41</v>
      </c>
      <c r="C288">
        <v>49.21</v>
      </c>
      <c r="D288" s="74">
        <f t="shared" si="8"/>
        <v>45792.729259259257</v>
      </c>
      <c r="E288" s="75">
        <f t="shared" si="9"/>
        <v>45792.729259259257</v>
      </c>
    </row>
    <row r="289" spans="1:5">
      <c r="A289" s="73" t="s">
        <v>406</v>
      </c>
      <c r="B289">
        <v>20.41</v>
      </c>
      <c r="C289">
        <v>49.26</v>
      </c>
      <c r="D289" s="74">
        <f t="shared" si="8"/>
        <v>45792.73064814815</v>
      </c>
      <c r="E289" s="75">
        <f t="shared" si="9"/>
        <v>45792.73064814815</v>
      </c>
    </row>
    <row r="290" spans="1:5">
      <c r="A290" s="73" t="s">
        <v>407</v>
      </c>
      <c r="B290">
        <v>20.420000000000002</v>
      </c>
      <c r="C290">
        <v>48.81</v>
      </c>
      <c r="D290" s="74">
        <f t="shared" si="8"/>
        <v>45792.732037037036</v>
      </c>
      <c r="E290" s="75">
        <f t="shared" si="9"/>
        <v>45792.732037037036</v>
      </c>
    </row>
    <row r="291" spans="1:5">
      <c r="A291" s="73" t="s">
        <v>408</v>
      </c>
      <c r="B291">
        <v>20.420000000000002</v>
      </c>
      <c r="C291">
        <v>48.49</v>
      </c>
      <c r="D291" s="74">
        <f t="shared" si="8"/>
        <v>45792.733437499999</v>
      </c>
      <c r="E291" s="75">
        <f t="shared" si="9"/>
        <v>45792.733437499999</v>
      </c>
    </row>
    <row r="292" spans="1:5">
      <c r="A292" s="73" t="s">
        <v>409</v>
      </c>
      <c r="B292">
        <v>20.420000000000002</v>
      </c>
      <c r="C292">
        <v>48.38</v>
      </c>
      <c r="D292" s="74">
        <f t="shared" si="8"/>
        <v>45792.734814814816</v>
      </c>
      <c r="E292" s="75">
        <f t="shared" si="9"/>
        <v>45792.734814814816</v>
      </c>
    </row>
    <row r="293" spans="1:5">
      <c r="A293" s="73" t="s">
        <v>410</v>
      </c>
      <c r="B293">
        <v>20.41</v>
      </c>
      <c r="C293">
        <v>48.62</v>
      </c>
      <c r="D293" s="74">
        <f t="shared" si="8"/>
        <v>45792.736215277779</v>
      </c>
      <c r="E293" s="75">
        <f t="shared" si="9"/>
        <v>45792.736215277779</v>
      </c>
    </row>
    <row r="294" spans="1:5">
      <c r="A294" s="73" t="s">
        <v>411</v>
      </c>
      <c r="B294">
        <v>20.420000000000002</v>
      </c>
      <c r="C294">
        <v>48.65</v>
      </c>
      <c r="D294" s="74">
        <f t="shared" si="8"/>
        <v>45792.737592592595</v>
      </c>
      <c r="E294" s="75">
        <f t="shared" si="9"/>
        <v>45792.737592592595</v>
      </c>
    </row>
    <row r="295" spans="1:5">
      <c r="A295" s="73" t="s">
        <v>412</v>
      </c>
      <c r="B295">
        <v>20.43</v>
      </c>
      <c r="C295">
        <v>48.66</v>
      </c>
      <c r="D295" s="74">
        <f t="shared" si="8"/>
        <v>45792.738993055558</v>
      </c>
      <c r="E295" s="75">
        <f t="shared" si="9"/>
        <v>45792.738993055558</v>
      </c>
    </row>
    <row r="296" spans="1:5">
      <c r="A296" s="73" t="s">
        <v>413</v>
      </c>
      <c r="B296">
        <v>20.41</v>
      </c>
      <c r="C296">
        <v>48.75</v>
      </c>
      <c r="D296" s="74">
        <f t="shared" si="8"/>
        <v>45792.740370370368</v>
      </c>
      <c r="E296" s="75">
        <f t="shared" si="9"/>
        <v>45792.740370370368</v>
      </c>
    </row>
    <row r="297" spans="1:5">
      <c r="A297" s="73" t="s">
        <v>414</v>
      </c>
      <c r="B297">
        <v>20.43</v>
      </c>
      <c r="C297">
        <v>48.77</v>
      </c>
      <c r="D297" s="74">
        <f t="shared" si="8"/>
        <v>45792.741759259261</v>
      </c>
      <c r="E297" s="75">
        <f t="shared" si="9"/>
        <v>45792.741759259261</v>
      </c>
    </row>
    <row r="298" spans="1:5">
      <c r="A298" s="73" t="s">
        <v>415</v>
      </c>
      <c r="B298">
        <v>20.440000000000001</v>
      </c>
      <c r="C298">
        <v>48.85</v>
      </c>
      <c r="D298" s="74">
        <f t="shared" si="8"/>
        <v>45792.743148148147</v>
      </c>
      <c r="E298" s="75">
        <f t="shared" si="9"/>
        <v>45792.743148148147</v>
      </c>
    </row>
    <row r="299" spans="1:5">
      <c r="A299" s="73" t="s">
        <v>416</v>
      </c>
      <c r="B299">
        <v>20.43</v>
      </c>
      <c r="C299">
        <v>48.8</v>
      </c>
      <c r="D299" s="74">
        <f t="shared" si="8"/>
        <v>45792.74454861111</v>
      </c>
      <c r="E299" s="75">
        <f t="shared" si="9"/>
        <v>45792.74454861111</v>
      </c>
    </row>
    <row r="300" spans="1:5">
      <c r="A300" s="73" t="s">
        <v>417</v>
      </c>
      <c r="B300">
        <v>20.43</v>
      </c>
      <c r="C300">
        <v>48.88</v>
      </c>
      <c r="D300" s="74">
        <f t="shared" si="8"/>
        <v>45792.745925925927</v>
      </c>
      <c r="E300" s="75">
        <f t="shared" si="9"/>
        <v>45792.745925925927</v>
      </c>
    </row>
    <row r="301" spans="1:5">
      <c r="A301" s="73" t="s">
        <v>418</v>
      </c>
      <c r="B301">
        <v>20.41</v>
      </c>
      <c r="C301">
        <v>48.85</v>
      </c>
      <c r="D301" s="74">
        <f t="shared" si="8"/>
        <v>45792.74732638889</v>
      </c>
      <c r="E301" s="75">
        <f t="shared" si="9"/>
        <v>45792.74732638889</v>
      </c>
    </row>
    <row r="302" spans="1:5">
      <c r="A302" s="73" t="s">
        <v>419</v>
      </c>
      <c r="B302">
        <v>20.41</v>
      </c>
      <c r="C302">
        <v>48.93</v>
      </c>
      <c r="D302" s="74">
        <f t="shared" si="8"/>
        <v>45792.748703703706</v>
      </c>
      <c r="E302" s="75">
        <f t="shared" si="9"/>
        <v>45792.748703703706</v>
      </c>
    </row>
    <row r="303" spans="1:5">
      <c r="A303" s="73" t="s">
        <v>420</v>
      </c>
      <c r="B303">
        <v>20.420000000000002</v>
      </c>
      <c r="C303">
        <v>48.91</v>
      </c>
      <c r="D303" s="74">
        <f t="shared" si="8"/>
        <v>45792.750104166669</v>
      </c>
      <c r="E303" s="75">
        <f t="shared" si="9"/>
        <v>45792.750104166669</v>
      </c>
    </row>
    <row r="304" spans="1:5">
      <c r="A304" s="73" t="s">
        <v>421</v>
      </c>
      <c r="B304">
        <v>20.420000000000002</v>
      </c>
      <c r="C304">
        <v>48.97</v>
      </c>
      <c r="D304" s="74">
        <f t="shared" si="8"/>
        <v>45792.751481481479</v>
      </c>
      <c r="E304" s="75">
        <f t="shared" si="9"/>
        <v>45792.751481481479</v>
      </c>
    </row>
    <row r="305" spans="1:5">
      <c r="A305" s="73" t="s">
        <v>422</v>
      </c>
      <c r="B305">
        <v>20.43</v>
      </c>
      <c r="C305">
        <v>48.99</v>
      </c>
      <c r="D305" s="74">
        <f t="shared" si="8"/>
        <v>45792.752881944441</v>
      </c>
      <c r="E305" s="75">
        <f t="shared" si="9"/>
        <v>45792.752881944441</v>
      </c>
    </row>
    <row r="306" spans="1:5">
      <c r="A306" s="73" t="s">
        <v>423</v>
      </c>
      <c r="B306">
        <v>20.420000000000002</v>
      </c>
      <c r="C306">
        <v>48.97</v>
      </c>
      <c r="D306" s="74">
        <f t="shared" si="8"/>
        <v>45792.754259259258</v>
      </c>
      <c r="E306" s="75">
        <f t="shared" si="9"/>
        <v>45792.754259259258</v>
      </c>
    </row>
    <row r="307" spans="1:5">
      <c r="A307" s="73" t="s">
        <v>424</v>
      </c>
      <c r="B307">
        <v>20.399999999999999</v>
      </c>
      <c r="C307">
        <v>49.07</v>
      </c>
      <c r="D307" s="74">
        <f t="shared" si="8"/>
        <v>45792.755648148152</v>
      </c>
      <c r="E307" s="75">
        <f t="shared" si="9"/>
        <v>45792.755648148152</v>
      </c>
    </row>
    <row r="308" spans="1:5">
      <c r="A308" s="73" t="s">
        <v>425</v>
      </c>
      <c r="B308">
        <v>20.399999999999999</v>
      </c>
      <c r="C308">
        <v>48.89</v>
      </c>
      <c r="D308" s="74">
        <f t="shared" si="8"/>
        <v>45792.757037037038</v>
      </c>
      <c r="E308" s="75">
        <f t="shared" si="9"/>
        <v>45792.757037037038</v>
      </c>
    </row>
    <row r="309" spans="1:5">
      <c r="A309" s="73" t="s">
        <v>426</v>
      </c>
      <c r="B309">
        <v>20.39</v>
      </c>
      <c r="C309">
        <v>48.87</v>
      </c>
      <c r="D309" s="74">
        <f t="shared" si="8"/>
        <v>45792.758437500001</v>
      </c>
      <c r="E309" s="75">
        <f t="shared" si="9"/>
        <v>45792.758437500001</v>
      </c>
    </row>
    <row r="310" spans="1:5">
      <c r="A310" s="73" t="s">
        <v>427</v>
      </c>
      <c r="B310">
        <v>20.41</v>
      </c>
      <c r="C310">
        <v>48.96</v>
      </c>
      <c r="D310" s="74">
        <f t="shared" si="8"/>
        <v>45792.759814814817</v>
      </c>
      <c r="E310" s="75">
        <f t="shared" si="9"/>
        <v>45792.759814814817</v>
      </c>
    </row>
    <row r="311" spans="1:5">
      <c r="A311" s="73" t="s">
        <v>428</v>
      </c>
      <c r="B311">
        <v>20.399999999999999</v>
      </c>
      <c r="C311">
        <v>48.91</v>
      </c>
      <c r="D311" s="74">
        <f t="shared" si="8"/>
        <v>45792.761203703703</v>
      </c>
      <c r="E311" s="75">
        <f t="shared" si="9"/>
        <v>45792.761203703703</v>
      </c>
    </row>
    <row r="312" spans="1:5">
      <c r="A312" s="73" t="s">
        <v>429</v>
      </c>
      <c r="B312">
        <v>20.41</v>
      </c>
      <c r="C312">
        <v>48.95</v>
      </c>
      <c r="D312" s="74">
        <f t="shared" si="8"/>
        <v>45792.762592592589</v>
      </c>
      <c r="E312" s="75">
        <f t="shared" si="9"/>
        <v>45792.762592592589</v>
      </c>
    </row>
    <row r="313" spans="1:5">
      <c r="A313" s="73" t="s">
        <v>430</v>
      </c>
      <c r="B313">
        <v>20.399999999999999</v>
      </c>
      <c r="C313">
        <v>48.9</v>
      </c>
      <c r="D313" s="74">
        <f t="shared" si="8"/>
        <v>45792.763993055552</v>
      </c>
      <c r="E313" s="75">
        <f t="shared" si="9"/>
        <v>45792.763993055552</v>
      </c>
    </row>
    <row r="314" spans="1:5">
      <c r="A314" s="73" t="s">
        <v>431</v>
      </c>
      <c r="B314">
        <v>20.41</v>
      </c>
      <c r="C314">
        <v>48.93</v>
      </c>
      <c r="D314" s="74">
        <f t="shared" si="8"/>
        <v>45792.765370370369</v>
      </c>
      <c r="E314" s="75">
        <f t="shared" si="9"/>
        <v>45792.765370370369</v>
      </c>
    </row>
    <row r="315" spans="1:5">
      <c r="A315" s="73" t="s">
        <v>432</v>
      </c>
      <c r="B315">
        <v>20.420000000000002</v>
      </c>
      <c r="C315">
        <v>48.95</v>
      </c>
      <c r="D315" s="74">
        <f t="shared" si="8"/>
        <v>45792.766759259262</v>
      </c>
      <c r="E315" s="75">
        <f t="shared" si="9"/>
        <v>45792.766759259262</v>
      </c>
    </row>
    <row r="316" spans="1:5">
      <c r="A316" s="73" t="s">
        <v>433</v>
      </c>
      <c r="B316">
        <v>20.420000000000002</v>
      </c>
      <c r="C316">
        <v>48.75</v>
      </c>
      <c r="D316" s="74">
        <f t="shared" si="8"/>
        <v>45792.768148148149</v>
      </c>
      <c r="E316" s="75">
        <f t="shared" si="9"/>
        <v>45792.768148148149</v>
      </c>
    </row>
    <row r="317" spans="1:5">
      <c r="A317" s="73" t="s">
        <v>434</v>
      </c>
      <c r="B317">
        <v>20.41</v>
      </c>
      <c r="C317">
        <v>48.71</v>
      </c>
      <c r="D317" s="74">
        <f t="shared" si="8"/>
        <v>45792.769548611112</v>
      </c>
      <c r="E317" s="75">
        <f t="shared" si="9"/>
        <v>45792.769548611112</v>
      </c>
    </row>
    <row r="318" spans="1:5">
      <c r="A318" s="73" t="s">
        <v>435</v>
      </c>
      <c r="B318">
        <v>20.399999999999999</v>
      </c>
      <c r="C318">
        <v>48.74</v>
      </c>
      <c r="D318" s="74">
        <f t="shared" si="8"/>
        <v>45792.770937499998</v>
      </c>
      <c r="E318" s="75">
        <f t="shared" si="9"/>
        <v>45792.770937499998</v>
      </c>
    </row>
    <row r="319" spans="1:5">
      <c r="A319" s="73" t="s">
        <v>436</v>
      </c>
      <c r="B319">
        <v>20.39</v>
      </c>
      <c r="C319">
        <v>48.67</v>
      </c>
      <c r="D319" s="74">
        <f t="shared" si="8"/>
        <v>45792.772326388891</v>
      </c>
      <c r="E319" s="75">
        <f t="shared" si="9"/>
        <v>45792.772326388891</v>
      </c>
    </row>
    <row r="320" spans="1:5">
      <c r="A320" s="73" t="s">
        <v>437</v>
      </c>
      <c r="B320">
        <v>20.399999999999999</v>
      </c>
      <c r="C320">
        <v>48.75</v>
      </c>
      <c r="D320" s="74">
        <f t="shared" si="8"/>
        <v>45792.7737037037</v>
      </c>
      <c r="E320" s="75">
        <f t="shared" si="9"/>
        <v>45792.7737037037</v>
      </c>
    </row>
    <row r="321" spans="1:5">
      <c r="A321" s="73" t="s">
        <v>438</v>
      </c>
      <c r="B321">
        <v>20.399999999999999</v>
      </c>
      <c r="C321">
        <v>48.8</v>
      </c>
      <c r="D321" s="74">
        <f t="shared" si="8"/>
        <v>45792.775104166663</v>
      </c>
      <c r="E321" s="75">
        <f t="shared" si="9"/>
        <v>45792.775104166663</v>
      </c>
    </row>
    <row r="322" spans="1:5">
      <c r="A322" s="73" t="s">
        <v>439</v>
      </c>
      <c r="B322">
        <v>20.39</v>
      </c>
      <c r="C322">
        <v>48.76</v>
      </c>
      <c r="D322" s="74">
        <f t="shared" si="8"/>
        <v>45792.776493055557</v>
      </c>
      <c r="E322" s="75">
        <f t="shared" si="9"/>
        <v>45792.776493055557</v>
      </c>
    </row>
    <row r="323" spans="1:5">
      <c r="A323" s="73" t="s">
        <v>440</v>
      </c>
      <c r="B323">
        <v>20.38</v>
      </c>
      <c r="C323">
        <v>48.87</v>
      </c>
      <c r="D323" s="74">
        <f t="shared" ref="D323:D386" si="10">A323+12/24</f>
        <v>45792.777881944443</v>
      </c>
      <c r="E323" s="75">
        <f t="shared" ref="E323:E386" si="11">D323</f>
        <v>45792.777881944443</v>
      </c>
    </row>
    <row r="324" spans="1:5">
      <c r="A324" s="73" t="s">
        <v>441</v>
      </c>
      <c r="B324">
        <v>20.38</v>
      </c>
      <c r="C324">
        <v>48.8</v>
      </c>
      <c r="D324" s="74">
        <f t="shared" si="10"/>
        <v>45792.77925925926</v>
      </c>
      <c r="E324" s="75">
        <f t="shared" si="11"/>
        <v>45792.77925925926</v>
      </c>
    </row>
    <row r="325" spans="1:5">
      <c r="A325" s="73" t="s">
        <v>442</v>
      </c>
      <c r="B325">
        <v>20.39</v>
      </c>
      <c r="C325">
        <v>48.93</v>
      </c>
      <c r="D325" s="74">
        <f t="shared" si="10"/>
        <v>45792.780659722222</v>
      </c>
      <c r="E325" s="75">
        <f t="shared" si="11"/>
        <v>45792.780659722222</v>
      </c>
    </row>
    <row r="326" spans="1:5">
      <c r="A326" s="73" t="s">
        <v>443</v>
      </c>
      <c r="B326">
        <v>20.399999999999999</v>
      </c>
      <c r="C326">
        <v>49.04</v>
      </c>
      <c r="D326" s="74">
        <f t="shared" si="10"/>
        <v>45792.782048611109</v>
      </c>
      <c r="E326" s="75">
        <f t="shared" si="11"/>
        <v>45792.782048611109</v>
      </c>
    </row>
    <row r="327" spans="1:5">
      <c r="A327" s="73" t="s">
        <v>444</v>
      </c>
      <c r="B327">
        <v>20.41</v>
      </c>
      <c r="C327">
        <v>48.97</v>
      </c>
      <c r="D327" s="74">
        <f t="shared" si="10"/>
        <v>45792.783437500002</v>
      </c>
      <c r="E327" s="75">
        <f t="shared" si="11"/>
        <v>45792.783437500002</v>
      </c>
    </row>
    <row r="328" spans="1:5">
      <c r="A328" s="73" t="s">
        <v>445</v>
      </c>
      <c r="B328">
        <v>20.41</v>
      </c>
      <c r="C328">
        <v>49.1</v>
      </c>
      <c r="D328" s="74">
        <f t="shared" si="10"/>
        <v>45792.784814814811</v>
      </c>
      <c r="E328" s="75">
        <f t="shared" si="11"/>
        <v>45792.784814814811</v>
      </c>
    </row>
    <row r="329" spans="1:5">
      <c r="A329" s="73" t="s">
        <v>446</v>
      </c>
      <c r="B329">
        <v>20.43</v>
      </c>
      <c r="C329">
        <v>49.28</v>
      </c>
      <c r="D329" s="74">
        <f t="shared" si="10"/>
        <v>45792.786215277774</v>
      </c>
      <c r="E329" s="75">
        <f t="shared" si="11"/>
        <v>45792.786215277774</v>
      </c>
    </row>
    <row r="330" spans="1:5">
      <c r="A330" s="73" t="s">
        <v>447</v>
      </c>
      <c r="B330">
        <v>20.440000000000001</v>
      </c>
      <c r="C330">
        <v>49.36</v>
      </c>
      <c r="D330" s="74">
        <f t="shared" si="10"/>
        <v>45792.787592592591</v>
      </c>
      <c r="E330" s="75">
        <f t="shared" si="11"/>
        <v>45792.787592592591</v>
      </c>
    </row>
    <row r="331" spans="1:5">
      <c r="A331" s="73" t="s">
        <v>448</v>
      </c>
      <c r="B331">
        <v>20.420000000000002</v>
      </c>
      <c r="C331">
        <v>49.68</v>
      </c>
      <c r="D331" s="74">
        <f t="shared" si="10"/>
        <v>45792.788993055554</v>
      </c>
      <c r="E331" s="75">
        <f t="shared" si="11"/>
        <v>45792.788993055554</v>
      </c>
    </row>
    <row r="332" spans="1:5">
      <c r="A332" s="73" t="s">
        <v>449</v>
      </c>
      <c r="B332">
        <v>20.43</v>
      </c>
      <c r="C332">
        <v>49.78</v>
      </c>
      <c r="D332" s="74">
        <f t="shared" si="10"/>
        <v>45792.790370370371</v>
      </c>
      <c r="E332" s="75">
        <f t="shared" si="11"/>
        <v>45792.790370370371</v>
      </c>
    </row>
    <row r="333" spans="1:5">
      <c r="A333" s="73" t="s">
        <v>450</v>
      </c>
      <c r="B333">
        <v>20.43</v>
      </c>
      <c r="C333">
        <v>49.96</v>
      </c>
      <c r="D333" s="74">
        <f t="shared" si="10"/>
        <v>45792.791770833333</v>
      </c>
      <c r="E333" s="75">
        <f t="shared" si="11"/>
        <v>45792.791770833333</v>
      </c>
    </row>
    <row r="334" spans="1:5">
      <c r="A334" s="73" t="s">
        <v>451</v>
      </c>
      <c r="B334">
        <v>20.420000000000002</v>
      </c>
      <c r="C334">
        <v>49.66</v>
      </c>
      <c r="D334" s="74">
        <f t="shared" si="10"/>
        <v>45792.79315972222</v>
      </c>
      <c r="E334" s="75">
        <f t="shared" si="11"/>
        <v>45792.79315972222</v>
      </c>
    </row>
    <row r="335" spans="1:5">
      <c r="A335" s="73" t="s">
        <v>452</v>
      </c>
      <c r="B335">
        <v>20.43</v>
      </c>
      <c r="C335">
        <v>49.52</v>
      </c>
      <c r="D335" s="74">
        <f t="shared" si="10"/>
        <v>45792.794537037036</v>
      </c>
      <c r="E335" s="75">
        <f t="shared" si="11"/>
        <v>45792.794537037036</v>
      </c>
    </row>
    <row r="336" spans="1:5">
      <c r="A336" s="73" t="s">
        <v>453</v>
      </c>
      <c r="B336">
        <v>20.420000000000002</v>
      </c>
      <c r="C336">
        <v>49.44</v>
      </c>
      <c r="D336" s="74">
        <f t="shared" si="10"/>
        <v>45792.795925925922</v>
      </c>
      <c r="E336" s="75">
        <f t="shared" si="11"/>
        <v>45792.795925925922</v>
      </c>
    </row>
    <row r="337" spans="1:5">
      <c r="A337" s="73" t="s">
        <v>454</v>
      </c>
      <c r="B337">
        <v>20.420000000000002</v>
      </c>
      <c r="C337">
        <v>49.39</v>
      </c>
      <c r="D337" s="74">
        <f t="shared" si="10"/>
        <v>45792.797326388885</v>
      </c>
      <c r="E337" s="75">
        <f t="shared" si="11"/>
        <v>45792.797326388885</v>
      </c>
    </row>
    <row r="338" spans="1:5">
      <c r="A338" s="73" t="s">
        <v>455</v>
      </c>
      <c r="B338">
        <v>20.41</v>
      </c>
      <c r="C338">
        <v>49.34</v>
      </c>
      <c r="D338" s="74">
        <f t="shared" si="10"/>
        <v>45792.798715277779</v>
      </c>
      <c r="E338" s="75">
        <f t="shared" si="11"/>
        <v>45792.798715277779</v>
      </c>
    </row>
    <row r="339" spans="1:5">
      <c r="A339" s="73" t="s">
        <v>456</v>
      </c>
      <c r="B339">
        <v>20.41</v>
      </c>
      <c r="C339">
        <v>49.31</v>
      </c>
      <c r="D339" s="74">
        <f t="shared" si="10"/>
        <v>45792.800104166665</v>
      </c>
      <c r="E339" s="75">
        <f t="shared" si="11"/>
        <v>45792.800104166665</v>
      </c>
    </row>
    <row r="340" spans="1:5">
      <c r="A340" s="73" t="s">
        <v>457</v>
      </c>
      <c r="B340">
        <v>20.420000000000002</v>
      </c>
      <c r="C340">
        <v>49.21</v>
      </c>
      <c r="D340" s="74">
        <f t="shared" si="10"/>
        <v>45792.801481481481</v>
      </c>
      <c r="E340" s="75">
        <f t="shared" si="11"/>
        <v>45792.801481481481</v>
      </c>
    </row>
    <row r="341" spans="1:5">
      <c r="A341" s="73" t="s">
        <v>458</v>
      </c>
      <c r="B341">
        <v>20.41</v>
      </c>
      <c r="C341">
        <v>49.12</v>
      </c>
      <c r="D341" s="74">
        <f t="shared" si="10"/>
        <v>45792.802881944444</v>
      </c>
      <c r="E341" s="75">
        <f t="shared" si="11"/>
        <v>45792.802881944444</v>
      </c>
    </row>
    <row r="342" spans="1:5">
      <c r="A342" s="73" t="s">
        <v>459</v>
      </c>
      <c r="B342">
        <v>20.38</v>
      </c>
      <c r="C342">
        <v>49.08</v>
      </c>
      <c r="D342" s="74">
        <f t="shared" si="10"/>
        <v>45792.804270833331</v>
      </c>
      <c r="E342" s="75">
        <f t="shared" si="11"/>
        <v>45792.804270833331</v>
      </c>
    </row>
    <row r="343" spans="1:5">
      <c r="A343" s="73" t="s">
        <v>460</v>
      </c>
      <c r="B343">
        <v>20.41</v>
      </c>
      <c r="C343">
        <v>49.07</v>
      </c>
      <c r="D343" s="74">
        <f t="shared" si="10"/>
        <v>45792.805659722224</v>
      </c>
      <c r="E343" s="75">
        <f t="shared" si="11"/>
        <v>45792.805659722224</v>
      </c>
    </row>
    <row r="344" spans="1:5">
      <c r="A344" s="73" t="s">
        <v>461</v>
      </c>
      <c r="B344">
        <v>20.41</v>
      </c>
      <c r="C344">
        <v>49.17</v>
      </c>
      <c r="D344" s="74">
        <f t="shared" si="10"/>
        <v>45792.807037037041</v>
      </c>
      <c r="E344" s="75">
        <f t="shared" si="11"/>
        <v>45792.807037037041</v>
      </c>
    </row>
    <row r="345" spans="1:5">
      <c r="A345" s="73" t="s">
        <v>462</v>
      </c>
      <c r="B345">
        <v>20.41</v>
      </c>
      <c r="C345">
        <v>49.73</v>
      </c>
      <c r="D345" s="74">
        <f t="shared" si="10"/>
        <v>45792.808437500003</v>
      </c>
      <c r="E345" s="75">
        <f t="shared" si="11"/>
        <v>45792.808437500003</v>
      </c>
    </row>
    <row r="346" spans="1:5">
      <c r="A346" s="73" t="s">
        <v>463</v>
      </c>
      <c r="B346">
        <v>20.420000000000002</v>
      </c>
      <c r="C346">
        <v>50.05</v>
      </c>
      <c r="D346" s="74">
        <f t="shared" si="10"/>
        <v>45792.80982638889</v>
      </c>
      <c r="E346" s="75">
        <f t="shared" si="11"/>
        <v>45792.80982638889</v>
      </c>
    </row>
    <row r="347" spans="1:5">
      <c r="A347" s="73" t="s">
        <v>464</v>
      </c>
      <c r="B347">
        <v>20.43</v>
      </c>
      <c r="C347">
        <v>50.06</v>
      </c>
      <c r="D347" s="74">
        <f t="shared" si="10"/>
        <v>45792.811215277776</v>
      </c>
      <c r="E347" s="75">
        <f t="shared" si="11"/>
        <v>45792.811215277776</v>
      </c>
    </row>
    <row r="348" spans="1:5">
      <c r="A348" s="73" t="s">
        <v>465</v>
      </c>
      <c r="B348">
        <v>20.420000000000002</v>
      </c>
      <c r="C348">
        <v>50.03</v>
      </c>
      <c r="D348" s="74">
        <f t="shared" si="10"/>
        <v>45792.812592592592</v>
      </c>
      <c r="E348" s="75">
        <f t="shared" si="11"/>
        <v>45792.812592592592</v>
      </c>
    </row>
    <row r="349" spans="1:5">
      <c r="A349" s="73" t="s">
        <v>466</v>
      </c>
      <c r="B349">
        <v>20.420000000000002</v>
      </c>
      <c r="C349">
        <v>50.01</v>
      </c>
      <c r="D349" s="74">
        <f t="shared" si="10"/>
        <v>45792.813993055555</v>
      </c>
      <c r="E349" s="75">
        <f t="shared" si="11"/>
        <v>45792.813993055555</v>
      </c>
    </row>
    <row r="350" spans="1:5">
      <c r="A350" s="73" t="s">
        <v>467</v>
      </c>
      <c r="B350">
        <v>20.399999999999999</v>
      </c>
      <c r="C350">
        <v>50.08</v>
      </c>
      <c r="D350" s="74">
        <f t="shared" si="10"/>
        <v>45792.815370370372</v>
      </c>
      <c r="E350" s="75">
        <f t="shared" si="11"/>
        <v>45792.815370370372</v>
      </c>
    </row>
    <row r="351" spans="1:5">
      <c r="A351" s="73" t="s">
        <v>468</v>
      </c>
      <c r="B351">
        <v>20.41</v>
      </c>
      <c r="C351">
        <v>50.12</v>
      </c>
      <c r="D351" s="74">
        <f t="shared" si="10"/>
        <v>45792.816770833335</v>
      </c>
      <c r="E351" s="75">
        <f t="shared" si="11"/>
        <v>45792.816770833335</v>
      </c>
    </row>
    <row r="352" spans="1:5">
      <c r="A352" s="73" t="s">
        <v>469</v>
      </c>
      <c r="B352">
        <v>20.43</v>
      </c>
      <c r="C352">
        <v>50.15</v>
      </c>
      <c r="D352" s="74">
        <f t="shared" si="10"/>
        <v>45792.818159722221</v>
      </c>
      <c r="E352" s="75">
        <f t="shared" si="11"/>
        <v>45792.818159722221</v>
      </c>
    </row>
    <row r="353" spans="1:5">
      <c r="A353" s="73" t="s">
        <v>470</v>
      </c>
      <c r="B353">
        <v>20.43</v>
      </c>
      <c r="C353">
        <v>50.18</v>
      </c>
      <c r="D353" s="74">
        <f t="shared" si="10"/>
        <v>45792.819548611114</v>
      </c>
      <c r="E353" s="75">
        <f t="shared" si="11"/>
        <v>45792.819548611114</v>
      </c>
    </row>
    <row r="354" spans="1:5">
      <c r="A354" s="73" t="s">
        <v>471</v>
      </c>
      <c r="B354">
        <v>20.420000000000002</v>
      </c>
      <c r="C354">
        <v>50.19</v>
      </c>
      <c r="D354" s="74">
        <f t="shared" si="10"/>
        <v>45792.820925925924</v>
      </c>
      <c r="E354" s="75">
        <f t="shared" si="11"/>
        <v>45792.820925925924</v>
      </c>
    </row>
    <row r="355" spans="1:5">
      <c r="A355" s="73" t="s">
        <v>472</v>
      </c>
      <c r="B355">
        <v>20.420000000000002</v>
      </c>
      <c r="C355">
        <v>50.19</v>
      </c>
      <c r="D355" s="74">
        <f t="shared" si="10"/>
        <v>45792.822326388887</v>
      </c>
      <c r="E355" s="75">
        <f t="shared" si="11"/>
        <v>45792.822326388887</v>
      </c>
    </row>
    <row r="356" spans="1:5">
      <c r="A356" s="73" t="s">
        <v>473</v>
      </c>
      <c r="B356">
        <v>20.420000000000002</v>
      </c>
      <c r="C356">
        <v>50.23</v>
      </c>
      <c r="D356" s="74">
        <f t="shared" si="10"/>
        <v>45792.823703703703</v>
      </c>
      <c r="E356" s="75">
        <f t="shared" si="11"/>
        <v>45792.823703703703</v>
      </c>
    </row>
    <row r="357" spans="1:5">
      <c r="A357" s="73" t="s">
        <v>474</v>
      </c>
      <c r="B357">
        <v>20.41</v>
      </c>
      <c r="C357">
        <v>50.26</v>
      </c>
      <c r="D357" s="74">
        <f t="shared" si="10"/>
        <v>45792.825104166666</v>
      </c>
      <c r="E357" s="75">
        <f t="shared" si="11"/>
        <v>45792.825104166666</v>
      </c>
    </row>
    <row r="358" spans="1:5">
      <c r="A358" s="73" t="s">
        <v>475</v>
      </c>
      <c r="B358">
        <v>20.43</v>
      </c>
      <c r="C358">
        <v>50.29</v>
      </c>
      <c r="D358" s="74">
        <f t="shared" si="10"/>
        <v>45792.826493055552</v>
      </c>
      <c r="E358" s="75">
        <f t="shared" si="11"/>
        <v>45792.826493055552</v>
      </c>
    </row>
    <row r="359" spans="1:5">
      <c r="A359" s="73" t="s">
        <v>476</v>
      </c>
      <c r="B359">
        <v>20.41</v>
      </c>
      <c r="C359">
        <v>50.3</v>
      </c>
      <c r="D359" s="74">
        <f t="shared" si="10"/>
        <v>45792.827881944446</v>
      </c>
      <c r="E359" s="75">
        <f t="shared" si="11"/>
        <v>45792.827881944446</v>
      </c>
    </row>
    <row r="360" spans="1:5">
      <c r="A360" s="73" t="s">
        <v>477</v>
      </c>
      <c r="B360">
        <v>20.41</v>
      </c>
      <c r="C360">
        <v>50.35</v>
      </c>
      <c r="D360" s="74">
        <f t="shared" si="10"/>
        <v>45792.829259259262</v>
      </c>
      <c r="E360" s="75">
        <f t="shared" si="11"/>
        <v>45792.829259259262</v>
      </c>
    </row>
    <row r="361" spans="1:5">
      <c r="A361" s="73" t="s">
        <v>478</v>
      </c>
      <c r="B361">
        <v>20.41</v>
      </c>
      <c r="C361">
        <v>50.33</v>
      </c>
      <c r="D361" s="74">
        <f t="shared" si="10"/>
        <v>45792.830659722225</v>
      </c>
      <c r="E361" s="75">
        <f t="shared" si="11"/>
        <v>45792.830659722225</v>
      </c>
    </row>
    <row r="362" spans="1:5">
      <c r="A362" s="73" t="s">
        <v>479</v>
      </c>
      <c r="B362">
        <v>20.420000000000002</v>
      </c>
      <c r="C362">
        <v>50.37</v>
      </c>
      <c r="D362" s="74">
        <f t="shared" si="10"/>
        <v>45792.832037037035</v>
      </c>
      <c r="E362" s="75">
        <f t="shared" si="11"/>
        <v>45792.832037037035</v>
      </c>
    </row>
    <row r="363" spans="1:5">
      <c r="A363" s="73" t="s">
        <v>480</v>
      </c>
      <c r="B363">
        <v>20.41</v>
      </c>
      <c r="C363">
        <v>50.38</v>
      </c>
      <c r="D363" s="74">
        <f t="shared" si="10"/>
        <v>45792.833437499998</v>
      </c>
      <c r="E363" s="75">
        <f t="shared" si="11"/>
        <v>45792.833437499998</v>
      </c>
    </row>
    <row r="364" spans="1:5">
      <c r="A364" s="73" t="s">
        <v>481</v>
      </c>
      <c r="B364">
        <v>20.420000000000002</v>
      </c>
      <c r="C364">
        <v>50.37</v>
      </c>
      <c r="D364" s="74">
        <f t="shared" si="10"/>
        <v>45792.834814814814</v>
      </c>
      <c r="E364" s="75">
        <f t="shared" si="11"/>
        <v>45792.834814814814</v>
      </c>
    </row>
    <row r="365" spans="1:5">
      <c r="A365" s="73" t="s">
        <v>482</v>
      </c>
      <c r="B365">
        <v>20.41</v>
      </c>
      <c r="C365">
        <v>50.33</v>
      </c>
      <c r="D365" s="74">
        <f t="shared" si="10"/>
        <v>45792.836215277777</v>
      </c>
      <c r="E365" s="75">
        <f t="shared" si="11"/>
        <v>45792.836215277777</v>
      </c>
    </row>
    <row r="366" spans="1:5">
      <c r="A366" s="73" t="s">
        <v>483</v>
      </c>
      <c r="B366">
        <v>20.420000000000002</v>
      </c>
      <c r="C366">
        <v>50.32</v>
      </c>
      <c r="D366" s="74">
        <f t="shared" si="10"/>
        <v>45792.837604166663</v>
      </c>
      <c r="E366" s="75">
        <f t="shared" si="11"/>
        <v>45792.837604166663</v>
      </c>
    </row>
    <row r="367" spans="1:5">
      <c r="A367" s="73" t="s">
        <v>484</v>
      </c>
      <c r="B367">
        <v>20.420000000000002</v>
      </c>
      <c r="C367">
        <v>50.28</v>
      </c>
      <c r="D367" s="74">
        <f t="shared" si="10"/>
        <v>45792.838993055557</v>
      </c>
      <c r="E367" s="75">
        <f t="shared" si="11"/>
        <v>45792.838993055557</v>
      </c>
    </row>
    <row r="368" spans="1:5">
      <c r="A368" s="73" t="s">
        <v>485</v>
      </c>
      <c r="B368">
        <v>20.43</v>
      </c>
      <c r="C368">
        <v>50.27</v>
      </c>
      <c r="D368" s="74">
        <f t="shared" si="10"/>
        <v>45792.840370370373</v>
      </c>
      <c r="E368" s="75">
        <f t="shared" si="11"/>
        <v>45792.840370370373</v>
      </c>
    </row>
    <row r="369" spans="1:5">
      <c r="A369" s="73" t="s">
        <v>486</v>
      </c>
      <c r="B369">
        <v>20.399999999999999</v>
      </c>
      <c r="C369">
        <v>50.26</v>
      </c>
      <c r="D369" s="74">
        <f t="shared" si="10"/>
        <v>45792.841770833336</v>
      </c>
      <c r="E369" s="75">
        <f t="shared" si="11"/>
        <v>45792.841770833336</v>
      </c>
    </row>
    <row r="370" spans="1:5">
      <c r="A370" s="73" t="s">
        <v>487</v>
      </c>
      <c r="B370">
        <v>20.399999999999999</v>
      </c>
      <c r="C370">
        <v>50.24</v>
      </c>
      <c r="D370" s="74">
        <f t="shared" si="10"/>
        <v>45792.843159722222</v>
      </c>
      <c r="E370" s="75">
        <f t="shared" si="11"/>
        <v>45792.843159722222</v>
      </c>
    </row>
    <row r="371" spans="1:5">
      <c r="A371" s="73" t="s">
        <v>488</v>
      </c>
      <c r="B371">
        <v>20.41</v>
      </c>
      <c r="C371">
        <v>50.22</v>
      </c>
      <c r="D371" s="74">
        <f t="shared" si="10"/>
        <v>45792.844548611109</v>
      </c>
      <c r="E371" s="75">
        <f t="shared" si="11"/>
        <v>45792.844548611109</v>
      </c>
    </row>
    <row r="372" spans="1:5">
      <c r="A372" s="73" t="s">
        <v>489</v>
      </c>
      <c r="B372">
        <v>20.41</v>
      </c>
      <c r="C372">
        <v>50.18</v>
      </c>
      <c r="D372" s="74">
        <f t="shared" si="10"/>
        <v>45792.845925925925</v>
      </c>
      <c r="E372" s="75">
        <f t="shared" si="11"/>
        <v>45792.845925925925</v>
      </c>
    </row>
    <row r="373" spans="1:5">
      <c r="A373" s="73" t="s">
        <v>490</v>
      </c>
      <c r="B373">
        <v>20.420000000000002</v>
      </c>
      <c r="C373">
        <v>50.12</v>
      </c>
      <c r="D373" s="74">
        <f t="shared" si="10"/>
        <v>45792.847326388888</v>
      </c>
      <c r="E373" s="75">
        <f t="shared" si="11"/>
        <v>45792.847326388888</v>
      </c>
    </row>
    <row r="374" spans="1:5">
      <c r="A374" s="73" t="s">
        <v>491</v>
      </c>
      <c r="B374">
        <v>20.399999999999999</v>
      </c>
      <c r="C374">
        <v>50.07</v>
      </c>
      <c r="D374" s="74">
        <f t="shared" si="10"/>
        <v>45792.848703703705</v>
      </c>
      <c r="E374" s="75">
        <f t="shared" si="11"/>
        <v>45792.848703703705</v>
      </c>
    </row>
    <row r="375" spans="1:5">
      <c r="A375" s="73" t="s">
        <v>492</v>
      </c>
      <c r="B375">
        <v>20.41</v>
      </c>
      <c r="C375">
        <v>50.04</v>
      </c>
      <c r="D375" s="74">
        <f t="shared" si="10"/>
        <v>45792.850104166668</v>
      </c>
      <c r="E375" s="75">
        <f t="shared" si="11"/>
        <v>45792.850104166668</v>
      </c>
    </row>
    <row r="376" spans="1:5">
      <c r="A376" s="73" t="s">
        <v>493</v>
      </c>
      <c r="B376">
        <v>20.420000000000002</v>
      </c>
      <c r="C376">
        <v>49.96</v>
      </c>
      <c r="D376" s="74">
        <f t="shared" si="10"/>
        <v>45792.851493055554</v>
      </c>
      <c r="E376" s="75">
        <f t="shared" si="11"/>
        <v>45792.851493055554</v>
      </c>
    </row>
    <row r="377" spans="1:5">
      <c r="A377" s="73" t="s">
        <v>494</v>
      </c>
      <c r="B377">
        <v>20.399999999999999</v>
      </c>
      <c r="C377">
        <v>49.94</v>
      </c>
      <c r="D377" s="74">
        <f t="shared" si="10"/>
        <v>45792.852881944447</v>
      </c>
      <c r="E377" s="75">
        <f t="shared" si="11"/>
        <v>45792.852881944447</v>
      </c>
    </row>
    <row r="378" spans="1:5">
      <c r="A378" s="73" t="s">
        <v>495</v>
      </c>
      <c r="B378">
        <v>20.420000000000002</v>
      </c>
      <c r="C378">
        <v>49.9</v>
      </c>
      <c r="D378" s="74">
        <f t="shared" si="10"/>
        <v>45792.854259259257</v>
      </c>
      <c r="E378" s="75">
        <f t="shared" si="11"/>
        <v>45792.854259259257</v>
      </c>
    </row>
    <row r="379" spans="1:5">
      <c r="A379" s="73" t="s">
        <v>496</v>
      </c>
      <c r="B379">
        <v>20.420000000000002</v>
      </c>
      <c r="C379">
        <v>49.89</v>
      </c>
      <c r="D379" s="74">
        <f t="shared" si="10"/>
        <v>45792.85564814815</v>
      </c>
      <c r="E379" s="75">
        <f t="shared" si="11"/>
        <v>45792.85564814815</v>
      </c>
    </row>
    <row r="380" spans="1:5">
      <c r="A380" s="73" t="s">
        <v>497</v>
      </c>
      <c r="B380">
        <v>20.420000000000002</v>
      </c>
      <c r="C380">
        <v>49.88</v>
      </c>
      <c r="D380" s="74">
        <f t="shared" si="10"/>
        <v>45792.857048611113</v>
      </c>
      <c r="E380" s="75">
        <f t="shared" si="11"/>
        <v>45792.857048611113</v>
      </c>
    </row>
    <row r="381" spans="1:5">
      <c r="A381" s="73" t="s">
        <v>498</v>
      </c>
      <c r="B381">
        <v>20.39</v>
      </c>
      <c r="C381">
        <v>49.89</v>
      </c>
      <c r="D381" s="74">
        <f t="shared" si="10"/>
        <v>45792.858437499999</v>
      </c>
      <c r="E381" s="75">
        <f t="shared" si="11"/>
        <v>45792.858437499999</v>
      </c>
    </row>
    <row r="382" spans="1:5">
      <c r="A382" s="73" t="s">
        <v>499</v>
      </c>
      <c r="B382">
        <v>20.38</v>
      </c>
      <c r="C382">
        <v>49.95</v>
      </c>
      <c r="D382" s="74">
        <f t="shared" si="10"/>
        <v>45792.859814814816</v>
      </c>
      <c r="E382" s="75">
        <f t="shared" si="11"/>
        <v>45792.859814814816</v>
      </c>
    </row>
    <row r="383" spans="1:5">
      <c r="A383" s="73" t="s">
        <v>500</v>
      </c>
      <c r="B383">
        <v>20.41</v>
      </c>
      <c r="C383">
        <v>49.98</v>
      </c>
      <c r="D383" s="74">
        <f t="shared" si="10"/>
        <v>45792.861215277779</v>
      </c>
      <c r="E383" s="75">
        <f t="shared" si="11"/>
        <v>45792.861215277779</v>
      </c>
    </row>
    <row r="384" spans="1:5">
      <c r="A384" s="73" t="s">
        <v>501</v>
      </c>
      <c r="B384">
        <v>20.399999999999999</v>
      </c>
      <c r="C384">
        <v>49.99</v>
      </c>
      <c r="D384" s="74">
        <f t="shared" si="10"/>
        <v>45792.862592592595</v>
      </c>
      <c r="E384" s="75">
        <f t="shared" si="11"/>
        <v>45792.862592592595</v>
      </c>
    </row>
    <row r="385" spans="1:5">
      <c r="A385" s="73" t="s">
        <v>502</v>
      </c>
      <c r="B385">
        <v>20.399999999999999</v>
      </c>
      <c r="C385">
        <v>49.98</v>
      </c>
      <c r="D385" s="74">
        <f t="shared" si="10"/>
        <v>45792.863993055558</v>
      </c>
      <c r="E385" s="75">
        <f t="shared" si="11"/>
        <v>45792.863993055558</v>
      </c>
    </row>
    <row r="386" spans="1:5">
      <c r="A386" s="73" t="s">
        <v>503</v>
      </c>
      <c r="B386">
        <v>20.399999999999999</v>
      </c>
      <c r="C386">
        <v>49.98</v>
      </c>
      <c r="D386" s="74">
        <f t="shared" si="10"/>
        <v>45792.865370370368</v>
      </c>
      <c r="E386" s="75">
        <f t="shared" si="11"/>
        <v>45792.865370370368</v>
      </c>
    </row>
    <row r="387" spans="1:5">
      <c r="A387" s="73" t="s">
        <v>504</v>
      </c>
      <c r="B387">
        <v>20.41</v>
      </c>
      <c r="C387">
        <v>49.99</v>
      </c>
      <c r="D387" s="74">
        <f t="shared" ref="D387:D450" si="12">A387+12/24</f>
        <v>45792.866782407407</v>
      </c>
      <c r="E387" s="75">
        <f t="shared" ref="E387:E450" si="13">D387</f>
        <v>45792.866782407407</v>
      </c>
    </row>
    <row r="388" spans="1:5">
      <c r="A388" s="73" t="s">
        <v>505</v>
      </c>
      <c r="B388">
        <v>20.399999999999999</v>
      </c>
      <c r="C388">
        <v>49.99</v>
      </c>
      <c r="D388" s="74">
        <f t="shared" si="12"/>
        <v>45792.868148148147</v>
      </c>
      <c r="E388" s="75">
        <f t="shared" si="13"/>
        <v>45792.868148148147</v>
      </c>
    </row>
    <row r="389" spans="1:5">
      <c r="A389" s="73" t="s">
        <v>506</v>
      </c>
      <c r="B389">
        <v>20.41</v>
      </c>
      <c r="C389">
        <v>50.02</v>
      </c>
      <c r="D389" s="74">
        <f t="shared" si="12"/>
        <v>45792.86954861111</v>
      </c>
      <c r="E389" s="75">
        <f t="shared" si="13"/>
        <v>45792.86954861111</v>
      </c>
    </row>
    <row r="390" spans="1:5">
      <c r="A390" s="73" t="s">
        <v>507</v>
      </c>
      <c r="B390">
        <v>20.41</v>
      </c>
      <c r="C390">
        <v>50.07</v>
      </c>
      <c r="D390" s="74">
        <f t="shared" si="12"/>
        <v>45792.870925925927</v>
      </c>
      <c r="E390" s="75">
        <f t="shared" si="13"/>
        <v>45792.870925925927</v>
      </c>
    </row>
    <row r="391" spans="1:5">
      <c r="A391" s="73" t="s">
        <v>508</v>
      </c>
      <c r="B391">
        <v>20.420000000000002</v>
      </c>
      <c r="C391">
        <v>50.14</v>
      </c>
      <c r="D391" s="74">
        <f t="shared" si="12"/>
        <v>45792.872337962966</v>
      </c>
      <c r="E391" s="75">
        <f t="shared" si="13"/>
        <v>45792.872337962966</v>
      </c>
    </row>
    <row r="392" spans="1:5">
      <c r="A392" s="73" t="s">
        <v>509</v>
      </c>
      <c r="B392">
        <v>20.420000000000002</v>
      </c>
      <c r="C392">
        <v>50.15</v>
      </c>
      <c r="D392" s="74">
        <f t="shared" si="12"/>
        <v>45792.873703703706</v>
      </c>
      <c r="E392" s="75">
        <f t="shared" si="13"/>
        <v>45792.873703703706</v>
      </c>
    </row>
    <row r="393" spans="1:5">
      <c r="A393" s="73" t="s">
        <v>510</v>
      </c>
      <c r="B393">
        <v>20.420000000000002</v>
      </c>
      <c r="C393">
        <v>50.22</v>
      </c>
      <c r="D393" s="74">
        <f t="shared" si="12"/>
        <v>45792.875104166669</v>
      </c>
      <c r="E393" s="75">
        <f t="shared" si="13"/>
        <v>45792.875104166669</v>
      </c>
    </row>
    <row r="394" spans="1:5">
      <c r="A394" s="73" t="s">
        <v>511</v>
      </c>
      <c r="B394">
        <v>20.41</v>
      </c>
      <c r="C394">
        <v>50.3</v>
      </c>
      <c r="D394" s="74">
        <f t="shared" si="12"/>
        <v>45792.876493055555</v>
      </c>
      <c r="E394" s="75">
        <f t="shared" si="13"/>
        <v>45792.876493055555</v>
      </c>
    </row>
    <row r="395" spans="1:5">
      <c r="A395" s="73" t="s">
        <v>512</v>
      </c>
      <c r="B395">
        <v>20.43</v>
      </c>
      <c r="C395">
        <v>50.33</v>
      </c>
      <c r="D395" s="74">
        <f t="shared" si="12"/>
        <v>45792.877881944441</v>
      </c>
      <c r="E395" s="75">
        <f t="shared" si="13"/>
        <v>45792.877881944441</v>
      </c>
    </row>
    <row r="396" spans="1:5">
      <c r="A396" s="73" t="s">
        <v>513</v>
      </c>
      <c r="B396">
        <v>20.420000000000002</v>
      </c>
      <c r="C396">
        <v>50.37</v>
      </c>
      <c r="D396" s="74">
        <f t="shared" si="12"/>
        <v>45792.879259259258</v>
      </c>
      <c r="E396" s="75">
        <f t="shared" si="13"/>
        <v>45792.879259259258</v>
      </c>
    </row>
    <row r="397" spans="1:5">
      <c r="A397" s="73" t="s">
        <v>514</v>
      </c>
      <c r="B397">
        <v>20.420000000000002</v>
      </c>
      <c r="C397">
        <v>50.43</v>
      </c>
      <c r="D397" s="74">
        <f t="shared" si="12"/>
        <v>45792.880659722221</v>
      </c>
      <c r="E397" s="75">
        <f t="shared" si="13"/>
        <v>45792.880659722221</v>
      </c>
    </row>
    <row r="398" spans="1:5">
      <c r="A398" s="73" t="s">
        <v>515</v>
      </c>
      <c r="B398">
        <v>20.420000000000002</v>
      </c>
      <c r="C398">
        <v>50.46</v>
      </c>
      <c r="D398" s="74">
        <f t="shared" si="12"/>
        <v>45792.882037037038</v>
      </c>
      <c r="E398" s="75">
        <f t="shared" si="13"/>
        <v>45792.882037037038</v>
      </c>
    </row>
    <row r="399" spans="1:5">
      <c r="A399" s="73" t="s">
        <v>516</v>
      </c>
      <c r="B399">
        <v>20.440000000000001</v>
      </c>
      <c r="C399">
        <v>50.49</v>
      </c>
      <c r="D399" s="74">
        <f t="shared" si="12"/>
        <v>45792.883425925924</v>
      </c>
      <c r="E399" s="75">
        <f t="shared" si="13"/>
        <v>45792.883425925924</v>
      </c>
    </row>
    <row r="400" spans="1:5">
      <c r="A400" s="73" t="s">
        <v>517</v>
      </c>
      <c r="B400">
        <v>20.420000000000002</v>
      </c>
      <c r="C400">
        <v>50.52</v>
      </c>
      <c r="D400" s="74">
        <f t="shared" si="12"/>
        <v>45792.884814814817</v>
      </c>
      <c r="E400" s="75">
        <f t="shared" si="13"/>
        <v>45792.884814814817</v>
      </c>
    </row>
    <row r="401" spans="1:5">
      <c r="A401" s="73" t="s">
        <v>518</v>
      </c>
      <c r="B401">
        <v>20.420000000000002</v>
      </c>
      <c r="C401">
        <v>50.55</v>
      </c>
      <c r="D401" s="74">
        <f t="shared" si="12"/>
        <v>45792.88621527778</v>
      </c>
      <c r="E401" s="75">
        <f t="shared" si="13"/>
        <v>45792.88621527778</v>
      </c>
    </row>
    <row r="402" spans="1:5">
      <c r="A402" s="73" t="s">
        <v>519</v>
      </c>
      <c r="B402">
        <v>20.420000000000002</v>
      </c>
      <c r="C402">
        <v>50.56</v>
      </c>
      <c r="D402" s="74">
        <f t="shared" si="12"/>
        <v>45792.887592592589</v>
      </c>
      <c r="E402" s="75">
        <f t="shared" si="13"/>
        <v>45792.887592592589</v>
      </c>
    </row>
    <row r="403" spans="1:5">
      <c r="A403" s="73" t="s">
        <v>520</v>
      </c>
      <c r="B403">
        <v>20.41</v>
      </c>
      <c r="C403">
        <v>50.59</v>
      </c>
      <c r="D403" s="74">
        <f t="shared" si="12"/>
        <v>45792.888993055552</v>
      </c>
      <c r="E403" s="75">
        <f t="shared" si="13"/>
        <v>45792.888993055552</v>
      </c>
    </row>
    <row r="404" spans="1:5">
      <c r="A404" s="73" t="s">
        <v>521</v>
      </c>
      <c r="B404">
        <v>20.420000000000002</v>
      </c>
      <c r="C404">
        <v>50.58</v>
      </c>
      <c r="D404" s="74">
        <f t="shared" si="12"/>
        <v>45792.890370370369</v>
      </c>
      <c r="E404" s="75">
        <f t="shared" si="13"/>
        <v>45792.890370370369</v>
      </c>
    </row>
    <row r="405" spans="1:5">
      <c r="A405" s="73" t="s">
        <v>522</v>
      </c>
      <c r="B405">
        <v>20.420000000000002</v>
      </c>
      <c r="C405">
        <v>50.64</v>
      </c>
      <c r="D405" s="74">
        <f t="shared" si="12"/>
        <v>45792.891770833332</v>
      </c>
      <c r="E405" s="75">
        <f t="shared" si="13"/>
        <v>45792.891770833332</v>
      </c>
    </row>
    <row r="406" spans="1:5">
      <c r="A406" s="73" t="s">
        <v>523</v>
      </c>
      <c r="B406">
        <v>20.440000000000001</v>
      </c>
      <c r="C406">
        <v>50.71</v>
      </c>
      <c r="D406" s="74">
        <f t="shared" si="12"/>
        <v>45792.893148148149</v>
      </c>
      <c r="E406" s="75">
        <f t="shared" si="13"/>
        <v>45792.893148148149</v>
      </c>
    </row>
    <row r="407" spans="1:5">
      <c r="A407" s="73" t="s">
        <v>524</v>
      </c>
      <c r="B407">
        <v>20.43</v>
      </c>
      <c r="C407">
        <v>50.8</v>
      </c>
      <c r="D407" s="74">
        <f t="shared" si="12"/>
        <v>45792.894548611112</v>
      </c>
      <c r="E407" s="75">
        <f t="shared" si="13"/>
        <v>45792.894548611112</v>
      </c>
    </row>
    <row r="408" spans="1:5">
      <c r="A408" s="73" t="s">
        <v>525</v>
      </c>
      <c r="B408">
        <v>20.420000000000002</v>
      </c>
      <c r="C408">
        <v>50.89</v>
      </c>
      <c r="D408" s="74">
        <f t="shared" si="12"/>
        <v>45792.895937499998</v>
      </c>
      <c r="E408" s="75">
        <f t="shared" si="13"/>
        <v>45792.895937499998</v>
      </c>
    </row>
    <row r="409" spans="1:5">
      <c r="A409" s="73" t="s">
        <v>526</v>
      </c>
      <c r="B409">
        <v>20.41</v>
      </c>
      <c r="C409">
        <v>51.01</v>
      </c>
      <c r="D409" s="74">
        <f t="shared" si="12"/>
        <v>45792.897326388891</v>
      </c>
      <c r="E409" s="75">
        <f t="shared" si="13"/>
        <v>45792.897326388891</v>
      </c>
    </row>
    <row r="410" spans="1:5">
      <c r="A410" s="73" t="s">
        <v>527</v>
      </c>
      <c r="B410">
        <v>20.420000000000002</v>
      </c>
      <c r="C410">
        <v>51.12</v>
      </c>
      <c r="D410" s="74">
        <f t="shared" si="12"/>
        <v>45792.8987037037</v>
      </c>
      <c r="E410" s="75">
        <f t="shared" si="13"/>
        <v>45792.8987037037</v>
      </c>
    </row>
    <row r="411" spans="1:5">
      <c r="A411" s="73" t="s">
        <v>528</v>
      </c>
      <c r="B411">
        <v>20.399999999999999</v>
      </c>
      <c r="C411">
        <v>51.26</v>
      </c>
      <c r="D411" s="74">
        <f t="shared" si="12"/>
        <v>45792.900104166663</v>
      </c>
      <c r="E411" s="75">
        <f t="shared" si="13"/>
        <v>45792.900104166663</v>
      </c>
    </row>
    <row r="412" spans="1:5">
      <c r="A412" s="73" t="s">
        <v>529</v>
      </c>
      <c r="B412">
        <v>20.41</v>
      </c>
      <c r="C412">
        <v>51.33</v>
      </c>
      <c r="D412" s="74">
        <f t="shared" si="12"/>
        <v>45792.901493055557</v>
      </c>
      <c r="E412" s="75">
        <f t="shared" si="13"/>
        <v>45792.901493055557</v>
      </c>
    </row>
    <row r="413" spans="1:5">
      <c r="A413" s="73" t="s">
        <v>530</v>
      </c>
      <c r="B413">
        <v>20.41</v>
      </c>
      <c r="C413">
        <v>51.43</v>
      </c>
      <c r="D413" s="74">
        <f t="shared" si="12"/>
        <v>45792.902881944443</v>
      </c>
      <c r="E413" s="75">
        <f t="shared" si="13"/>
        <v>45792.902881944443</v>
      </c>
    </row>
    <row r="414" spans="1:5">
      <c r="A414" s="73" t="s">
        <v>531</v>
      </c>
      <c r="B414">
        <v>20.41</v>
      </c>
      <c r="C414">
        <v>51.51</v>
      </c>
      <c r="D414" s="74">
        <f t="shared" si="12"/>
        <v>45792.90425925926</v>
      </c>
      <c r="E414" s="75">
        <f t="shared" si="13"/>
        <v>45792.90425925926</v>
      </c>
    </row>
    <row r="415" spans="1:5">
      <c r="A415" s="73" t="s">
        <v>532</v>
      </c>
      <c r="B415">
        <v>20.41</v>
      </c>
      <c r="C415">
        <v>51.61</v>
      </c>
      <c r="D415" s="74">
        <f t="shared" si="12"/>
        <v>45792.905659722222</v>
      </c>
      <c r="E415" s="75">
        <f t="shared" si="13"/>
        <v>45792.905659722222</v>
      </c>
    </row>
    <row r="416" spans="1:5">
      <c r="A416" s="73" t="s">
        <v>533</v>
      </c>
      <c r="B416">
        <v>20.420000000000002</v>
      </c>
      <c r="C416">
        <v>51.72</v>
      </c>
      <c r="D416" s="74">
        <f t="shared" si="12"/>
        <v>45792.907048611109</v>
      </c>
      <c r="E416" s="75">
        <f t="shared" si="13"/>
        <v>45792.907048611109</v>
      </c>
    </row>
    <row r="417" spans="1:5">
      <c r="A417" s="73" t="s">
        <v>534</v>
      </c>
      <c r="B417">
        <v>20.420000000000002</v>
      </c>
      <c r="C417">
        <v>51.86</v>
      </c>
      <c r="D417" s="74">
        <f t="shared" si="12"/>
        <v>45792.908437500002</v>
      </c>
      <c r="E417" s="75">
        <f t="shared" si="13"/>
        <v>45792.908437500002</v>
      </c>
    </row>
    <row r="418" spans="1:5">
      <c r="A418" s="73" t="s">
        <v>535</v>
      </c>
      <c r="B418">
        <v>20.420000000000002</v>
      </c>
      <c r="C418">
        <v>51.98</v>
      </c>
      <c r="D418" s="74">
        <f t="shared" si="12"/>
        <v>45792.909814814811</v>
      </c>
      <c r="E418" s="75">
        <f t="shared" si="13"/>
        <v>45792.909814814811</v>
      </c>
    </row>
    <row r="419" spans="1:5">
      <c r="A419" s="73" t="s">
        <v>536</v>
      </c>
      <c r="B419">
        <v>20.43</v>
      </c>
      <c r="C419">
        <v>52.05</v>
      </c>
      <c r="D419" s="74">
        <f t="shared" si="12"/>
        <v>45792.911215277774</v>
      </c>
      <c r="E419" s="75">
        <f t="shared" si="13"/>
        <v>45792.911215277774</v>
      </c>
    </row>
    <row r="420" spans="1:5">
      <c r="A420" s="73" t="s">
        <v>537</v>
      </c>
      <c r="B420">
        <v>20.43</v>
      </c>
      <c r="C420">
        <v>52.21</v>
      </c>
      <c r="D420" s="74">
        <f t="shared" si="12"/>
        <v>45792.912592592591</v>
      </c>
      <c r="E420" s="75">
        <f t="shared" si="13"/>
        <v>45792.912592592591</v>
      </c>
    </row>
    <row r="421" spans="1:5">
      <c r="A421" s="73" t="s">
        <v>538</v>
      </c>
      <c r="B421">
        <v>20.420000000000002</v>
      </c>
      <c r="C421">
        <v>52.33</v>
      </c>
      <c r="D421" s="74">
        <f t="shared" si="12"/>
        <v>45792.913981481484</v>
      </c>
      <c r="E421" s="75">
        <f t="shared" si="13"/>
        <v>45792.913981481484</v>
      </c>
    </row>
    <row r="422" spans="1:5">
      <c r="A422" s="73" t="s">
        <v>539</v>
      </c>
      <c r="B422">
        <v>20.41</v>
      </c>
      <c r="C422">
        <v>52.4</v>
      </c>
      <c r="D422" s="74">
        <f t="shared" si="12"/>
        <v>45792.915370370371</v>
      </c>
      <c r="E422" s="75">
        <f t="shared" si="13"/>
        <v>45792.915370370371</v>
      </c>
    </row>
    <row r="423" spans="1:5">
      <c r="A423" s="73" t="s">
        <v>540</v>
      </c>
      <c r="B423">
        <v>20.420000000000002</v>
      </c>
      <c r="C423">
        <v>52.49</v>
      </c>
      <c r="D423" s="74">
        <f t="shared" si="12"/>
        <v>45792.916770833333</v>
      </c>
      <c r="E423" s="75">
        <f t="shared" si="13"/>
        <v>45792.916770833333</v>
      </c>
    </row>
    <row r="424" spans="1:5">
      <c r="A424" s="73" t="s">
        <v>541</v>
      </c>
      <c r="B424">
        <v>20.43</v>
      </c>
      <c r="C424">
        <v>52.55</v>
      </c>
      <c r="D424" s="74">
        <f t="shared" si="12"/>
        <v>45792.91814814815</v>
      </c>
      <c r="E424" s="75">
        <f t="shared" si="13"/>
        <v>45792.91814814815</v>
      </c>
    </row>
    <row r="425" spans="1:5">
      <c r="A425" s="73" t="s">
        <v>542</v>
      </c>
      <c r="B425">
        <v>20.420000000000002</v>
      </c>
      <c r="C425">
        <v>52.62</v>
      </c>
      <c r="D425" s="74">
        <f t="shared" si="12"/>
        <v>45792.919548611113</v>
      </c>
      <c r="E425" s="75">
        <f t="shared" si="13"/>
        <v>45792.919548611113</v>
      </c>
    </row>
    <row r="426" spans="1:5">
      <c r="A426" s="73" t="s">
        <v>543</v>
      </c>
      <c r="B426">
        <v>20.420000000000002</v>
      </c>
      <c r="C426">
        <v>52.65</v>
      </c>
      <c r="D426" s="74">
        <f t="shared" si="12"/>
        <v>45792.920937499999</v>
      </c>
      <c r="E426" s="75">
        <f t="shared" si="13"/>
        <v>45792.920937499999</v>
      </c>
    </row>
    <row r="427" spans="1:5">
      <c r="A427" s="73" t="s">
        <v>544</v>
      </c>
      <c r="B427">
        <v>20.420000000000002</v>
      </c>
      <c r="C427">
        <v>52.68</v>
      </c>
      <c r="D427" s="74">
        <f t="shared" si="12"/>
        <v>45792.922326388885</v>
      </c>
      <c r="E427" s="75">
        <f t="shared" si="13"/>
        <v>45792.922326388885</v>
      </c>
    </row>
    <row r="428" spans="1:5">
      <c r="A428" s="73" t="s">
        <v>545</v>
      </c>
      <c r="B428">
        <v>20.440000000000001</v>
      </c>
      <c r="C428">
        <v>52.63</v>
      </c>
      <c r="D428" s="74">
        <f t="shared" si="12"/>
        <v>45792.923703703702</v>
      </c>
      <c r="E428" s="75">
        <f t="shared" si="13"/>
        <v>45792.923703703702</v>
      </c>
    </row>
    <row r="429" spans="1:5">
      <c r="A429" s="73" t="s">
        <v>546</v>
      </c>
      <c r="B429">
        <v>20.420000000000002</v>
      </c>
      <c r="C429">
        <v>52.7</v>
      </c>
      <c r="D429" s="74">
        <f t="shared" si="12"/>
        <v>45792.925104166665</v>
      </c>
      <c r="E429" s="75">
        <f t="shared" si="13"/>
        <v>45792.925104166665</v>
      </c>
    </row>
    <row r="430" spans="1:5">
      <c r="A430" s="73" t="s">
        <v>547</v>
      </c>
      <c r="B430">
        <v>20.43</v>
      </c>
      <c r="C430">
        <v>52.72</v>
      </c>
      <c r="D430" s="74">
        <f t="shared" si="12"/>
        <v>45792.926493055558</v>
      </c>
      <c r="E430" s="75">
        <f t="shared" si="13"/>
        <v>45792.926493055558</v>
      </c>
    </row>
    <row r="431" spans="1:5">
      <c r="A431" s="73" t="s">
        <v>548</v>
      </c>
      <c r="B431">
        <v>20.420000000000002</v>
      </c>
      <c r="C431">
        <v>52.82</v>
      </c>
      <c r="D431" s="74">
        <f t="shared" si="12"/>
        <v>45792.927881944444</v>
      </c>
      <c r="E431" s="75">
        <f t="shared" si="13"/>
        <v>45792.927881944444</v>
      </c>
    </row>
    <row r="432" spans="1:5">
      <c r="A432" s="73" t="s">
        <v>549</v>
      </c>
      <c r="B432">
        <v>20.41</v>
      </c>
      <c r="C432">
        <v>52.86</v>
      </c>
      <c r="D432" s="74">
        <f t="shared" si="12"/>
        <v>45792.929259259261</v>
      </c>
      <c r="E432" s="75">
        <f t="shared" si="13"/>
        <v>45792.929259259261</v>
      </c>
    </row>
    <row r="433" spans="1:5">
      <c r="A433" s="73" t="s">
        <v>550</v>
      </c>
      <c r="B433">
        <v>20.399999999999999</v>
      </c>
      <c r="C433">
        <v>52.95</v>
      </c>
      <c r="D433" s="74">
        <f t="shared" si="12"/>
        <v>45792.930659722224</v>
      </c>
      <c r="E433" s="75">
        <f t="shared" si="13"/>
        <v>45792.930659722224</v>
      </c>
    </row>
    <row r="434" spans="1:5">
      <c r="A434" s="73" t="s">
        <v>551</v>
      </c>
      <c r="B434">
        <v>20.43</v>
      </c>
      <c r="C434">
        <v>52.95</v>
      </c>
      <c r="D434" s="74">
        <f t="shared" si="12"/>
        <v>45792.932037037041</v>
      </c>
      <c r="E434" s="75">
        <f t="shared" si="13"/>
        <v>45792.932037037041</v>
      </c>
    </row>
    <row r="435" spans="1:5">
      <c r="A435" s="73" t="s">
        <v>552</v>
      </c>
      <c r="B435">
        <v>20.43</v>
      </c>
      <c r="C435">
        <v>53.01</v>
      </c>
      <c r="D435" s="74">
        <f t="shared" si="12"/>
        <v>45792.933437500003</v>
      </c>
      <c r="E435" s="75">
        <f t="shared" si="13"/>
        <v>45792.933437500003</v>
      </c>
    </row>
    <row r="436" spans="1:5">
      <c r="A436" s="73" t="s">
        <v>553</v>
      </c>
      <c r="B436">
        <v>20.43</v>
      </c>
      <c r="C436">
        <v>53.07</v>
      </c>
      <c r="D436" s="74">
        <f t="shared" si="12"/>
        <v>45792.934814814813</v>
      </c>
      <c r="E436" s="75">
        <f t="shared" si="13"/>
        <v>45792.934814814813</v>
      </c>
    </row>
    <row r="437" spans="1:5">
      <c r="A437" s="73" t="s">
        <v>554</v>
      </c>
      <c r="B437">
        <v>20.420000000000002</v>
      </c>
      <c r="C437">
        <v>53.11</v>
      </c>
      <c r="D437" s="74">
        <f t="shared" si="12"/>
        <v>45792.936215277776</v>
      </c>
      <c r="E437" s="75">
        <f t="shared" si="13"/>
        <v>45792.936215277776</v>
      </c>
    </row>
    <row r="438" spans="1:5">
      <c r="A438" s="73" t="s">
        <v>555</v>
      </c>
      <c r="B438">
        <v>20.43</v>
      </c>
      <c r="C438">
        <v>53.09</v>
      </c>
      <c r="D438" s="74">
        <f t="shared" si="12"/>
        <v>45792.937592592592</v>
      </c>
      <c r="E438" s="75">
        <f t="shared" si="13"/>
        <v>45792.937592592592</v>
      </c>
    </row>
    <row r="439" spans="1:5">
      <c r="A439" s="73" t="s">
        <v>556</v>
      </c>
      <c r="B439">
        <v>20.440000000000001</v>
      </c>
      <c r="C439">
        <v>53.09</v>
      </c>
      <c r="D439" s="74">
        <f t="shared" si="12"/>
        <v>45792.938981481479</v>
      </c>
      <c r="E439" s="75">
        <f t="shared" si="13"/>
        <v>45792.938981481479</v>
      </c>
    </row>
    <row r="440" spans="1:5">
      <c r="A440" s="73" t="s">
        <v>557</v>
      </c>
      <c r="B440">
        <v>20.43</v>
      </c>
      <c r="C440">
        <v>53.11</v>
      </c>
      <c r="D440" s="74">
        <f t="shared" si="12"/>
        <v>45792.940381944441</v>
      </c>
      <c r="E440" s="75">
        <f t="shared" si="13"/>
        <v>45792.940381944441</v>
      </c>
    </row>
    <row r="441" spans="1:5">
      <c r="A441" s="73" t="s">
        <v>558</v>
      </c>
      <c r="B441">
        <v>20.420000000000002</v>
      </c>
      <c r="C441">
        <v>53.11</v>
      </c>
      <c r="D441" s="74">
        <f t="shared" si="12"/>
        <v>45792.941770833335</v>
      </c>
      <c r="E441" s="75">
        <f t="shared" si="13"/>
        <v>45792.941770833335</v>
      </c>
    </row>
    <row r="442" spans="1:5">
      <c r="A442" s="73" t="s">
        <v>559</v>
      </c>
      <c r="B442">
        <v>20.43</v>
      </c>
      <c r="C442">
        <v>53.07</v>
      </c>
      <c r="D442" s="74">
        <f t="shared" si="12"/>
        <v>45792.943148148152</v>
      </c>
      <c r="E442" s="75">
        <f t="shared" si="13"/>
        <v>45792.943148148152</v>
      </c>
    </row>
    <row r="443" spans="1:5">
      <c r="A443" s="73" t="s">
        <v>560</v>
      </c>
      <c r="B443">
        <v>20.420000000000002</v>
      </c>
      <c r="C443">
        <v>53.05</v>
      </c>
      <c r="D443" s="74">
        <f t="shared" si="12"/>
        <v>45792.944548611114</v>
      </c>
      <c r="E443" s="75">
        <f t="shared" si="13"/>
        <v>45792.944548611114</v>
      </c>
    </row>
    <row r="444" spans="1:5">
      <c r="A444" s="73" t="s">
        <v>561</v>
      </c>
      <c r="B444">
        <v>20.420000000000002</v>
      </c>
      <c r="C444">
        <v>53.08</v>
      </c>
      <c r="D444" s="74">
        <f t="shared" si="12"/>
        <v>45792.945925925924</v>
      </c>
      <c r="E444" s="75">
        <f t="shared" si="13"/>
        <v>45792.945925925924</v>
      </c>
    </row>
    <row r="445" spans="1:5">
      <c r="A445" s="73" t="s">
        <v>562</v>
      </c>
      <c r="B445">
        <v>20.43</v>
      </c>
      <c r="C445">
        <v>53.06</v>
      </c>
      <c r="D445" s="74">
        <f t="shared" si="12"/>
        <v>45792.947326388887</v>
      </c>
      <c r="E445" s="75">
        <f t="shared" si="13"/>
        <v>45792.947326388887</v>
      </c>
    </row>
    <row r="446" spans="1:5">
      <c r="A446" s="73" t="s">
        <v>563</v>
      </c>
      <c r="B446">
        <v>20.45</v>
      </c>
      <c r="C446">
        <v>53.04</v>
      </c>
      <c r="D446" s="74">
        <f t="shared" si="12"/>
        <v>45792.948703703703</v>
      </c>
      <c r="E446" s="75">
        <f t="shared" si="13"/>
        <v>45792.948703703703</v>
      </c>
    </row>
    <row r="447" spans="1:5">
      <c r="A447" s="73" t="s">
        <v>564</v>
      </c>
      <c r="B447">
        <v>20.43</v>
      </c>
      <c r="C447">
        <v>53.04</v>
      </c>
      <c r="D447" s="74">
        <f t="shared" si="12"/>
        <v>45792.950104166666</v>
      </c>
      <c r="E447" s="75">
        <f t="shared" si="13"/>
        <v>45792.950104166666</v>
      </c>
    </row>
    <row r="448" spans="1:5">
      <c r="A448" s="73" t="s">
        <v>565</v>
      </c>
      <c r="B448">
        <v>20.43</v>
      </c>
      <c r="C448">
        <v>52.99</v>
      </c>
      <c r="D448" s="74">
        <f t="shared" si="12"/>
        <v>45792.951493055552</v>
      </c>
      <c r="E448" s="75">
        <f t="shared" si="13"/>
        <v>45792.951493055552</v>
      </c>
    </row>
    <row r="449" spans="1:5">
      <c r="A449" s="73" t="s">
        <v>566</v>
      </c>
      <c r="B449">
        <v>20.43</v>
      </c>
      <c r="C449">
        <v>52.94</v>
      </c>
      <c r="D449" s="74">
        <f t="shared" si="12"/>
        <v>45792.952881944446</v>
      </c>
      <c r="E449" s="75">
        <f t="shared" si="13"/>
        <v>45792.952881944446</v>
      </c>
    </row>
    <row r="450" spans="1:5">
      <c r="A450" s="73" t="s">
        <v>567</v>
      </c>
      <c r="B450">
        <v>20.45</v>
      </c>
      <c r="C450">
        <v>52.92</v>
      </c>
      <c r="D450" s="74">
        <f t="shared" si="12"/>
        <v>45792.954259259262</v>
      </c>
      <c r="E450" s="75">
        <f t="shared" si="13"/>
        <v>45792.954259259262</v>
      </c>
    </row>
    <row r="451" spans="1:5">
      <c r="A451" s="73" t="s">
        <v>568</v>
      </c>
      <c r="B451">
        <v>20.440000000000001</v>
      </c>
      <c r="C451">
        <v>52.92</v>
      </c>
      <c r="D451" s="74">
        <f t="shared" ref="D451:D514" si="14">A451+12/24</f>
        <v>45792.955659722225</v>
      </c>
      <c r="E451" s="75">
        <f t="shared" ref="E451:E514" si="15">D451</f>
        <v>45792.955659722225</v>
      </c>
    </row>
    <row r="452" spans="1:5">
      <c r="A452" s="73" t="s">
        <v>569</v>
      </c>
      <c r="B452">
        <v>20.440000000000001</v>
      </c>
      <c r="C452">
        <v>52.9</v>
      </c>
      <c r="D452" s="74">
        <f t="shared" si="14"/>
        <v>45792.957037037035</v>
      </c>
      <c r="E452" s="75">
        <f t="shared" si="15"/>
        <v>45792.957037037035</v>
      </c>
    </row>
    <row r="453" spans="1:5">
      <c r="A453" s="73" t="s">
        <v>570</v>
      </c>
      <c r="B453">
        <v>20.43</v>
      </c>
      <c r="C453">
        <v>52.91</v>
      </c>
      <c r="D453" s="74">
        <f t="shared" si="14"/>
        <v>45792.958437499998</v>
      </c>
      <c r="E453" s="75">
        <f t="shared" si="15"/>
        <v>45792.958437499998</v>
      </c>
    </row>
    <row r="454" spans="1:5">
      <c r="A454" s="73" t="s">
        <v>571</v>
      </c>
      <c r="B454">
        <v>20.420000000000002</v>
      </c>
      <c r="C454">
        <v>52.93</v>
      </c>
      <c r="D454" s="74">
        <f t="shared" si="14"/>
        <v>45792.959814814814</v>
      </c>
      <c r="E454" s="75">
        <f t="shared" si="15"/>
        <v>45792.959814814814</v>
      </c>
    </row>
    <row r="455" spans="1:5">
      <c r="A455" s="73" t="s">
        <v>572</v>
      </c>
      <c r="B455">
        <v>20.440000000000001</v>
      </c>
      <c r="C455">
        <v>52.94</v>
      </c>
      <c r="D455" s="74">
        <f t="shared" si="14"/>
        <v>45792.9612037037</v>
      </c>
      <c r="E455" s="75">
        <f t="shared" si="15"/>
        <v>45792.9612037037</v>
      </c>
    </row>
    <row r="456" spans="1:5">
      <c r="A456" s="73" t="s">
        <v>573</v>
      </c>
      <c r="B456">
        <v>20.41</v>
      </c>
      <c r="C456">
        <v>52.94</v>
      </c>
      <c r="D456" s="74">
        <f t="shared" si="14"/>
        <v>45792.962604166663</v>
      </c>
      <c r="E456" s="75">
        <f t="shared" si="15"/>
        <v>45792.962604166663</v>
      </c>
    </row>
    <row r="457" spans="1:5">
      <c r="A457" s="73" t="s">
        <v>574</v>
      </c>
      <c r="B457">
        <v>20.420000000000002</v>
      </c>
      <c r="C457">
        <v>52.92</v>
      </c>
      <c r="D457" s="74">
        <f t="shared" si="14"/>
        <v>45792.963993055557</v>
      </c>
      <c r="E457" s="75">
        <f t="shared" si="15"/>
        <v>45792.963993055557</v>
      </c>
    </row>
    <row r="458" spans="1:5">
      <c r="A458" s="73" t="s">
        <v>575</v>
      </c>
      <c r="B458">
        <v>20.420000000000002</v>
      </c>
      <c r="C458">
        <v>52.91</v>
      </c>
      <c r="D458" s="74">
        <f t="shared" si="14"/>
        <v>45792.965370370373</v>
      </c>
      <c r="E458" s="75">
        <f t="shared" si="15"/>
        <v>45792.965370370373</v>
      </c>
    </row>
    <row r="459" spans="1:5">
      <c r="A459" s="73" t="s">
        <v>576</v>
      </c>
      <c r="B459">
        <v>20.420000000000002</v>
      </c>
      <c r="C459">
        <v>52.91</v>
      </c>
      <c r="D459" s="74">
        <f t="shared" si="14"/>
        <v>45792.96675925926</v>
      </c>
      <c r="E459" s="75">
        <f t="shared" si="15"/>
        <v>45792.96675925926</v>
      </c>
    </row>
    <row r="460" spans="1:5">
      <c r="A460" s="73" t="s">
        <v>577</v>
      </c>
      <c r="B460">
        <v>20.43</v>
      </c>
      <c r="C460">
        <v>52.89</v>
      </c>
      <c r="D460" s="74">
        <f t="shared" si="14"/>
        <v>45792.968148148146</v>
      </c>
      <c r="E460" s="75">
        <f t="shared" si="15"/>
        <v>45792.968148148146</v>
      </c>
    </row>
    <row r="461" spans="1:5">
      <c r="A461" s="73" t="s">
        <v>578</v>
      </c>
      <c r="B461">
        <v>20.43</v>
      </c>
      <c r="C461">
        <v>52.86</v>
      </c>
      <c r="D461" s="74">
        <f t="shared" si="14"/>
        <v>45792.969560185185</v>
      </c>
      <c r="E461" s="75">
        <f t="shared" si="15"/>
        <v>45792.969560185185</v>
      </c>
    </row>
    <row r="462" spans="1:5">
      <c r="A462" s="73" t="s">
        <v>579</v>
      </c>
      <c r="B462">
        <v>20.43</v>
      </c>
      <c r="C462">
        <v>52.82</v>
      </c>
      <c r="D462" s="74">
        <f t="shared" si="14"/>
        <v>45792.970937500002</v>
      </c>
      <c r="E462" s="75">
        <f t="shared" si="15"/>
        <v>45792.970937500002</v>
      </c>
    </row>
    <row r="463" spans="1:5">
      <c r="A463" s="73" t="s">
        <v>580</v>
      </c>
      <c r="B463">
        <v>20.440000000000001</v>
      </c>
      <c r="C463">
        <v>52.73</v>
      </c>
      <c r="D463" s="74">
        <f t="shared" si="14"/>
        <v>45792.972326388888</v>
      </c>
      <c r="E463" s="75">
        <f t="shared" si="15"/>
        <v>45792.972326388888</v>
      </c>
    </row>
    <row r="464" spans="1:5">
      <c r="A464" s="73" t="s">
        <v>581</v>
      </c>
      <c r="B464">
        <v>20.440000000000001</v>
      </c>
      <c r="C464">
        <v>52.66</v>
      </c>
      <c r="D464" s="74">
        <f t="shared" si="14"/>
        <v>45792.973703703705</v>
      </c>
      <c r="E464" s="75">
        <f t="shared" si="15"/>
        <v>45792.973703703705</v>
      </c>
    </row>
    <row r="465" spans="1:5">
      <c r="A465" s="73" t="s">
        <v>582</v>
      </c>
      <c r="B465">
        <v>20.399999999999999</v>
      </c>
      <c r="C465">
        <v>52.65</v>
      </c>
      <c r="D465" s="74">
        <f t="shared" si="14"/>
        <v>45792.975092592591</v>
      </c>
      <c r="E465" s="75">
        <f t="shared" si="15"/>
        <v>45792.975092592591</v>
      </c>
    </row>
    <row r="466" spans="1:5">
      <c r="A466" s="73" t="s">
        <v>583</v>
      </c>
      <c r="B466">
        <v>20.41</v>
      </c>
      <c r="C466">
        <v>52.68</v>
      </c>
      <c r="D466" s="74">
        <f t="shared" si="14"/>
        <v>45792.976481481484</v>
      </c>
      <c r="E466" s="75">
        <f t="shared" si="15"/>
        <v>45792.976481481484</v>
      </c>
    </row>
    <row r="467" spans="1:5">
      <c r="A467" s="73" t="s">
        <v>584</v>
      </c>
      <c r="B467">
        <v>20.41</v>
      </c>
      <c r="C467">
        <v>52.66</v>
      </c>
      <c r="D467" s="74">
        <f t="shared" si="14"/>
        <v>45792.977881944447</v>
      </c>
      <c r="E467" s="75">
        <f t="shared" si="15"/>
        <v>45792.977881944447</v>
      </c>
    </row>
    <row r="468" spans="1:5">
      <c r="A468" s="73" t="s">
        <v>585</v>
      </c>
      <c r="B468">
        <v>20.41</v>
      </c>
      <c r="C468">
        <v>52.59</v>
      </c>
      <c r="D468" s="74">
        <f t="shared" si="14"/>
        <v>45792.979259259257</v>
      </c>
      <c r="E468" s="75">
        <f t="shared" si="15"/>
        <v>45792.979259259257</v>
      </c>
    </row>
    <row r="469" spans="1:5">
      <c r="A469" s="73" t="s">
        <v>586</v>
      </c>
      <c r="B469">
        <v>20.420000000000002</v>
      </c>
      <c r="C469">
        <v>52.59</v>
      </c>
      <c r="D469" s="74">
        <f t="shared" si="14"/>
        <v>45792.98065972222</v>
      </c>
      <c r="E469" s="75">
        <f t="shared" si="15"/>
        <v>45792.98065972222</v>
      </c>
    </row>
    <row r="470" spans="1:5">
      <c r="A470" s="73" t="s">
        <v>587</v>
      </c>
      <c r="B470">
        <v>20.420000000000002</v>
      </c>
      <c r="C470">
        <v>52.56</v>
      </c>
      <c r="D470" s="74">
        <f t="shared" si="14"/>
        <v>45792.982037037036</v>
      </c>
      <c r="E470" s="75">
        <f t="shared" si="15"/>
        <v>45792.982037037036</v>
      </c>
    </row>
    <row r="471" spans="1:5">
      <c r="A471" s="73" t="s">
        <v>588</v>
      </c>
      <c r="B471">
        <v>20.43</v>
      </c>
      <c r="C471">
        <v>52.49</v>
      </c>
      <c r="D471" s="74">
        <f t="shared" si="14"/>
        <v>45792.983437499999</v>
      </c>
      <c r="E471" s="75">
        <f t="shared" si="15"/>
        <v>45792.983437499999</v>
      </c>
    </row>
    <row r="472" spans="1:5">
      <c r="A472" s="73" t="s">
        <v>589</v>
      </c>
      <c r="B472">
        <v>20.420000000000002</v>
      </c>
      <c r="C472">
        <v>52.42</v>
      </c>
      <c r="D472" s="74">
        <f t="shared" si="14"/>
        <v>45792.984826388885</v>
      </c>
      <c r="E472" s="75">
        <f t="shared" si="15"/>
        <v>45792.984826388885</v>
      </c>
    </row>
    <row r="473" spans="1:5">
      <c r="A473" s="73" t="s">
        <v>590</v>
      </c>
      <c r="B473">
        <v>20.39</v>
      </c>
      <c r="C473">
        <v>52.39</v>
      </c>
      <c r="D473" s="74">
        <f t="shared" si="14"/>
        <v>45792.986215277779</v>
      </c>
      <c r="E473" s="75">
        <f t="shared" si="15"/>
        <v>45792.986215277779</v>
      </c>
    </row>
    <row r="474" spans="1:5">
      <c r="A474" s="73" t="s">
        <v>591</v>
      </c>
      <c r="B474">
        <v>20.39</v>
      </c>
      <c r="C474">
        <v>52.43</v>
      </c>
      <c r="D474" s="74">
        <f t="shared" si="14"/>
        <v>45792.987592592595</v>
      </c>
      <c r="E474" s="75">
        <f t="shared" si="15"/>
        <v>45792.987592592595</v>
      </c>
    </row>
    <row r="475" spans="1:5">
      <c r="A475" s="73" t="s">
        <v>592</v>
      </c>
      <c r="B475">
        <v>20.399999999999999</v>
      </c>
      <c r="C475">
        <v>52.38</v>
      </c>
      <c r="D475" s="74">
        <f t="shared" si="14"/>
        <v>45792.988981481481</v>
      </c>
      <c r="E475" s="75">
        <f t="shared" si="15"/>
        <v>45792.988981481481</v>
      </c>
    </row>
    <row r="476" spans="1:5">
      <c r="A476" s="73" t="s">
        <v>593</v>
      </c>
      <c r="B476">
        <v>20.399999999999999</v>
      </c>
      <c r="C476">
        <v>52.36</v>
      </c>
      <c r="D476" s="74">
        <f t="shared" si="14"/>
        <v>45792.990370370368</v>
      </c>
      <c r="E476" s="75">
        <f t="shared" si="15"/>
        <v>45792.990370370368</v>
      </c>
    </row>
    <row r="477" spans="1:5">
      <c r="A477" s="73" t="s">
        <v>594</v>
      </c>
      <c r="B477">
        <v>20.420000000000002</v>
      </c>
      <c r="C477">
        <v>52.31</v>
      </c>
      <c r="D477" s="74">
        <f t="shared" si="14"/>
        <v>45792.991770833331</v>
      </c>
      <c r="E477" s="75">
        <f t="shared" si="15"/>
        <v>45792.991770833331</v>
      </c>
    </row>
    <row r="478" spans="1:5">
      <c r="A478" s="73" t="s">
        <v>595</v>
      </c>
      <c r="B478">
        <v>20.420000000000002</v>
      </c>
      <c r="C478">
        <v>52.21</v>
      </c>
      <c r="D478" s="74">
        <f t="shared" si="14"/>
        <v>45792.993148148147</v>
      </c>
      <c r="E478" s="75">
        <f t="shared" si="15"/>
        <v>45792.993148148147</v>
      </c>
    </row>
    <row r="479" spans="1:5">
      <c r="A479" s="73" t="s">
        <v>596</v>
      </c>
      <c r="B479">
        <v>20.41</v>
      </c>
      <c r="C479">
        <v>52.12</v>
      </c>
      <c r="D479" s="74">
        <f t="shared" si="14"/>
        <v>45792.99454861111</v>
      </c>
      <c r="E479" s="75">
        <f t="shared" si="15"/>
        <v>45792.99454861111</v>
      </c>
    </row>
    <row r="480" spans="1:5">
      <c r="A480" s="73" t="s">
        <v>597</v>
      </c>
      <c r="B480">
        <v>20.420000000000002</v>
      </c>
      <c r="C480">
        <v>52.13</v>
      </c>
      <c r="D480" s="74">
        <f t="shared" si="14"/>
        <v>45792.995925925927</v>
      </c>
      <c r="E480" s="75">
        <f t="shared" si="15"/>
        <v>45792.995925925927</v>
      </c>
    </row>
    <row r="481" spans="1:5">
      <c r="A481" s="73" t="s">
        <v>598</v>
      </c>
      <c r="B481">
        <v>20.399999999999999</v>
      </c>
      <c r="C481">
        <v>52.16</v>
      </c>
      <c r="D481" s="74">
        <f t="shared" si="14"/>
        <v>45792.99732638889</v>
      </c>
      <c r="E481" s="75">
        <f t="shared" si="15"/>
        <v>45792.99732638889</v>
      </c>
    </row>
    <row r="482" spans="1:5">
      <c r="A482" s="73" t="s">
        <v>599</v>
      </c>
      <c r="B482">
        <v>20.41</v>
      </c>
      <c r="C482">
        <v>52.13</v>
      </c>
      <c r="D482" s="74">
        <f t="shared" si="14"/>
        <v>45792.998703703706</v>
      </c>
      <c r="E482" s="75">
        <f t="shared" si="15"/>
        <v>45792.998703703706</v>
      </c>
    </row>
    <row r="483" spans="1:5">
      <c r="A483" s="73" t="s">
        <v>600</v>
      </c>
      <c r="B483">
        <v>20.440000000000001</v>
      </c>
      <c r="C483">
        <v>52.05</v>
      </c>
      <c r="D483" s="74">
        <f t="shared" si="14"/>
        <v>45793.000104166669</v>
      </c>
      <c r="E483" s="75">
        <f t="shared" si="15"/>
        <v>45793.000104166669</v>
      </c>
    </row>
    <row r="484" spans="1:5">
      <c r="A484" s="73" t="s">
        <v>601</v>
      </c>
      <c r="B484">
        <v>20.41</v>
      </c>
      <c r="C484">
        <v>51.95</v>
      </c>
      <c r="D484" s="74">
        <f t="shared" si="14"/>
        <v>45793.001493055555</v>
      </c>
      <c r="E484" s="75">
        <f t="shared" si="15"/>
        <v>45793.001493055555</v>
      </c>
    </row>
    <row r="485" spans="1:5">
      <c r="A485" s="73" t="s">
        <v>602</v>
      </c>
      <c r="B485">
        <v>20.399999999999999</v>
      </c>
      <c r="C485">
        <v>51.97</v>
      </c>
      <c r="D485" s="74">
        <f t="shared" si="14"/>
        <v>45793.002881944441</v>
      </c>
      <c r="E485" s="75">
        <f t="shared" si="15"/>
        <v>45793.002881944441</v>
      </c>
    </row>
    <row r="486" spans="1:5">
      <c r="A486" s="73" t="s">
        <v>603</v>
      </c>
      <c r="B486">
        <v>20.41</v>
      </c>
      <c r="C486">
        <v>52.01</v>
      </c>
      <c r="D486" s="74">
        <f t="shared" si="14"/>
        <v>45793.004259259258</v>
      </c>
      <c r="E486" s="75">
        <f t="shared" si="15"/>
        <v>45793.004259259258</v>
      </c>
    </row>
    <row r="487" spans="1:5">
      <c r="A487" s="73" t="s">
        <v>604</v>
      </c>
      <c r="B487">
        <v>20.41</v>
      </c>
      <c r="C487">
        <v>52</v>
      </c>
      <c r="D487" s="74">
        <f t="shared" si="14"/>
        <v>45793.005659722221</v>
      </c>
      <c r="E487" s="75">
        <f t="shared" si="15"/>
        <v>45793.005659722221</v>
      </c>
    </row>
    <row r="488" spans="1:5">
      <c r="A488" s="73" t="s">
        <v>605</v>
      </c>
      <c r="B488">
        <v>20.41</v>
      </c>
      <c r="C488">
        <v>51.98</v>
      </c>
      <c r="D488" s="74">
        <f t="shared" si="14"/>
        <v>45793.007048611114</v>
      </c>
      <c r="E488" s="75">
        <f t="shared" si="15"/>
        <v>45793.007048611114</v>
      </c>
    </row>
    <row r="489" spans="1:5">
      <c r="A489" s="73" t="s">
        <v>606</v>
      </c>
      <c r="B489">
        <v>20.420000000000002</v>
      </c>
      <c r="C489">
        <v>51.88</v>
      </c>
      <c r="D489" s="74">
        <f t="shared" si="14"/>
        <v>45793.008425925924</v>
      </c>
      <c r="E489" s="75">
        <f t="shared" si="15"/>
        <v>45793.008425925924</v>
      </c>
    </row>
    <row r="490" spans="1:5">
      <c r="A490" s="73" t="s">
        <v>607</v>
      </c>
      <c r="B490">
        <v>20.41</v>
      </c>
      <c r="C490">
        <v>51.81</v>
      </c>
      <c r="D490" s="74">
        <f t="shared" si="14"/>
        <v>45793.009814814817</v>
      </c>
      <c r="E490" s="75">
        <f t="shared" si="15"/>
        <v>45793.009814814817</v>
      </c>
    </row>
    <row r="491" spans="1:5">
      <c r="A491" s="73" t="s">
        <v>608</v>
      </c>
      <c r="B491">
        <v>20.41</v>
      </c>
      <c r="C491">
        <v>51.8</v>
      </c>
      <c r="D491" s="74">
        <f t="shared" si="14"/>
        <v>45793.01121527778</v>
      </c>
      <c r="E491" s="75">
        <f t="shared" si="15"/>
        <v>45793.01121527778</v>
      </c>
    </row>
    <row r="492" spans="1:5">
      <c r="A492" s="73" t="s">
        <v>609</v>
      </c>
      <c r="B492">
        <v>20.399999999999999</v>
      </c>
      <c r="C492">
        <v>51.82</v>
      </c>
      <c r="D492" s="74">
        <f t="shared" si="14"/>
        <v>45793.012592592589</v>
      </c>
      <c r="E492" s="75">
        <f t="shared" si="15"/>
        <v>45793.012592592589</v>
      </c>
    </row>
    <row r="493" spans="1:5">
      <c r="A493" s="73" t="s">
        <v>610</v>
      </c>
      <c r="B493">
        <v>20.41</v>
      </c>
      <c r="C493">
        <v>51.8</v>
      </c>
      <c r="D493" s="74">
        <f t="shared" si="14"/>
        <v>45793.013981481483</v>
      </c>
      <c r="E493" s="75">
        <f t="shared" si="15"/>
        <v>45793.013981481483</v>
      </c>
    </row>
    <row r="494" spans="1:5">
      <c r="A494" s="73" t="s">
        <v>611</v>
      </c>
      <c r="B494">
        <v>20.41</v>
      </c>
      <c r="C494">
        <v>51.71</v>
      </c>
      <c r="D494" s="74">
        <f t="shared" si="14"/>
        <v>45793.015370370369</v>
      </c>
      <c r="E494" s="75">
        <f t="shared" si="15"/>
        <v>45793.015370370369</v>
      </c>
    </row>
    <row r="495" spans="1:5">
      <c r="A495" s="73" t="s">
        <v>612</v>
      </c>
      <c r="B495">
        <v>20.41</v>
      </c>
      <c r="C495">
        <v>51.65</v>
      </c>
      <c r="D495" s="74">
        <f t="shared" si="14"/>
        <v>45793.016770833332</v>
      </c>
      <c r="E495" s="75">
        <f t="shared" si="15"/>
        <v>45793.016770833332</v>
      </c>
    </row>
    <row r="496" spans="1:5">
      <c r="A496" s="73" t="s">
        <v>613</v>
      </c>
      <c r="B496">
        <v>20.399999999999999</v>
      </c>
      <c r="C496">
        <v>51.67</v>
      </c>
      <c r="D496" s="74">
        <f t="shared" si="14"/>
        <v>45793.018148148149</v>
      </c>
      <c r="E496" s="75">
        <f t="shared" si="15"/>
        <v>45793.018148148149</v>
      </c>
    </row>
    <row r="497" spans="1:5">
      <c r="A497" s="73" t="s">
        <v>614</v>
      </c>
      <c r="B497">
        <v>20.399999999999999</v>
      </c>
      <c r="C497">
        <v>51.67</v>
      </c>
      <c r="D497" s="74">
        <f t="shared" si="14"/>
        <v>45793.019548611112</v>
      </c>
      <c r="E497" s="75">
        <f t="shared" si="15"/>
        <v>45793.019548611112</v>
      </c>
    </row>
    <row r="498" spans="1:5">
      <c r="A498" s="73" t="s">
        <v>615</v>
      </c>
      <c r="B498">
        <v>20.41</v>
      </c>
      <c r="C498">
        <v>51.67</v>
      </c>
      <c r="D498" s="74">
        <f t="shared" si="14"/>
        <v>45793.020937499998</v>
      </c>
      <c r="E498" s="75">
        <f t="shared" si="15"/>
        <v>45793.020937499998</v>
      </c>
    </row>
    <row r="499" spans="1:5">
      <c r="A499" s="73" t="s">
        <v>616</v>
      </c>
      <c r="B499">
        <v>20.43</v>
      </c>
      <c r="C499">
        <v>51.64</v>
      </c>
      <c r="D499" s="74">
        <f t="shared" si="14"/>
        <v>45793.022326388891</v>
      </c>
      <c r="E499" s="75">
        <f t="shared" si="15"/>
        <v>45793.022326388891</v>
      </c>
    </row>
    <row r="500" spans="1:5">
      <c r="A500" s="73" t="s">
        <v>617</v>
      </c>
      <c r="B500">
        <v>20.41</v>
      </c>
      <c r="C500">
        <v>51.57</v>
      </c>
      <c r="D500" s="74">
        <f t="shared" si="14"/>
        <v>45793.0237037037</v>
      </c>
      <c r="E500" s="75">
        <f t="shared" si="15"/>
        <v>45793.0237037037</v>
      </c>
    </row>
    <row r="501" spans="1:5">
      <c r="A501" s="73" t="s">
        <v>618</v>
      </c>
      <c r="B501">
        <v>20.399999999999999</v>
      </c>
      <c r="C501">
        <v>51.52</v>
      </c>
      <c r="D501" s="74">
        <f t="shared" si="14"/>
        <v>45793.025104166663</v>
      </c>
      <c r="E501" s="75">
        <f t="shared" si="15"/>
        <v>45793.025104166663</v>
      </c>
    </row>
    <row r="502" spans="1:5">
      <c r="A502" s="73" t="s">
        <v>619</v>
      </c>
      <c r="B502">
        <v>20.39</v>
      </c>
      <c r="C502">
        <v>51.54</v>
      </c>
      <c r="D502" s="74">
        <f t="shared" si="14"/>
        <v>45793.026493055557</v>
      </c>
      <c r="E502" s="75">
        <f t="shared" si="15"/>
        <v>45793.026493055557</v>
      </c>
    </row>
    <row r="503" spans="1:5">
      <c r="A503" s="73" t="s">
        <v>620</v>
      </c>
      <c r="B503">
        <v>20.41</v>
      </c>
      <c r="C503">
        <v>51.53</v>
      </c>
      <c r="D503" s="74">
        <f t="shared" si="14"/>
        <v>45793.027881944443</v>
      </c>
      <c r="E503" s="75">
        <f t="shared" si="15"/>
        <v>45793.027881944443</v>
      </c>
    </row>
    <row r="504" spans="1:5">
      <c r="A504" s="73" t="s">
        <v>621</v>
      </c>
      <c r="B504">
        <v>20.399999999999999</v>
      </c>
      <c r="C504">
        <v>51.53</v>
      </c>
      <c r="D504" s="74">
        <f t="shared" si="14"/>
        <v>45793.02925925926</v>
      </c>
      <c r="E504" s="75">
        <f t="shared" si="15"/>
        <v>45793.02925925926</v>
      </c>
    </row>
    <row r="505" spans="1:5">
      <c r="A505" s="73" t="s">
        <v>622</v>
      </c>
      <c r="B505">
        <v>20.43</v>
      </c>
      <c r="C505">
        <v>51.51</v>
      </c>
      <c r="D505" s="74">
        <f t="shared" si="14"/>
        <v>45793.030659722222</v>
      </c>
      <c r="E505" s="75">
        <f t="shared" si="15"/>
        <v>45793.030659722222</v>
      </c>
    </row>
    <row r="506" spans="1:5">
      <c r="A506" s="73" t="s">
        <v>623</v>
      </c>
      <c r="B506">
        <v>20.43</v>
      </c>
      <c r="C506">
        <v>51.41</v>
      </c>
      <c r="D506" s="74">
        <f t="shared" si="14"/>
        <v>45793.032048611109</v>
      </c>
      <c r="E506" s="75">
        <f t="shared" si="15"/>
        <v>45793.032048611109</v>
      </c>
    </row>
    <row r="507" spans="1:5">
      <c r="A507" s="73" t="s">
        <v>624</v>
      </c>
      <c r="B507">
        <v>20.43</v>
      </c>
      <c r="C507">
        <v>51.35</v>
      </c>
      <c r="D507" s="74">
        <f t="shared" si="14"/>
        <v>45793.033437500002</v>
      </c>
      <c r="E507" s="75">
        <f t="shared" si="15"/>
        <v>45793.033437500002</v>
      </c>
    </row>
    <row r="508" spans="1:5">
      <c r="A508" s="73" t="s">
        <v>625</v>
      </c>
      <c r="B508">
        <v>20.41</v>
      </c>
      <c r="C508">
        <v>51.38</v>
      </c>
      <c r="D508" s="74">
        <f t="shared" si="14"/>
        <v>45793.034814814811</v>
      </c>
      <c r="E508" s="75">
        <f t="shared" si="15"/>
        <v>45793.034814814811</v>
      </c>
    </row>
    <row r="509" spans="1:5">
      <c r="A509" s="73" t="s">
        <v>626</v>
      </c>
      <c r="B509">
        <v>20.41</v>
      </c>
      <c r="C509">
        <v>51.4</v>
      </c>
      <c r="D509" s="74">
        <f t="shared" si="14"/>
        <v>45793.036215277774</v>
      </c>
      <c r="E509" s="75">
        <f t="shared" si="15"/>
        <v>45793.036215277774</v>
      </c>
    </row>
    <row r="510" spans="1:5">
      <c r="A510" s="73" t="s">
        <v>627</v>
      </c>
      <c r="B510">
        <v>20.420000000000002</v>
      </c>
      <c r="C510">
        <v>51.38</v>
      </c>
      <c r="D510" s="74">
        <f t="shared" si="14"/>
        <v>45793.037604166668</v>
      </c>
      <c r="E510" s="75">
        <f t="shared" si="15"/>
        <v>45793.037604166668</v>
      </c>
    </row>
    <row r="511" spans="1:5">
      <c r="A511" s="73" t="s">
        <v>628</v>
      </c>
      <c r="B511">
        <v>20.41</v>
      </c>
      <c r="C511">
        <v>51.36</v>
      </c>
      <c r="D511" s="74">
        <f t="shared" si="14"/>
        <v>45793.038993055554</v>
      </c>
      <c r="E511" s="75">
        <f t="shared" si="15"/>
        <v>45793.038993055554</v>
      </c>
    </row>
    <row r="512" spans="1:5">
      <c r="A512" s="73" t="s">
        <v>629</v>
      </c>
      <c r="B512">
        <v>20.420000000000002</v>
      </c>
      <c r="C512">
        <v>51.28</v>
      </c>
      <c r="D512" s="74">
        <f t="shared" si="14"/>
        <v>45793.040370370371</v>
      </c>
      <c r="E512" s="75">
        <f t="shared" si="15"/>
        <v>45793.040370370371</v>
      </c>
    </row>
    <row r="513" spans="1:5">
      <c r="A513" s="73" t="s">
        <v>630</v>
      </c>
      <c r="B513">
        <v>20.41</v>
      </c>
      <c r="C513">
        <v>51.22</v>
      </c>
      <c r="D513" s="74">
        <f t="shared" si="14"/>
        <v>45793.041770833333</v>
      </c>
      <c r="E513" s="75">
        <f t="shared" si="15"/>
        <v>45793.041770833333</v>
      </c>
    </row>
    <row r="514" spans="1:5">
      <c r="A514" s="73" t="s">
        <v>631</v>
      </c>
      <c r="B514">
        <v>20.399999999999999</v>
      </c>
      <c r="C514">
        <v>51.26</v>
      </c>
      <c r="D514" s="74">
        <f t="shared" si="14"/>
        <v>45793.04314814815</v>
      </c>
      <c r="E514" s="75">
        <f t="shared" si="15"/>
        <v>45793.04314814815</v>
      </c>
    </row>
    <row r="515" spans="1:5">
      <c r="A515" s="73" t="s">
        <v>632</v>
      </c>
      <c r="B515">
        <v>20.41</v>
      </c>
      <c r="C515">
        <v>51.27</v>
      </c>
      <c r="D515" s="74">
        <f t="shared" ref="D515:D578" si="16">A515+12/24</f>
        <v>45793.044537037036</v>
      </c>
      <c r="E515" s="75">
        <f t="shared" ref="E515:E578" si="17">D515</f>
        <v>45793.044537037036</v>
      </c>
    </row>
    <row r="516" spans="1:5">
      <c r="A516" s="73" t="s">
        <v>633</v>
      </c>
      <c r="B516">
        <v>20.420000000000002</v>
      </c>
      <c r="C516">
        <v>51.21</v>
      </c>
      <c r="D516" s="74">
        <f t="shared" si="16"/>
        <v>45793.045925925922</v>
      </c>
      <c r="E516" s="75">
        <f t="shared" si="17"/>
        <v>45793.045925925922</v>
      </c>
    </row>
    <row r="517" spans="1:5">
      <c r="A517" s="73" t="s">
        <v>634</v>
      </c>
      <c r="B517">
        <v>20.43</v>
      </c>
      <c r="C517">
        <v>51.14</v>
      </c>
      <c r="D517" s="74">
        <f t="shared" si="16"/>
        <v>45793.047326388885</v>
      </c>
      <c r="E517" s="75">
        <f t="shared" si="17"/>
        <v>45793.047326388885</v>
      </c>
    </row>
    <row r="518" spans="1:5">
      <c r="A518" s="73" t="s">
        <v>635</v>
      </c>
      <c r="B518">
        <v>20.420000000000002</v>
      </c>
      <c r="C518">
        <v>51.07</v>
      </c>
      <c r="D518" s="74">
        <f t="shared" si="16"/>
        <v>45793.048703703702</v>
      </c>
      <c r="E518" s="75">
        <f t="shared" si="17"/>
        <v>45793.048703703702</v>
      </c>
    </row>
    <row r="519" spans="1:5">
      <c r="A519" s="73" t="s">
        <v>636</v>
      </c>
      <c r="B519">
        <v>20.399999999999999</v>
      </c>
      <c r="C519">
        <v>51.03</v>
      </c>
      <c r="D519" s="74">
        <f t="shared" si="16"/>
        <v>45793.050104166665</v>
      </c>
      <c r="E519" s="75">
        <f t="shared" si="17"/>
        <v>45793.050104166665</v>
      </c>
    </row>
    <row r="520" spans="1:5">
      <c r="A520" s="73" t="s">
        <v>637</v>
      </c>
      <c r="B520">
        <v>20.399999999999999</v>
      </c>
      <c r="C520">
        <v>51.05</v>
      </c>
      <c r="D520" s="74">
        <f t="shared" si="16"/>
        <v>45793.051493055558</v>
      </c>
      <c r="E520" s="75">
        <f t="shared" si="17"/>
        <v>45793.051493055558</v>
      </c>
    </row>
    <row r="521" spans="1:5">
      <c r="A521" s="73" t="s">
        <v>638</v>
      </c>
      <c r="B521">
        <v>20.39</v>
      </c>
      <c r="C521">
        <v>51.07</v>
      </c>
      <c r="D521" s="74">
        <f t="shared" si="16"/>
        <v>45793.052881944444</v>
      </c>
      <c r="E521" s="75">
        <f t="shared" si="17"/>
        <v>45793.052881944444</v>
      </c>
    </row>
    <row r="522" spans="1:5">
      <c r="A522" s="73" t="s">
        <v>639</v>
      </c>
      <c r="B522">
        <v>20.41</v>
      </c>
      <c r="C522">
        <v>51.01</v>
      </c>
      <c r="D522" s="74">
        <f t="shared" si="16"/>
        <v>45793.054259259261</v>
      </c>
      <c r="E522" s="75">
        <f t="shared" si="17"/>
        <v>45793.054259259261</v>
      </c>
    </row>
    <row r="523" spans="1:5">
      <c r="A523" s="73" t="s">
        <v>640</v>
      </c>
      <c r="B523">
        <v>20.41</v>
      </c>
      <c r="C523">
        <v>50.94</v>
      </c>
      <c r="D523" s="74">
        <f t="shared" si="16"/>
        <v>45793.055659722224</v>
      </c>
      <c r="E523" s="75">
        <f t="shared" si="17"/>
        <v>45793.055659722224</v>
      </c>
    </row>
    <row r="524" spans="1:5">
      <c r="A524" s="73" t="s">
        <v>641</v>
      </c>
      <c r="B524">
        <v>20.399999999999999</v>
      </c>
      <c r="C524">
        <v>50.86</v>
      </c>
      <c r="D524" s="74">
        <f t="shared" si="16"/>
        <v>45793.05704861111</v>
      </c>
      <c r="E524" s="75">
        <f t="shared" si="17"/>
        <v>45793.05704861111</v>
      </c>
    </row>
    <row r="525" spans="1:5">
      <c r="A525" s="73" t="s">
        <v>642</v>
      </c>
      <c r="B525">
        <v>20.39</v>
      </c>
      <c r="C525">
        <v>50.82</v>
      </c>
      <c r="D525" s="74">
        <f t="shared" si="16"/>
        <v>45793.058437500003</v>
      </c>
      <c r="E525" s="75">
        <f t="shared" si="17"/>
        <v>45793.058437500003</v>
      </c>
    </row>
    <row r="526" spans="1:5">
      <c r="A526" s="73" t="s">
        <v>643</v>
      </c>
      <c r="B526">
        <v>20.399999999999999</v>
      </c>
      <c r="C526">
        <v>50.81</v>
      </c>
      <c r="D526" s="74">
        <f t="shared" si="16"/>
        <v>45793.059814814813</v>
      </c>
      <c r="E526" s="75">
        <f t="shared" si="17"/>
        <v>45793.059814814813</v>
      </c>
    </row>
    <row r="527" spans="1:5">
      <c r="A527" s="73" t="s">
        <v>644</v>
      </c>
      <c r="B527">
        <v>20.39</v>
      </c>
      <c r="C527">
        <v>50.84</v>
      </c>
      <c r="D527" s="74">
        <f t="shared" si="16"/>
        <v>45793.061215277776</v>
      </c>
      <c r="E527" s="75">
        <f t="shared" si="17"/>
        <v>45793.061215277776</v>
      </c>
    </row>
    <row r="528" spans="1:5">
      <c r="A528" s="73" t="s">
        <v>645</v>
      </c>
      <c r="B528">
        <v>20.399999999999999</v>
      </c>
      <c r="C528">
        <v>50.84</v>
      </c>
      <c r="D528" s="74">
        <f t="shared" si="16"/>
        <v>45793.062592592592</v>
      </c>
      <c r="E528" s="75">
        <f t="shared" si="17"/>
        <v>45793.062592592592</v>
      </c>
    </row>
    <row r="529" spans="1:5">
      <c r="A529" s="73" t="s">
        <v>646</v>
      </c>
      <c r="B529">
        <v>20.420000000000002</v>
      </c>
      <c r="C529">
        <v>50.77</v>
      </c>
      <c r="D529" s="74">
        <f t="shared" si="16"/>
        <v>45793.063981481479</v>
      </c>
      <c r="E529" s="75">
        <f t="shared" si="17"/>
        <v>45793.063981481479</v>
      </c>
    </row>
    <row r="530" spans="1:5">
      <c r="A530" s="73" t="s">
        <v>647</v>
      </c>
      <c r="B530">
        <v>20.420000000000002</v>
      </c>
      <c r="C530">
        <v>50.66</v>
      </c>
      <c r="D530" s="74">
        <f t="shared" si="16"/>
        <v>45793.065370370372</v>
      </c>
      <c r="E530" s="75">
        <f t="shared" si="17"/>
        <v>45793.065370370372</v>
      </c>
    </row>
    <row r="531" spans="1:5">
      <c r="A531" s="73" t="s">
        <v>648</v>
      </c>
      <c r="B531">
        <v>20.420000000000002</v>
      </c>
      <c r="C531">
        <v>50.62</v>
      </c>
      <c r="D531" s="74">
        <f t="shared" si="16"/>
        <v>45793.066770833335</v>
      </c>
      <c r="E531" s="75">
        <f t="shared" si="17"/>
        <v>45793.066770833335</v>
      </c>
    </row>
    <row r="532" spans="1:5">
      <c r="A532" s="73" t="s">
        <v>649</v>
      </c>
      <c r="B532">
        <v>20.420000000000002</v>
      </c>
      <c r="C532">
        <v>50.63</v>
      </c>
      <c r="D532" s="74">
        <f t="shared" si="16"/>
        <v>45793.068148148152</v>
      </c>
      <c r="E532" s="75">
        <f t="shared" si="17"/>
        <v>45793.068148148152</v>
      </c>
    </row>
    <row r="533" spans="1:5">
      <c r="A533" s="73" t="s">
        <v>650</v>
      </c>
      <c r="B533">
        <v>20.39</v>
      </c>
      <c r="C533">
        <v>50.65</v>
      </c>
      <c r="D533" s="74">
        <f t="shared" si="16"/>
        <v>45793.069537037038</v>
      </c>
      <c r="E533" s="75">
        <f t="shared" si="17"/>
        <v>45793.069537037038</v>
      </c>
    </row>
    <row r="534" spans="1:5">
      <c r="A534" s="73" t="s">
        <v>651</v>
      </c>
      <c r="B534">
        <v>20.420000000000002</v>
      </c>
      <c r="C534">
        <v>50.65</v>
      </c>
      <c r="D534" s="74">
        <f t="shared" si="16"/>
        <v>45793.070925925924</v>
      </c>
      <c r="E534" s="75">
        <f t="shared" si="17"/>
        <v>45793.070925925924</v>
      </c>
    </row>
    <row r="535" spans="1:5">
      <c r="A535" s="73" t="s">
        <v>652</v>
      </c>
      <c r="B535">
        <v>20.41</v>
      </c>
      <c r="C535">
        <v>50.63</v>
      </c>
      <c r="D535" s="74">
        <f t="shared" si="16"/>
        <v>45793.072326388887</v>
      </c>
      <c r="E535" s="75">
        <f t="shared" si="17"/>
        <v>45793.072326388887</v>
      </c>
    </row>
    <row r="536" spans="1:5">
      <c r="A536" s="73" t="s">
        <v>653</v>
      </c>
      <c r="B536">
        <v>20.41</v>
      </c>
      <c r="C536">
        <v>50.59</v>
      </c>
      <c r="D536" s="74">
        <f t="shared" si="16"/>
        <v>45793.073703703703</v>
      </c>
      <c r="E536" s="75">
        <f t="shared" si="17"/>
        <v>45793.073703703703</v>
      </c>
    </row>
    <row r="537" spans="1:5">
      <c r="A537" s="73" t="s">
        <v>654</v>
      </c>
      <c r="B537">
        <v>20.41</v>
      </c>
      <c r="C537">
        <v>50.56</v>
      </c>
      <c r="D537" s="74">
        <f t="shared" si="16"/>
        <v>45793.075092592589</v>
      </c>
      <c r="E537" s="75">
        <f t="shared" si="17"/>
        <v>45793.075092592589</v>
      </c>
    </row>
    <row r="538" spans="1:5">
      <c r="A538" s="73" t="s">
        <v>655</v>
      </c>
      <c r="B538">
        <v>20.39</v>
      </c>
      <c r="C538">
        <v>50.57</v>
      </c>
      <c r="D538" s="74">
        <f t="shared" si="16"/>
        <v>45793.076481481483</v>
      </c>
      <c r="E538" s="75">
        <f t="shared" si="17"/>
        <v>45793.076481481483</v>
      </c>
    </row>
    <row r="539" spans="1:5">
      <c r="A539" s="73" t="s">
        <v>656</v>
      </c>
      <c r="B539">
        <v>20.38</v>
      </c>
      <c r="C539">
        <v>50.64</v>
      </c>
      <c r="D539" s="74">
        <f t="shared" si="16"/>
        <v>45793.077881944446</v>
      </c>
      <c r="E539" s="75">
        <f t="shared" si="17"/>
        <v>45793.077881944446</v>
      </c>
    </row>
    <row r="540" spans="1:5">
      <c r="A540" s="73" t="s">
        <v>657</v>
      </c>
      <c r="B540">
        <v>20.39</v>
      </c>
      <c r="C540">
        <v>50.66</v>
      </c>
      <c r="D540" s="74">
        <f t="shared" si="16"/>
        <v>45793.079259259262</v>
      </c>
      <c r="E540" s="75">
        <f t="shared" si="17"/>
        <v>45793.079259259262</v>
      </c>
    </row>
    <row r="541" spans="1:5">
      <c r="A541" s="73" t="s">
        <v>658</v>
      </c>
      <c r="B541">
        <v>20.39</v>
      </c>
      <c r="C541">
        <v>50.63</v>
      </c>
      <c r="D541" s="74">
        <f t="shared" si="16"/>
        <v>45793.080659722225</v>
      </c>
      <c r="E541" s="75">
        <f t="shared" si="17"/>
        <v>45793.080659722225</v>
      </c>
    </row>
    <row r="542" spans="1:5">
      <c r="A542" s="73" t="s">
        <v>659</v>
      </c>
      <c r="B542">
        <v>20.41</v>
      </c>
      <c r="C542">
        <v>50.52</v>
      </c>
      <c r="D542" s="74">
        <f t="shared" si="16"/>
        <v>45793.082037037035</v>
      </c>
      <c r="E542" s="75">
        <f t="shared" si="17"/>
        <v>45793.082037037035</v>
      </c>
    </row>
    <row r="543" spans="1:5">
      <c r="A543" s="73" t="s">
        <v>660</v>
      </c>
      <c r="B543">
        <v>20.399999999999999</v>
      </c>
      <c r="C543">
        <v>50.47</v>
      </c>
      <c r="D543" s="74">
        <f t="shared" si="16"/>
        <v>45793.083437499998</v>
      </c>
      <c r="E543" s="75">
        <f t="shared" si="17"/>
        <v>45793.083437499998</v>
      </c>
    </row>
    <row r="544" spans="1:5">
      <c r="A544" s="73" t="s">
        <v>661</v>
      </c>
      <c r="B544">
        <v>20.38</v>
      </c>
      <c r="C544">
        <v>50.52</v>
      </c>
      <c r="D544" s="74">
        <f t="shared" si="16"/>
        <v>45793.084814814814</v>
      </c>
      <c r="E544" s="75">
        <f t="shared" si="17"/>
        <v>45793.084814814814</v>
      </c>
    </row>
    <row r="545" spans="1:5">
      <c r="A545" s="73" t="s">
        <v>662</v>
      </c>
      <c r="B545">
        <v>20.37</v>
      </c>
      <c r="C545">
        <v>50.55</v>
      </c>
      <c r="D545" s="74">
        <f t="shared" si="16"/>
        <v>45793.086215277777</v>
      </c>
      <c r="E545" s="75">
        <f t="shared" si="17"/>
        <v>45793.086215277777</v>
      </c>
    </row>
    <row r="546" spans="1:5">
      <c r="A546" s="73" t="s">
        <v>663</v>
      </c>
      <c r="B546">
        <v>20.41</v>
      </c>
      <c r="C546">
        <v>50.58</v>
      </c>
      <c r="D546" s="74">
        <f t="shared" si="16"/>
        <v>45793.087592592594</v>
      </c>
      <c r="E546" s="75">
        <f t="shared" si="17"/>
        <v>45793.087592592594</v>
      </c>
    </row>
    <row r="547" spans="1:5">
      <c r="A547" s="73" t="s">
        <v>664</v>
      </c>
      <c r="B547">
        <v>20.41</v>
      </c>
      <c r="C547">
        <v>50.54</v>
      </c>
      <c r="D547" s="74">
        <f t="shared" si="16"/>
        <v>45793.088993055557</v>
      </c>
      <c r="E547" s="75">
        <f t="shared" si="17"/>
        <v>45793.088993055557</v>
      </c>
    </row>
    <row r="548" spans="1:5">
      <c r="A548" s="73" t="s">
        <v>665</v>
      </c>
      <c r="B548">
        <v>20.420000000000002</v>
      </c>
      <c r="C548">
        <v>50.48</v>
      </c>
      <c r="D548" s="74">
        <f t="shared" si="16"/>
        <v>45793.090370370373</v>
      </c>
      <c r="E548" s="75">
        <f t="shared" si="17"/>
        <v>45793.090370370373</v>
      </c>
    </row>
    <row r="549" spans="1:5">
      <c r="A549" s="73" t="s">
        <v>666</v>
      </c>
      <c r="B549">
        <v>20.399999999999999</v>
      </c>
      <c r="C549">
        <v>50.41</v>
      </c>
      <c r="D549" s="74">
        <f t="shared" si="16"/>
        <v>45793.09175925926</v>
      </c>
      <c r="E549" s="75">
        <f t="shared" si="17"/>
        <v>45793.09175925926</v>
      </c>
    </row>
    <row r="550" spans="1:5">
      <c r="A550" s="73" t="s">
        <v>667</v>
      </c>
      <c r="B550">
        <v>20.38</v>
      </c>
      <c r="C550">
        <v>50.41</v>
      </c>
      <c r="D550" s="74">
        <f t="shared" si="16"/>
        <v>45793.093148148146</v>
      </c>
      <c r="E550" s="75">
        <f t="shared" si="17"/>
        <v>45793.093148148146</v>
      </c>
    </row>
    <row r="551" spans="1:5">
      <c r="A551" s="73" t="s">
        <v>668</v>
      </c>
      <c r="B551">
        <v>20.37</v>
      </c>
      <c r="C551">
        <v>50.47</v>
      </c>
      <c r="D551" s="74">
        <f t="shared" si="16"/>
        <v>45793.094548611109</v>
      </c>
      <c r="E551" s="75">
        <f t="shared" si="17"/>
        <v>45793.094548611109</v>
      </c>
    </row>
    <row r="552" spans="1:5">
      <c r="A552" s="73" t="s">
        <v>669</v>
      </c>
      <c r="B552">
        <v>20.39</v>
      </c>
      <c r="C552">
        <v>50.51</v>
      </c>
      <c r="D552" s="74">
        <f t="shared" si="16"/>
        <v>45793.095925925925</v>
      </c>
      <c r="E552" s="75">
        <f t="shared" si="17"/>
        <v>45793.095925925925</v>
      </c>
    </row>
    <row r="553" spans="1:5">
      <c r="A553" s="73" t="s">
        <v>670</v>
      </c>
      <c r="B553">
        <v>20.399999999999999</v>
      </c>
      <c r="C553">
        <v>50.49</v>
      </c>
      <c r="D553" s="74">
        <f t="shared" si="16"/>
        <v>45793.097326388888</v>
      </c>
      <c r="E553" s="75">
        <f t="shared" si="17"/>
        <v>45793.097326388888</v>
      </c>
    </row>
    <row r="554" spans="1:5">
      <c r="A554" s="73" t="s">
        <v>671</v>
      </c>
      <c r="B554">
        <v>20.39</v>
      </c>
      <c r="C554">
        <v>50.44</v>
      </c>
      <c r="D554" s="74">
        <f t="shared" si="16"/>
        <v>45793.098703703705</v>
      </c>
      <c r="E554" s="75">
        <f t="shared" si="17"/>
        <v>45793.098703703705</v>
      </c>
    </row>
    <row r="555" spans="1:5">
      <c r="A555" s="73" t="s">
        <v>672</v>
      </c>
      <c r="B555">
        <v>20.41</v>
      </c>
      <c r="C555">
        <v>50.4</v>
      </c>
      <c r="D555" s="74">
        <f t="shared" si="16"/>
        <v>45793.100104166668</v>
      </c>
      <c r="E555" s="75">
        <f t="shared" si="17"/>
        <v>45793.100104166668</v>
      </c>
    </row>
    <row r="556" spans="1:5">
      <c r="A556" s="73" t="s">
        <v>673</v>
      </c>
      <c r="B556">
        <v>20.39</v>
      </c>
      <c r="C556">
        <v>50.38</v>
      </c>
      <c r="D556" s="74">
        <f t="shared" si="16"/>
        <v>45793.101481481484</v>
      </c>
      <c r="E556" s="75">
        <f t="shared" si="17"/>
        <v>45793.101481481484</v>
      </c>
    </row>
    <row r="557" spans="1:5">
      <c r="A557" s="73" t="s">
        <v>674</v>
      </c>
      <c r="B557">
        <v>20.38</v>
      </c>
      <c r="C557">
        <v>50.44</v>
      </c>
      <c r="D557" s="74">
        <f t="shared" si="16"/>
        <v>45793.102870370371</v>
      </c>
      <c r="E557" s="75">
        <f t="shared" si="17"/>
        <v>45793.102870370371</v>
      </c>
    </row>
    <row r="558" spans="1:5">
      <c r="A558" s="73" t="s">
        <v>675</v>
      </c>
      <c r="B558">
        <v>20.38</v>
      </c>
      <c r="C558">
        <v>50.52</v>
      </c>
      <c r="D558" s="74">
        <f t="shared" si="16"/>
        <v>45793.104259259257</v>
      </c>
      <c r="E558" s="75">
        <f t="shared" si="17"/>
        <v>45793.104259259257</v>
      </c>
    </row>
    <row r="559" spans="1:5">
      <c r="A559" s="73" t="s">
        <v>676</v>
      </c>
      <c r="B559">
        <v>20.399999999999999</v>
      </c>
      <c r="C559">
        <v>50.51</v>
      </c>
      <c r="D559" s="74">
        <f t="shared" si="16"/>
        <v>45793.10565972222</v>
      </c>
      <c r="E559" s="75">
        <f t="shared" si="17"/>
        <v>45793.10565972222</v>
      </c>
    </row>
    <row r="560" spans="1:5">
      <c r="A560" s="73" t="s">
        <v>677</v>
      </c>
      <c r="B560">
        <v>20.420000000000002</v>
      </c>
      <c r="C560">
        <v>50.5</v>
      </c>
      <c r="D560" s="74">
        <f t="shared" si="16"/>
        <v>45793.107037037036</v>
      </c>
      <c r="E560" s="75">
        <f t="shared" si="17"/>
        <v>45793.107037037036</v>
      </c>
    </row>
    <row r="561" spans="1:5">
      <c r="A561" s="73" t="s">
        <v>678</v>
      </c>
      <c r="B561">
        <v>20.399999999999999</v>
      </c>
      <c r="C561">
        <v>50.45</v>
      </c>
      <c r="D561" s="74">
        <f t="shared" si="16"/>
        <v>45793.108437499999</v>
      </c>
      <c r="E561" s="75">
        <f t="shared" si="17"/>
        <v>45793.108437499999</v>
      </c>
    </row>
    <row r="562" spans="1:5">
      <c r="A562" s="73" t="s">
        <v>679</v>
      </c>
      <c r="B562">
        <v>20.399999999999999</v>
      </c>
      <c r="C562">
        <v>50.49</v>
      </c>
      <c r="D562" s="74">
        <f t="shared" si="16"/>
        <v>45793.109826388885</v>
      </c>
      <c r="E562" s="75">
        <f t="shared" si="17"/>
        <v>45793.109826388885</v>
      </c>
    </row>
    <row r="563" spans="1:5">
      <c r="A563" s="73" t="s">
        <v>680</v>
      </c>
      <c r="B563">
        <v>20.39</v>
      </c>
      <c r="C563">
        <v>50.55</v>
      </c>
      <c r="D563" s="74">
        <f t="shared" si="16"/>
        <v>45793.111215277779</v>
      </c>
      <c r="E563" s="75">
        <f t="shared" si="17"/>
        <v>45793.111215277779</v>
      </c>
    </row>
    <row r="564" spans="1:5">
      <c r="A564" s="73" t="s">
        <v>681</v>
      </c>
      <c r="B564">
        <v>20.41</v>
      </c>
      <c r="C564">
        <v>50.58</v>
      </c>
      <c r="D564" s="74">
        <f t="shared" si="16"/>
        <v>45793.112592592595</v>
      </c>
      <c r="E564" s="75">
        <f t="shared" si="17"/>
        <v>45793.112592592595</v>
      </c>
    </row>
    <row r="565" spans="1:5">
      <c r="A565" s="73" t="s">
        <v>682</v>
      </c>
      <c r="B565">
        <v>20.41</v>
      </c>
      <c r="C565">
        <v>50.62</v>
      </c>
      <c r="D565" s="74">
        <f t="shared" si="16"/>
        <v>45793.113993055558</v>
      </c>
      <c r="E565" s="75">
        <f t="shared" si="17"/>
        <v>45793.113993055558</v>
      </c>
    </row>
    <row r="566" spans="1:5">
      <c r="A566" s="73" t="s">
        <v>683</v>
      </c>
      <c r="B566">
        <v>20.41</v>
      </c>
      <c r="C566">
        <v>50.58</v>
      </c>
      <c r="D566" s="74">
        <f t="shared" si="16"/>
        <v>45793.115381944444</v>
      </c>
      <c r="E566" s="75">
        <f t="shared" si="17"/>
        <v>45793.115381944444</v>
      </c>
    </row>
    <row r="567" spans="1:5">
      <c r="A567" s="73" t="s">
        <v>684</v>
      </c>
      <c r="B567">
        <v>20.420000000000002</v>
      </c>
      <c r="C567">
        <v>50.56</v>
      </c>
      <c r="D567" s="74">
        <f t="shared" si="16"/>
        <v>45793.116770833331</v>
      </c>
      <c r="E567" s="75">
        <f t="shared" si="17"/>
        <v>45793.116770833331</v>
      </c>
    </row>
    <row r="568" spans="1:5">
      <c r="A568" s="73" t="s">
        <v>685</v>
      </c>
      <c r="B568">
        <v>20.41</v>
      </c>
      <c r="C568">
        <v>50.62</v>
      </c>
      <c r="D568" s="74">
        <f t="shared" si="16"/>
        <v>45793.118148148147</v>
      </c>
      <c r="E568" s="75">
        <f t="shared" si="17"/>
        <v>45793.118148148147</v>
      </c>
    </row>
    <row r="569" spans="1:5">
      <c r="A569" s="73" t="s">
        <v>686</v>
      </c>
      <c r="B569">
        <v>20.399999999999999</v>
      </c>
      <c r="C569">
        <v>50.71</v>
      </c>
      <c r="D569" s="74">
        <f t="shared" si="16"/>
        <v>45793.11954861111</v>
      </c>
      <c r="E569" s="75">
        <f t="shared" si="17"/>
        <v>45793.11954861111</v>
      </c>
    </row>
    <row r="570" spans="1:5">
      <c r="A570" s="73" t="s">
        <v>687</v>
      </c>
      <c r="B570">
        <v>20.399999999999999</v>
      </c>
      <c r="C570">
        <v>50.74</v>
      </c>
      <c r="D570" s="74">
        <f t="shared" si="16"/>
        <v>45793.120937500003</v>
      </c>
      <c r="E570" s="75">
        <f t="shared" si="17"/>
        <v>45793.120937500003</v>
      </c>
    </row>
    <row r="571" spans="1:5">
      <c r="A571" s="73" t="s">
        <v>688</v>
      </c>
      <c r="B571">
        <v>20.399999999999999</v>
      </c>
      <c r="C571">
        <v>50.74</v>
      </c>
      <c r="D571" s="74">
        <f t="shared" si="16"/>
        <v>45793.12232638889</v>
      </c>
      <c r="E571" s="75">
        <f t="shared" si="17"/>
        <v>45793.12232638889</v>
      </c>
    </row>
    <row r="572" spans="1:5">
      <c r="A572" s="73" t="s">
        <v>689</v>
      </c>
      <c r="B572">
        <v>20.420000000000002</v>
      </c>
      <c r="C572">
        <v>50.74</v>
      </c>
      <c r="D572" s="74">
        <f t="shared" si="16"/>
        <v>45793.123703703706</v>
      </c>
      <c r="E572" s="75">
        <f t="shared" si="17"/>
        <v>45793.123703703706</v>
      </c>
    </row>
    <row r="573" spans="1:5">
      <c r="A573" s="73" t="s">
        <v>690</v>
      </c>
      <c r="B573">
        <v>20.399999999999999</v>
      </c>
      <c r="C573">
        <v>50.76</v>
      </c>
      <c r="D573" s="74">
        <f t="shared" si="16"/>
        <v>45793.125104166669</v>
      </c>
      <c r="E573" s="75">
        <f t="shared" si="17"/>
        <v>45793.125104166669</v>
      </c>
    </row>
    <row r="574" spans="1:5">
      <c r="A574" s="73" t="s">
        <v>691</v>
      </c>
      <c r="B574">
        <v>20.399999999999999</v>
      </c>
      <c r="C574">
        <v>50.81</v>
      </c>
      <c r="D574" s="74">
        <f t="shared" si="16"/>
        <v>45793.126493055555</v>
      </c>
      <c r="E574" s="75">
        <f t="shared" si="17"/>
        <v>45793.126493055555</v>
      </c>
    </row>
    <row r="575" spans="1:5">
      <c r="A575" s="73" t="s">
        <v>692</v>
      </c>
      <c r="B575">
        <v>20.39</v>
      </c>
      <c r="C575">
        <v>50.88</v>
      </c>
      <c r="D575" s="74">
        <f t="shared" si="16"/>
        <v>45793.127881944441</v>
      </c>
      <c r="E575" s="75">
        <f t="shared" si="17"/>
        <v>45793.127881944441</v>
      </c>
    </row>
    <row r="576" spans="1:5">
      <c r="A576" s="73" t="s">
        <v>693</v>
      </c>
      <c r="B576">
        <v>20.399999999999999</v>
      </c>
      <c r="C576">
        <v>50.95</v>
      </c>
      <c r="D576" s="74">
        <f t="shared" si="16"/>
        <v>45793.129259259258</v>
      </c>
      <c r="E576" s="75">
        <f t="shared" si="17"/>
        <v>45793.129259259258</v>
      </c>
    </row>
    <row r="577" spans="1:5">
      <c r="A577" s="73" t="s">
        <v>694</v>
      </c>
      <c r="B577">
        <v>20.399999999999999</v>
      </c>
      <c r="C577">
        <v>50.9</v>
      </c>
      <c r="D577" s="74">
        <f t="shared" si="16"/>
        <v>45793.130659722221</v>
      </c>
      <c r="E577" s="75">
        <f t="shared" si="17"/>
        <v>45793.130659722221</v>
      </c>
    </row>
    <row r="578" spans="1:5">
      <c r="A578" s="73" t="s">
        <v>695</v>
      </c>
      <c r="B578">
        <v>20.41</v>
      </c>
      <c r="C578">
        <v>50.85</v>
      </c>
      <c r="D578" s="74">
        <f t="shared" si="16"/>
        <v>45793.132037037038</v>
      </c>
      <c r="E578" s="75">
        <f t="shared" si="17"/>
        <v>45793.132037037038</v>
      </c>
    </row>
    <row r="579" spans="1:5">
      <c r="A579" s="73" t="s">
        <v>696</v>
      </c>
      <c r="B579">
        <v>20.420000000000002</v>
      </c>
      <c r="C579">
        <v>50.87</v>
      </c>
      <c r="D579" s="74">
        <f t="shared" ref="D579:D642" si="18">A579+12/24</f>
        <v>45793.133437500001</v>
      </c>
      <c r="E579" s="75">
        <f t="shared" ref="E579:E642" si="19">D579</f>
        <v>45793.133437500001</v>
      </c>
    </row>
    <row r="580" spans="1:5">
      <c r="A580" s="73" t="s">
        <v>697</v>
      </c>
      <c r="B580">
        <v>20.38</v>
      </c>
      <c r="C580">
        <v>50.97</v>
      </c>
      <c r="D580" s="74">
        <f t="shared" si="18"/>
        <v>45793.134814814817</v>
      </c>
      <c r="E580" s="75">
        <f t="shared" si="19"/>
        <v>45793.134814814817</v>
      </c>
    </row>
    <row r="581" spans="1:5">
      <c r="A581" s="73" t="s">
        <v>698</v>
      </c>
      <c r="B581">
        <v>20.399999999999999</v>
      </c>
      <c r="C581">
        <v>51</v>
      </c>
      <c r="D581" s="74">
        <f t="shared" si="18"/>
        <v>45793.13621527778</v>
      </c>
      <c r="E581" s="75">
        <f t="shared" si="19"/>
        <v>45793.13621527778</v>
      </c>
    </row>
    <row r="582" spans="1:5">
      <c r="A582" s="73" t="s">
        <v>699</v>
      </c>
      <c r="B582">
        <v>20.41</v>
      </c>
      <c r="C582">
        <v>50.99</v>
      </c>
      <c r="D582" s="74">
        <f t="shared" si="18"/>
        <v>45793.137604166666</v>
      </c>
      <c r="E582" s="75">
        <f t="shared" si="19"/>
        <v>45793.137604166666</v>
      </c>
    </row>
    <row r="583" spans="1:5">
      <c r="A583" s="73" t="s">
        <v>700</v>
      </c>
      <c r="B583">
        <v>20.420000000000002</v>
      </c>
      <c r="C583">
        <v>50.93</v>
      </c>
      <c r="D583" s="74">
        <f t="shared" si="18"/>
        <v>45793.138993055552</v>
      </c>
      <c r="E583" s="75">
        <f t="shared" si="19"/>
        <v>45793.138993055552</v>
      </c>
    </row>
    <row r="584" spans="1:5">
      <c r="A584" s="73" t="s">
        <v>701</v>
      </c>
      <c r="B584">
        <v>20.43</v>
      </c>
      <c r="C584">
        <v>50.88</v>
      </c>
      <c r="D584" s="74">
        <f t="shared" si="18"/>
        <v>45793.140370370369</v>
      </c>
      <c r="E584" s="75">
        <f t="shared" si="19"/>
        <v>45793.140370370369</v>
      </c>
    </row>
    <row r="585" spans="1:5">
      <c r="A585" s="73" t="s">
        <v>702</v>
      </c>
      <c r="B585">
        <v>20.399999999999999</v>
      </c>
      <c r="C585">
        <v>50.91</v>
      </c>
      <c r="D585" s="74">
        <f t="shared" si="18"/>
        <v>45793.141770833332</v>
      </c>
      <c r="E585" s="75">
        <f t="shared" si="19"/>
        <v>45793.141770833332</v>
      </c>
    </row>
    <row r="586" spans="1:5">
      <c r="A586" s="73" t="s">
        <v>703</v>
      </c>
      <c r="B586">
        <v>20.399999999999999</v>
      </c>
      <c r="C586">
        <v>50.96</v>
      </c>
      <c r="D586" s="74">
        <f t="shared" si="18"/>
        <v>45793.143148148149</v>
      </c>
      <c r="E586" s="75">
        <f t="shared" si="19"/>
        <v>45793.143148148149</v>
      </c>
    </row>
    <row r="587" spans="1:5">
      <c r="A587" s="73" t="s">
        <v>704</v>
      </c>
      <c r="B587">
        <v>20.41</v>
      </c>
      <c r="C587">
        <v>50.95</v>
      </c>
      <c r="D587" s="74">
        <f t="shared" si="18"/>
        <v>45793.144537037035</v>
      </c>
      <c r="E587" s="75">
        <f t="shared" si="19"/>
        <v>45793.144537037035</v>
      </c>
    </row>
    <row r="588" spans="1:5">
      <c r="A588" s="73" t="s">
        <v>705</v>
      </c>
      <c r="B588">
        <v>20.399999999999999</v>
      </c>
      <c r="C588">
        <v>50.89</v>
      </c>
      <c r="D588" s="74">
        <f t="shared" si="18"/>
        <v>45793.145925925928</v>
      </c>
      <c r="E588" s="75">
        <f t="shared" si="19"/>
        <v>45793.145925925928</v>
      </c>
    </row>
    <row r="589" spans="1:5">
      <c r="A589" s="73" t="s">
        <v>706</v>
      </c>
      <c r="B589">
        <v>20.41</v>
      </c>
      <c r="C589">
        <v>50.82</v>
      </c>
      <c r="D589" s="74">
        <f t="shared" si="18"/>
        <v>45793.147326388891</v>
      </c>
      <c r="E589" s="75">
        <f t="shared" si="19"/>
        <v>45793.147326388891</v>
      </c>
    </row>
    <row r="590" spans="1:5">
      <c r="A590" s="73" t="s">
        <v>707</v>
      </c>
      <c r="B590">
        <v>20.41</v>
      </c>
      <c r="C590">
        <v>50.78</v>
      </c>
      <c r="D590" s="74">
        <f t="shared" si="18"/>
        <v>45793.1487037037</v>
      </c>
      <c r="E590" s="75">
        <f t="shared" si="19"/>
        <v>45793.1487037037</v>
      </c>
    </row>
    <row r="591" spans="1:5">
      <c r="A591" s="73" t="s">
        <v>708</v>
      </c>
      <c r="B591">
        <v>20.41</v>
      </c>
      <c r="C591">
        <v>50.82</v>
      </c>
      <c r="D591" s="74">
        <f t="shared" si="18"/>
        <v>45793.150104166663</v>
      </c>
      <c r="E591" s="75">
        <f t="shared" si="19"/>
        <v>45793.150104166663</v>
      </c>
    </row>
    <row r="592" spans="1:5">
      <c r="A592" s="73" t="s">
        <v>709</v>
      </c>
      <c r="B592">
        <v>20.399999999999999</v>
      </c>
      <c r="C592">
        <v>50.83</v>
      </c>
      <c r="D592" s="74">
        <f t="shared" si="18"/>
        <v>45793.151493055557</v>
      </c>
      <c r="E592" s="75">
        <f t="shared" si="19"/>
        <v>45793.151493055557</v>
      </c>
    </row>
    <row r="593" spans="1:5">
      <c r="A593" s="73" t="s">
        <v>710</v>
      </c>
      <c r="B593">
        <v>20.399999999999999</v>
      </c>
      <c r="C593">
        <v>50.82</v>
      </c>
      <c r="D593" s="74">
        <f t="shared" si="18"/>
        <v>45793.152881944443</v>
      </c>
      <c r="E593" s="75">
        <f t="shared" si="19"/>
        <v>45793.152881944443</v>
      </c>
    </row>
    <row r="594" spans="1:5">
      <c r="A594" s="73" t="s">
        <v>711</v>
      </c>
      <c r="B594">
        <v>20.41</v>
      </c>
      <c r="C594">
        <v>50.8</v>
      </c>
      <c r="D594" s="74">
        <f t="shared" si="18"/>
        <v>45793.15425925926</v>
      </c>
      <c r="E594" s="75">
        <f t="shared" si="19"/>
        <v>45793.15425925926</v>
      </c>
    </row>
    <row r="595" spans="1:5">
      <c r="A595" s="73" t="s">
        <v>712</v>
      </c>
      <c r="B595">
        <v>20.420000000000002</v>
      </c>
      <c r="C595">
        <v>50.71</v>
      </c>
      <c r="D595" s="74">
        <f t="shared" si="18"/>
        <v>45793.155659722222</v>
      </c>
      <c r="E595" s="75">
        <f t="shared" si="19"/>
        <v>45793.155659722222</v>
      </c>
    </row>
    <row r="596" spans="1:5">
      <c r="A596" s="73" t="s">
        <v>713</v>
      </c>
      <c r="B596">
        <v>20.399999999999999</v>
      </c>
      <c r="C596">
        <v>50.67</v>
      </c>
      <c r="D596" s="74">
        <f t="shared" si="18"/>
        <v>45793.157037037039</v>
      </c>
      <c r="E596" s="75">
        <f t="shared" si="19"/>
        <v>45793.157037037039</v>
      </c>
    </row>
    <row r="597" spans="1:5">
      <c r="A597" s="73" t="s">
        <v>714</v>
      </c>
      <c r="B597">
        <v>20.39</v>
      </c>
      <c r="C597">
        <v>50.73</v>
      </c>
      <c r="D597" s="74">
        <f t="shared" si="18"/>
        <v>45793.158425925925</v>
      </c>
      <c r="E597" s="75">
        <f t="shared" si="19"/>
        <v>45793.158425925925</v>
      </c>
    </row>
    <row r="598" spans="1:5">
      <c r="A598" s="73" t="s">
        <v>715</v>
      </c>
      <c r="B598">
        <v>20.41</v>
      </c>
      <c r="C598">
        <v>50.77</v>
      </c>
      <c r="D598" s="74">
        <f t="shared" si="18"/>
        <v>45793.159814814811</v>
      </c>
      <c r="E598" s="75">
        <f t="shared" si="19"/>
        <v>45793.159814814811</v>
      </c>
    </row>
    <row r="599" spans="1:5">
      <c r="A599" s="73" t="s">
        <v>716</v>
      </c>
      <c r="B599">
        <v>20.420000000000002</v>
      </c>
      <c r="C599">
        <v>50.73</v>
      </c>
      <c r="D599" s="74">
        <f t="shared" si="18"/>
        <v>45793.161215277774</v>
      </c>
      <c r="E599" s="75">
        <f t="shared" si="19"/>
        <v>45793.161215277774</v>
      </c>
    </row>
    <row r="600" spans="1:5">
      <c r="A600" s="73" t="s">
        <v>717</v>
      </c>
      <c r="B600">
        <v>20.41</v>
      </c>
      <c r="C600">
        <v>50.71</v>
      </c>
      <c r="D600" s="74">
        <f t="shared" si="18"/>
        <v>45793.162592592591</v>
      </c>
      <c r="E600" s="75">
        <f t="shared" si="19"/>
        <v>45793.162592592591</v>
      </c>
    </row>
    <row r="601" spans="1:5">
      <c r="A601" s="73" t="s">
        <v>718</v>
      </c>
      <c r="B601">
        <v>20.420000000000002</v>
      </c>
      <c r="C601">
        <v>50.63</v>
      </c>
      <c r="D601" s="74">
        <f t="shared" si="18"/>
        <v>45793.163993055554</v>
      </c>
      <c r="E601" s="75">
        <f t="shared" si="19"/>
        <v>45793.163993055554</v>
      </c>
    </row>
    <row r="602" spans="1:5">
      <c r="A602" s="73" t="s">
        <v>719</v>
      </c>
      <c r="B602">
        <v>20.41</v>
      </c>
      <c r="C602">
        <v>50.61</v>
      </c>
      <c r="D602" s="74">
        <f t="shared" si="18"/>
        <v>45793.165370370371</v>
      </c>
      <c r="E602" s="75">
        <f t="shared" si="19"/>
        <v>45793.165370370371</v>
      </c>
    </row>
    <row r="603" spans="1:5">
      <c r="A603" s="73" t="s">
        <v>720</v>
      </c>
      <c r="B603">
        <v>20.39</v>
      </c>
      <c r="C603">
        <v>50.66</v>
      </c>
      <c r="D603" s="74">
        <f t="shared" si="18"/>
        <v>45793.166770833333</v>
      </c>
      <c r="E603" s="75">
        <f t="shared" si="19"/>
        <v>45793.166770833333</v>
      </c>
    </row>
    <row r="604" spans="1:5">
      <c r="A604" s="73" t="s">
        <v>721</v>
      </c>
      <c r="B604">
        <v>20.38</v>
      </c>
      <c r="C604">
        <v>50.71</v>
      </c>
      <c r="D604" s="74">
        <f t="shared" si="18"/>
        <v>45793.16814814815</v>
      </c>
      <c r="E604" s="75">
        <f t="shared" si="19"/>
        <v>45793.16814814815</v>
      </c>
    </row>
    <row r="605" spans="1:5">
      <c r="A605" s="73" t="s">
        <v>722</v>
      </c>
      <c r="B605">
        <v>20.420000000000002</v>
      </c>
      <c r="C605">
        <v>50.7</v>
      </c>
      <c r="D605" s="74">
        <f t="shared" si="18"/>
        <v>45793.169548611113</v>
      </c>
      <c r="E605" s="75">
        <f t="shared" si="19"/>
        <v>45793.169548611113</v>
      </c>
    </row>
    <row r="606" spans="1:5">
      <c r="A606" s="73" t="s">
        <v>723</v>
      </c>
      <c r="B606">
        <v>20.420000000000002</v>
      </c>
      <c r="C606">
        <v>50.65</v>
      </c>
      <c r="D606" s="74">
        <f t="shared" si="18"/>
        <v>45793.170937499999</v>
      </c>
      <c r="E606" s="75">
        <f t="shared" si="19"/>
        <v>45793.170937499999</v>
      </c>
    </row>
    <row r="607" spans="1:5">
      <c r="A607" s="73" t="s">
        <v>724</v>
      </c>
      <c r="B607">
        <v>20.43</v>
      </c>
      <c r="C607">
        <v>50.59</v>
      </c>
      <c r="D607" s="74">
        <f t="shared" si="18"/>
        <v>45793.172326388885</v>
      </c>
      <c r="E607" s="75">
        <f t="shared" si="19"/>
        <v>45793.172326388885</v>
      </c>
    </row>
    <row r="608" spans="1:5">
      <c r="A608" s="73" t="s">
        <v>725</v>
      </c>
      <c r="B608">
        <v>20.399999999999999</v>
      </c>
      <c r="C608">
        <v>50.63</v>
      </c>
      <c r="D608" s="74">
        <f t="shared" si="18"/>
        <v>45793.173703703702</v>
      </c>
      <c r="E608" s="75">
        <f t="shared" si="19"/>
        <v>45793.173703703702</v>
      </c>
    </row>
    <row r="609" spans="1:5">
      <c r="A609" s="73" t="s">
        <v>726</v>
      </c>
      <c r="B609">
        <v>20.420000000000002</v>
      </c>
      <c r="C609">
        <v>50.71</v>
      </c>
      <c r="D609" s="74">
        <f t="shared" si="18"/>
        <v>45793.175104166665</v>
      </c>
      <c r="E609" s="75">
        <f t="shared" si="19"/>
        <v>45793.175104166665</v>
      </c>
    </row>
    <row r="610" spans="1:5">
      <c r="A610" s="73" t="s">
        <v>727</v>
      </c>
      <c r="B610">
        <v>20.420000000000002</v>
      </c>
      <c r="C610">
        <v>50.7</v>
      </c>
      <c r="D610" s="74">
        <f t="shared" si="18"/>
        <v>45793.176481481481</v>
      </c>
      <c r="E610" s="75">
        <f t="shared" si="19"/>
        <v>45793.176481481481</v>
      </c>
    </row>
    <row r="611" spans="1:5">
      <c r="A611" s="73" t="s">
        <v>728</v>
      </c>
      <c r="B611">
        <v>20.43</v>
      </c>
      <c r="C611">
        <v>50.66</v>
      </c>
      <c r="D611" s="74">
        <f t="shared" si="18"/>
        <v>45793.177870370368</v>
      </c>
      <c r="E611" s="75">
        <f t="shared" si="19"/>
        <v>45793.177870370368</v>
      </c>
    </row>
    <row r="612" spans="1:5">
      <c r="A612" s="73" t="s">
        <v>729</v>
      </c>
      <c r="B612">
        <v>20.420000000000002</v>
      </c>
      <c r="C612">
        <v>50.59</v>
      </c>
      <c r="D612" s="74">
        <f t="shared" si="18"/>
        <v>45793.179259259261</v>
      </c>
      <c r="E612" s="75">
        <f t="shared" si="19"/>
        <v>45793.179259259261</v>
      </c>
    </row>
    <row r="613" spans="1:5">
      <c r="A613" s="73" t="s">
        <v>730</v>
      </c>
      <c r="B613">
        <v>20.420000000000002</v>
      </c>
      <c r="C613">
        <v>50.58</v>
      </c>
      <c r="D613" s="74">
        <f t="shared" si="18"/>
        <v>45793.180659722224</v>
      </c>
      <c r="E613" s="75">
        <f t="shared" si="19"/>
        <v>45793.180659722224</v>
      </c>
    </row>
    <row r="614" spans="1:5">
      <c r="A614" s="73" t="s">
        <v>731</v>
      </c>
      <c r="B614">
        <v>20.399999999999999</v>
      </c>
      <c r="C614">
        <v>50.66</v>
      </c>
      <c r="D614" s="74">
        <f t="shared" si="18"/>
        <v>45793.182037037041</v>
      </c>
      <c r="E614" s="75">
        <f t="shared" si="19"/>
        <v>45793.182037037041</v>
      </c>
    </row>
    <row r="615" spans="1:5">
      <c r="A615" s="73" t="s">
        <v>732</v>
      </c>
      <c r="B615">
        <v>20.39</v>
      </c>
      <c r="C615">
        <v>50.72</v>
      </c>
      <c r="D615" s="74">
        <f t="shared" si="18"/>
        <v>45793.183437500003</v>
      </c>
      <c r="E615" s="75">
        <f t="shared" si="19"/>
        <v>45793.183437500003</v>
      </c>
    </row>
    <row r="616" spans="1:5">
      <c r="A616" s="73" t="s">
        <v>733</v>
      </c>
      <c r="B616">
        <v>20.41</v>
      </c>
      <c r="C616">
        <v>50.71</v>
      </c>
      <c r="D616" s="74">
        <f t="shared" si="18"/>
        <v>45793.184814814813</v>
      </c>
      <c r="E616" s="75">
        <f t="shared" si="19"/>
        <v>45793.184814814813</v>
      </c>
    </row>
    <row r="617" spans="1:5">
      <c r="A617" s="73" t="s">
        <v>734</v>
      </c>
      <c r="B617">
        <v>20.43</v>
      </c>
      <c r="C617">
        <v>50.66</v>
      </c>
      <c r="D617" s="74">
        <f t="shared" si="18"/>
        <v>45793.186203703706</v>
      </c>
      <c r="E617" s="75">
        <f t="shared" si="19"/>
        <v>45793.186203703706</v>
      </c>
    </row>
    <row r="618" spans="1:5">
      <c r="A618" s="73" t="s">
        <v>735</v>
      </c>
      <c r="B618">
        <v>20.420000000000002</v>
      </c>
      <c r="C618">
        <v>50.59</v>
      </c>
      <c r="D618" s="74">
        <f t="shared" si="18"/>
        <v>45793.187592592592</v>
      </c>
      <c r="E618" s="75">
        <f t="shared" si="19"/>
        <v>45793.187592592592</v>
      </c>
    </row>
    <row r="619" spans="1:5">
      <c r="A619" s="73" t="s">
        <v>736</v>
      </c>
      <c r="B619">
        <v>20.39</v>
      </c>
      <c r="C619">
        <v>50.57</v>
      </c>
      <c r="D619" s="74">
        <f t="shared" si="18"/>
        <v>45793.188993055555</v>
      </c>
      <c r="E619" s="75">
        <f t="shared" si="19"/>
        <v>45793.188993055555</v>
      </c>
    </row>
    <row r="620" spans="1:5">
      <c r="A620" s="73" t="s">
        <v>737</v>
      </c>
      <c r="B620">
        <v>20.38</v>
      </c>
      <c r="C620">
        <v>50.67</v>
      </c>
      <c r="D620" s="74">
        <f t="shared" si="18"/>
        <v>45793.190370370372</v>
      </c>
      <c r="E620" s="75">
        <f t="shared" si="19"/>
        <v>45793.190370370372</v>
      </c>
    </row>
    <row r="621" spans="1:5">
      <c r="A621" s="73" t="s">
        <v>738</v>
      </c>
      <c r="B621">
        <v>20.37</v>
      </c>
      <c r="C621">
        <v>50.7</v>
      </c>
      <c r="D621" s="74">
        <f t="shared" si="18"/>
        <v>45793.191770833335</v>
      </c>
      <c r="E621" s="75">
        <f t="shared" si="19"/>
        <v>45793.191770833335</v>
      </c>
    </row>
    <row r="622" spans="1:5">
      <c r="A622" s="73" t="s">
        <v>739</v>
      </c>
      <c r="B622">
        <v>20.399999999999999</v>
      </c>
      <c r="C622">
        <v>50.7</v>
      </c>
      <c r="D622" s="74">
        <f t="shared" si="18"/>
        <v>45793.193148148152</v>
      </c>
      <c r="E622" s="75">
        <f t="shared" si="19"/>
        <v>45793.193148148152</v>
      </c>
    </row>
    <row r="623" spans="1:5">
      <c r="A623" s="73" t="s">
        <v>740</v>
      </c>
      <c r="B623">
        <v>20.41</v>
      </c>
      <c r="C623">
        <v>50.63</v>
      </c>
      <c r="D623" s="74">
        <f t="shared" si="18"/>
        <v>45793.194537037038</v>
      </c>
      <c r="E623" s="75">
        <f t="shared" si="19"/>
        <v>45793.194537037038</v>
      </c>
    </row>
    <row r="624" spans="1:5">
      <c r="A624" s="73" t="s">
        <v>741</v>
      </c>
      <c r="B624">
        <v>20.399999999999999</v>
      </c>
      <c r="C624">
        <v>50.6</v>
      </c>
      <c r="D624" s="74">
        <f t="shared" si="18"/>
        <v>45793.195925925924</v>
      </c>
      <c r="E624" s="75">
        <f t="shared" si="19"/>
        <v>45793.195925925924</v>
      </c>
    </row>
    <row r="625" spans="1:5">
      <c r="A625" s="73" t="s">
        <v>742</v>
      </c>
      <c r="B625">
        <v>20.39</v>
      </c>
      <c r="C625">
        <v>50.62</v>
      </c>
      <c r="D625" s="74">
        <f t="shared" si="18"/>
        <v>45793.197326388887</v>
      </c>
      <c r="E625" s="75">
        <f t="shared" si="19"/>
        <v>45793.197326388887</v>
      </c>
    </row>
    <row r="626" spans="1:5">
      <c r="A626" s="73" t="s">
        <v>743</v>
      </c>
      <c r="B626">
        <v>20.399999999999999</v>
      </c>
      <c r="C626">
        <v>50.67</v>
      </c>
      <c r="D626" s="74">
        <f t="shared" si="18"/>
        <v>45793.198703703703</v>
      </c>
      <c r="E626" s="75">
        <f t="shared" si="19"/>
        <v>45793.198703703703</v>
      </c>
    </row>
    <row r="627" spans="1:5">
      <c r="A627" s="73" t="s">
        <v>744</v>
      </c>
      <c r="B627">
        <v>20.399999999999999</v>
      </c>
      <c r="C627">
        <v>50.67</v>
      </c>
      <c r="D627" s="74">
        <f t="shared" si="18"/>
        <v>45793.200092592589</v>
      </c>
      <c r="E627" s="75">
        <f t="shared" si="19"/>
        <v>45793.200092592589</v>
      </c>
    </row>
    <row r="628" spans="1:5">
      <c r="A628" s="73" t="s">
        <v>745</v>
      </c>
      <c r="B628">
        <v>20.420000000000002</v>
      </c>
      <c r="C628">
        <v>50.64</v>
      </c>
      <c r="D628" s="74">
        <f t="shared" si="18"/>
        <v>45793.201481481483</v>
      </c>
      <c r="E628" s="75">
        <f t="shared" si="19"/>
        <v>45793.201481481483</v>
      </c>
    </row>
    <row r="629" spans="1:5">
      <c r="A629" s="73" t="s">
        <v>746</v>
      </c>
      <c r="B629">
        <v>20.39</v>
      </c>
      <c r="C629">
        <v>50.62</v>
      </c>
      <c r="D629" s="74">
        <f t="shared" si="18"/>
        <v>45793.202881944446</v>
      </c>
      <c r="E629" s="75">
        <f t="shared" si="19"/>
        <v>45793.202881944446</v>
      </c>
    </row>
    <row r="630" spans="1:5">
      <c r="A630" s="73" t="s">
        <v>747</v>
      </c>
      <c r="B630">
        <v>20.41</v>
      </c>
      <c r="C630">
        <v>50.56</v>
      </c>
      <c r="D630" s="74">
        <f t="shared" si="18"/>
        <v>45793.204259259262</v>
      </c>
      <c r="E630" s="75">
        <f t="shared" si="19"/>
        <v>45793.204259259262</v>
      </c>
    </row>
    <row r="631" spans="1:5">
      <c r="A631" s="73" t="s">
        <v>748</v>
      </c>
      <c r="B631">
        <v>20.41</v>
      </c>
      <c r="C631">
        <v>50.58</v>
      </c>
      <c r="D631" s="74">
        <f t="shared" si="18"/>
        <v>45793.205659722225</v>
      </c>
      <c r="E631" s="75">
        <f t="shared" si="19"/>
        <v>45793.205659722225</v>
      </c>
    </row>
    <row r="632" spans="1:5">
      <c r="A632" s="73" t="s">
        <v>749</v>
      </c>
      <c r="B632">
        <v>20.399999999999999</v>
      </c>
      <c r="C632">
        <v>50.62</v>
      </c>
      <c r="D632" s="74">
        <f t="shared" si="18"/>
        <v>45793.207037037035</v>
      </c>
      <c r="E632" s="75">
        <f t="shared" si="19"/>
        <v>45793.207037037035</v>
      </c>
    </row>
    <row r="633" spans="1:5">
      <c r="A633" s="73" t="s">
        <v>750</v>
      </c>
      <c r="B633">
        <v>20.399999999999999</v>
      </c>
      <c r="C633">
        <v>50.65</v>
      </c>
      <c r="D633" s="74">
        <f t="shared" si="18"/>
        <v>45793.208437499998</v>
      </c>
      <c r="E633" s="75">
        <f t="shared" si="19"/>
        <v>45793.208437499998</v>
      </c>
    </row>
    <row r="634" spans="1:5">
      <c r="A634" s="73" t="s">
        <v>751</v>
      </c>
      <c r="B634">
        <v>20.399999999999999</v>
      </c>
      <c r="C634">
        <v>50.6</v>
      </c>
      <c r="D634" s="74">
        <f t="shared" si="18"/>
        <v>45793.209814814814</v>
      </c>
      <c r="E634" s="75">
        <f t="shared" si="19"/>
        <v>45793.209814814814</v>
      </c>
    </row>
    <row r="635" spans="1:5">
      <c r="A635" s="73" t="s">
        <v>752</v>
      </c>
      <c r="B635">
        <v>20.399999999999999</v>
      </c>
      <c r="C635">
        <v>50.53</v>
      </c>
      <c r="D635" s="74">
        <f t="shared" si="18"/>
        <v>45793.211215277777</v>
      </c>
      <c r="E635" s="75">
        <f t="shared" si="19"/>
        <v>45793.211215277777</v>
      </c>
    </row>
    <row r="636" spans="1:5">
      <c r="A636" s="73" t="s">
        <v>753</v>
      </c>
      <c r="B636">
        <v>20.399999999999999</v>
      </c>
      <c r="C636">
        <v>50.55</v>
      </c>
      <c r="D636" s="74">
        <f t="shared" si="18"/>
        <v>45793.212604166663</v>
      </c>
      <c r="E636" s="75">
        <f t="shared" si="19"/>
        <v>45793.212604166663</v>
      </c>
    </row>
    <row r="637" spans="1:5">
      <c r="A637" s="73" t="s">
        <v>754</v>
      </c>
      <c r="B637">
        <v>20.39</v>
      </c>
      <c r="C637">
        <v>50.61</v>
      </c>
      <c r="D637" s="74">
        <f t="shared" si="18"/>
        <v>45793.213993055557</v>
      </c>
      <c r="E637" s="75">
        <f t="shared" si="19"/>
        <v>45793.213993055557</v>
      </c>
    </row>
    <row r="638" spans="1:5">
      <c r="A638" s="73" t="s">
        <v>755</v>
      </c>
      <c r="B638">
        <v>20.39</v>
      </c>
      <c r="C638">
        <v>50.6</v>
      </c>
      <c r="D638" s="74">
        <f t="shared" si="18"/>
        <v>45793.215370370373</v>
      </c>
      <c r="E638" s="75">
        <f t="shared" si="19"/>
        <v>45793.215370370373</v>
      </c>
    </row>
    <row r="639" spans="1:5">
      <c r="A639" s="73" t="s">
        <v>756</v>
      </c>
      <c r="B639">
        <v>20.41</v>
      </c>
      <c r="C639">
        <v>50.58</v>
      </c>
      <c r="D639" s="74">
        <f t="shared" si="18"/>
        <v>45793.216770833336</v>
      </c>
      <c r="E639" s="75">
        <f t="shared" si="19"/>
        <v>45793.216770833336</v>
      </c>
    </row>
    <row r="640" spans="1:5">
      <c r="A640" s="73" t="s">
        <v>757</v>
      </c>
      <c r="B640">
        <v>20.399999999999999</v>
      </c>
      <c r="C640">
        <v>50.49</v>
      </c>
      <c r="D640" s="74">
        <f t="shared" si="18"/>
        <v>45793.218159722222</v>
      </c>
      <c r="E640" s="75">
        <f t="shared" si="19"/>
        <v>45793.218159722222</v>
      </c>
    </row>
    <row r="641" spans="1:5">
      <c r="A641" s="73" t="s">
        <v>758</v>
      </c>
      <c r="B641">
        <v>20.399999999999999</v>
      </c>
      <c r="C641">
        <v>50.47</v>
      </c>
      <c r="D641" s="74">
        <f t="shared" si="18"/>
        <v>45793.219548611109</v>
      </c>
      <c r="E641" s="75">
        <f t="shared" si="19"/>
        <v>45793.219548611109</v>
      </c>
    </row>
    <row r="642" spans="1:5">
      <c r="A642" s="73" t="s">
        <v>759</v>
      </c>
      <c r="B642">
        <v>20.399999999999999</v>
      </c>
      <c r="C642">
        <v>50.52</v>
      </c>
      <c r="D642" s="74">
        <f t="shared" si="18"/>
        <v>45793.220925925925</v>
      </c>
      <c r="E642" s="75">
        <f t="shared" si="19"/>
        <v>45793.220925925925</v>
      </c>
    </row>
    <row r="643" spans="1:5">
      <c r="A643" s="73" t="s">
        <v>760</v>
      </c>
      <c r="B643">
        <v>20.399999999999999</v>
      </c>
      <c r="C643">
        <v>50.52</v>
      </c>
      <c r="D643" s="74">
        <f t="shared" ref="D643:D706" si="20">A643+12/24</f>
        <v>45793.222326388888</v>
      </c>
      <c r="E643" s="75">
        <f t="shared" ref="E643:E706" si="21">D643</f>
        <v>45793.222326388888</v>
      </c>
    </row>
    <row r="644" spans="1:5">
      <c r="A644" s="73" t="s">
        <v>761</v>
      </c>
      <c r="B644">
        <v>20.41</v>
      </c>
      <c r="C644">
        <v>50.49</v>
      </c>
      <c r="D644" s="74">
        <f t="shared" si="20"/>
        <v>45793.223703703705</v>
      </c>
      <c r="E644" s="75">
        <f t="shared" si="21"/>
        <v>45793.223703703705</v>
      </c>
    </row>
    <row r="645" spans="1:5">
      <c r="A645" s="73" t="s">
        <v>762</v>
      </c>
      <c r="B645">
        <v>20.420000000000002</v>
      </c>
      <c r="C645">
        <v>50.45</v>
      </c>
      <c r="D645" s="74">
        <f t="shared" si="20"/>
        <v>45793.225104166668</v>
      </c>
      <c r="E645" s="75">
        <f t="shared" si="21"/>
        <v>45793.225104166668</v>
      </c>
    </row>
    <row r="646" spans="1:5">
      <c r="A646" s="73" t="s">
        <v>763</v>
      </c>
      <c r="B646">
        <v>20.41</v>
      </c>
      <c r="C646">
        <v>50.37</v>
      </c>
      <c r="D646" s="74">
        <f t="shared" si="20"/>
        <v>45793.226481481484</v>
      </c>
      <c r="E646" s="75">
        <f t="shared" si="21"/>
        <v>45793.226481481484</v>
      </c>
    </row>
    <row r="647" spans="1:5">
      <c r="A647" s="73" t="s">
        <v>764</v>
      </c>
      <c r="B647">
        <v>20.399999999999999</v>
      </c>
      <c r="C647">
        <v>50.41</v>
      </c>
      <c r="D647" s="74">
        <f t="shared" si="20"/>
        <v>45793.227881944447</v>
      </c>
      <c r="E647" s="75">
        <f t="shared" si="21"/>
        <v>45793.227881944447</v>
      </c>
    </row>
    <row r="648" spans="1:5">
      <c r="A648" s="73" t="s">
        <v>765</v>
      </c>
      <c r="B648">
        <v>20.399999999999999</v>
      </c>
      <c r="C648">
        <v>50.47</v>
      </c>
      <c r="D648" s="74">
        <f t="shared" si="20"/>
        <v>45793.229259259257</v>
      </c>
      <c r="E648" s="75">
        <f t="shared" si="21"/>
        <v>45793.229259259257</v>
      </c>
    </row>
    <row r="649" spans="1:5">
      <c r="A649" s="73" t="s">
        <v>766</v>
      </c>
      <c r="B649">
        <v>20.399999999999999</v>
      </c>
      <c r="C649">
        <v>50.49</v>
      </c>
      <c r="D649" s="74">
        <f t="shared" si="20"/>
        <v>45793.23064814815</v>
      </c>
      <c r="E649" s="75">
        <f t="shared" si="21"/>
        <v>45793.23064814815</v>
      </c>
    </row>
    <row r="650" spans="1:5">
      <c r="A650" s="73" t="s">
        <v>767</v>
      </c>
      <c r="B650">
        <v>20.399999999999999</v>
      </c>
      <c r="C650">
        <v>50.49</v>
      </c>
      <c r="D650" s="74">
        <f t="shared" si="20"/>
        <v>45793.232037037036</v>
      </c>
      <c r="E650" s="75">
        <f t="shared" si="21"/>
        <v>45793.232037037036</v>
      </c>
    </row>
    <row r="651" spans="1:5">
      <c r="A651" s="73" t="s">
        <v>768</v>
      </c>
      <c r="B651">
        <v>20.41</v>
      </c>
      <c r="C651">
        <v>50.46</v>
      </c>
      <c r="D651" s="74">
        <f t="shared" si="20"/>
        <v>45793.233437499999</v>
      </c>
      <c r="E651" s="75">
        <f t="shared" si="21"/>
        <v>45793.233437499999</v>
      </c>
    </row>
    <row r="652" spans="1:5">
      <c r="A652" s="73" t="s">
        <v>769</v>
      </c>
      <c r="B652">
        <v>20.399999999999999</v>
      </c>
      <c r="C652">
        <v>50.39</v>
      </c>
      <c r="D652" s="74">
        <f t="shared" si="20"/>
        <v>45793.234814814816</v>
      </c>
      <c r="E652" s="75">
        <f t="shared" si="21"/>
        <v>45793.234814814816</v>
      </c>
    </row>
    <row r="653" spans="1:5">
      <c r="A653" s="73" t="s">
        <v>770</v>
      </c>
      <c r="B653">
        <v>20.39</v>
      </c>
      <c r="C653">
        <v>50.39</v>
      </c>
      <c r="D653" s="74">
        <f t="shared" si="20"/>
        <v>45793.236215277779</v>
      </c>
      <c r="E653" s="75">
        <f t="shared" si="21"/>
        <v>45793.236215277779</v>
      </c>
    </row>
    <row r="654" spans="1:5">
      <c r="A654" s="73" t="s">
        <v>771</v>
      </c>
      <c r="B654">
        <v>20.38</v>
      </c>
      <c r="C654">
        <v>50.43</v>
      </c>
      <c r="D654" s="74">
        <f t="shared" si="20"/>
        <v>45793.237604166665</v>
      </c>
      <c r="E654" s="75">
        <f t="shared" si="21"/>
        <v>45793.237604166665</v>
      </c>
    </row>
    <row r="655" spans="1:5">
      <c r="A655" s="73" t="s">
        <v>772</v>
      </c>
      <c r="B655">
        <v>20.39</v>
      </c>
      <c r="C655">
        <v>50.43</v>
      </c>
      <c r="D655" s="74">
        <f t="shared" si="20"/>
        <v>45793.238993055558</v>
      </c>
      <c r="E655" s="75">
        <f t="shared" si="21"/>
        <v>45793.238993055558</v>
      </c>
    </row>
    <row r="656" spans="1:5">
      <c r="A656" s="73" t="s">
        <v>773</v>
      </c>
      <c r="B656">
        <v>20.420000000000002</v>
      </c>
      <c r="C656">
        <v>50.39</v>
      </c>
      <c r="D656" s="74">
        <f t="shared" si="20"/>
        <v>45793.240370370368</v>
      </c>
      <c r="E656" s="75">
        <f t="shared" si="21"/>
        <v>45793.240370370368</v>
      </c>
    </row>
    <row r="657" spans="1:5">
      <c r="A657" s="73" t="s">
        <v>774</v>
      </c>
      <c r="B657">
        <v>20.41</v>
      </c>
      <c r="C657">
        <v>50.38</v>
      </c>
      <c r="D657" s="74">
        <f t="shared" si="20"/>
        <v>45793.241770833331</v>
      </c>
      <c r="E657" s="75">
        <f t="shared" si="21"/>
        <v>45793.241770833331</v>
      </c>
    </row>
    <row r="658" spans="1:5">
      <c r="A658" s="73" t="s">
        <v>775</v>
      </c>
      <c r="B658">
        <v>20.399999999999999</v>
      </c>
      <c r="C658">
        <v>50.31</v>
      </c>
      <c r="D658" s="74">
        <f t="shared" si="20"/>
        <v>45793.243148148147</v>
      </c>
      <c r="E658" s="75">
        <f t="shared" si="21"/>
        <v>45793.243148148147</v>
      </c>
    </row>
    <row r="659" spans="1:5">
      <c r="A659" s="73" t="s">
        <v>776</v>
      </c>
      <c r="B659">
        <v>20.39</v>
      </c>
      <c r="C659">
        <v>50.3</v>
      </c>
      <c r="D659" s="74">
        <f t="shared" si="20"/>
        <v>45793.244537037041</v>
      </c>
      <c r="E659" s="75">
        <f t="shared" si="21"/>
        <v>45793.244537037041</v>
      </c>
    </row>
    <row r="660" spans="1:5">
      <c r="A660" s="73" t="s">
        <v>777</v>
      </c>
      <c r="B660">
        <v>20.38</v>
      </c>
      <c r="C660">
        <v>50.36</v>
      </c>
      <c r="D660" s="74">
        <f t="shared" si="20"/>
        <v>45793.245925925927</v>
      </c>
      <c r="E660" s="75">
        <f t="shared" si="21"/>
        <v>45793.245925925927</v>
      </c>
    </row>
    <row r="661" spans="1:5">
      <c r="A661" s="73" t="s">
        <v>778</v>
      </c>
      <c r="B661">
        <v>20.399999999999999</v>
      </c>
      <c r="C661">
        <v>50.37</v>
      </c>
      <c r="D661" s="74">
        <f t="shared" si="20"/>
        <v>45793.24732638889</v>
      </c>
      <c r="E661" s="75">
        <f t="shared" si="21"/>
        <v>45793.24732638889</v>
      </c>
    </row>
    <row r="662" spans="1:5">
      <c r="A662" s="73" t="s">
        <v>779</v>
      </c>
      <c r="B662">
        <v>20.399999999999999</v>
      </c>
      <c r="C662">
        <v>50.37</v>
      </c>
      <c r="D662" s="74">
        <f t="shared" si="20"/>
        <v>45793.248703703706</v>
      </c>
      <c r="E662" s="75">
        <f t="shared" si="21"/>
        <v>45793.248703703706</v>
      </c>
    </row>
    <row r="663" spans="1:5">
      <c r="A663" s="73" t="s">
        <v>780</v>
      </c>
      <c r="B663">
        <v>20.420000000000002</v>
      </c>
      <c r="C663">
        <v>50.35</v>
      </c>
      <c r="D663" s="74">
        <f t="shared" si="20"/>
        <v>45793.250104166669</v>
      </c>
      <c r="E663" s="75">
        <f t="shared" si="21"/>
        <v>45793.250104166669</v>
      </c>
    </row>
    <row r="664" spans="1:5">
      <c r="A664" s="73" t="s">
        <v>781</v>
      </c>
      <c r="B664">
        <v>20.420000000000002</v>
      </c>
      <c r="C664">
        <v>50.29</v>
      </c>
      <c r="D664" s="74">
        <f t="shared" si="20"/>
        <v>45793.251493055555</v>
      </c>
      <c r="E664" s="75">
        <f t="shared" si="21"/>
        <v>45793.251493055555</v>
      </c>
    </row>
    <row r="665" spans="1:5">
      <c r="A665" s="73" t="s">
        <v>782</v>
      </c>
      <c r="B665">
        <v>20.399999999999999</v>
      </c>
      <c r="C665">
        <v>50.25</v>
      </c>
      <c r="D665" s="74">
        <f t="shared" si="20"/>
        <v>45793.252881944441</v>
      </c>
      <c r="E665" s="75">
        <f t="shared" si="21"/>
        <v>45793.252881944441</v>
      </c>
    </row>
    <row r="666" spans="1:5">
      <c r="A666" s="73" t="s">
        <v>783</v>
      </c>
      <c r="B666">
        <v>20.39</v>
      </c>
      <c r="C666">
        <v>50.32</v>
      </c>
      <c r="D666" s="74">
        <f t="shared" si="20"/>
        <v>45793.254259259258</v>
      </c>
      <c r="E666" s="75">
        <f t="shared" si="21"/>
        <v>45793.254259259258</v>
      </c>
    </row>
    <row r="667" spans="1:5">
      <c r="A667" s="73" t="s">
        <v>784</v>
      </c>
      <c r="B667">
        <v>20.399999999999999</v>
      </c>
      <c r="C667">
        <v>50.36</v>
      </c>
      <c r="D667" s="74">
        <f t="shared" si="20"/>
        <v>45793.255659722221</v>
      </c>
      <c r="E667" s="75">
        <f t="shared" si="21"/>
        <v>45793.255659722221</v>
      </c>
    </row>
    <row r="668" spans="1:5">
      <c r="A668" s="73" t="s">
        <v>785</v>
      </c>
      <c r="B668">
        <v>20.41</v>
      </c>
      <c r="C668">
        <v>50.35</v>
      </c>
      <c r="D668" s="74">
        <f t="shared" si="20"/>
        <v>45793.257037037038</v>
      </c>
      <c r="E668" s="75">
        <f t="shared" si="21"/>
        <v>45793.257037037038</v>
      </c>
    </row>
    <row r="669" spans="1:5">
      <c r="A669" s="73" t="s">
        <v>786</v>
      </c>
      <c r="B669">
        <v>20.39</v>
      </c>
      <c r="C669">
        <v>50.34</v>
      </c>
      <c r="D669" s="74">
        <f t="shared" si="20"/>
        <v>45793.258425925924</v>
      </c>
      <c r="E669" s="75">
        <f t="shared" si="21"/>
        <v>45793.258425925924</v>
      </c>
    </row>
    <row r="670" spans="1:5">
      <c r="A670" s="73" t="s">
        <v>787</v>
      </c>
      <c r="B670">
        <v>20.399999999999999</v>
      </c>
      <c r="C670">
        <v>50.33</v>
      </c>
      <c r="D670" s="74">
        <f t="shared" si="20"/>
        <v>45793.259814814817</v>
      </c>
      <c r="E670" s="75">
        <f t="shared" si="21"/>
        <v>45793.259814814817</v>
      </c>
    </row>
    <row r="671" spans="1:5">
      <c r="A671" s="73" t="s">
        <v>788</v>
      </c>
      <c r="B671">
        <v>20.399999999999999</v>
      </c>
      <c r="C671">
        <v>50.3</v>
      </c>
      <c r="D671" s="74">
        <f t="shared" si="20"/>
        <v>45793.26121527778</v>
      </c>
      <c r="E671" s="75">
        <f t="shared" si="21"/>
        <v>45793.26121527778</v>
      </c>
    </row>
    <row r="672" spans="1:5">
      <c r="A672" s="73" t="s">
        <v>789</v>
      </c>
      <c r="B672">
        <v>20.38</v>
      </c>
      <c r="C672">
        <v>50.32</v>
      </c>
      <c r="D672" s="74">
        <f t="shared" si="20"/>
        <v>45793.262592592589</v>
      </c>
      <c r="E672" s="75">
        <f t="shared" si="21"/>
        <v>45793.262592592589</v>
      </c>
    </row>
    <row r="673" spans="1:5">
      <c r="A673" s="73" t="s">
        <v>790</v>
      </c>
      <c r="B673">
        <v>20.38</v>
      </c>
      <c r="C673">
        <v>50.39</v>
      </c>
      <c r="D673" s="74">
        <f t="shared" si="20"/>
        <v>45793.263993055552</v>
      </c>
      <c r="E673" s="75">
        <f t="shared" si="21"/>
        <v>45793.263993055552</v>
      </c>
    </row>
    <row r="674" spans="1:5">
      <c r="A674" s="73" t="s">
        <v>791</v>
      </c>
      <c r="B674">
        <v>20.38</v>
      </c>
      <c r="C674">
        <v>50.4</v>
      </c>
      <c r="D674" s="74">
        <f t="shared" si="20"/>
        <v>45793.265370370369</v>
      </c>
      <c r="E674" s="75">
        <f t="shared" si="21"/>
        <v>45793.265370370369</v>
      </c>
    </row>
    <row r="675" spans="1:5">
      <c r="A675" s="73" t="s">
        <v>792</v>
      </c>
      <c r="B675">
        <v>20.41</v>
      </c>
      <c r="C675">
        <v>50.4</v>
      </c>
      <c r="D675" s="74">
        <f t="shared" si="20"/>
        <v>45793.266770833332</v>
      </c>
      <c r="E675" s="75">
        <f t="shared" si="21"/>
        <v>45793.266770833332</v>
      </c>
    </row>
    <row r="676" spans="1:5">
      <c r="A676" s="73" t="s">
        <v>793</v>
      </c>
      <c r="B676">
        <v>20.420000000000002</v>
      </c>
      <c r="C676">
        <v>50.31</v>
      </c>
      <c r="D676" s="74">
        <f t="shared" si="20"/>
        <v>45793.268148148149</v>
      </c>
      <c r="E676" s="75">
        <f t="shared" si="21"/>
        <v>45793.268148148149</v>
      </c>
    </row>
    <row r="677" spans="1:5">
      <c r="A677" s="73" t="s">
        <v>794</v>
      </c>
      <c r="B677">
        <v>20.399999999999999</v>
      </c>
      <c r="C677">
        <v>50.29</v>
      </c>
      <c r="D677" s="74">
        <f t="shared" si="20"/>
        <v>45793.269548611112</v>
      </c>
      <c r="E677" s="75">
        <f t="shared" si="21"/>
        <v>45793.269548611112</v>
      </c>
    </row>
    <row r="678" spans="1:5">
      <c r="A678" s="73" t="s">
        <v>795</v>
      </c>
      <c r="B678">
        <v>20.39</v>
      </c>
      <c r="C678">
        <v>50.33</v>
      </c>
      <c r="D678" s="74">
        <f t="shared" si="20"/>
        <v>45793.270925925928</v>
      </c>
      <c r="E678" s="75">
        <f t="shared" si="21"/>
        <v>45793.270925925928</v>
      </c>
    </row>
    <row r="679" spans="1:5">
      <c r="A679" s="73" t="s">
        <v>796</v>
      </c>
      <c r="B679">
        <v>20.39</v>
      </c>
      <c r="C679">
        <v>50.36</v>
      </c>
      <c r="D679" s="74">
        <f t="shared" si="20"/>
        <v>45793.272314814814</v>
      </c>
      <c r="E679" s="75">
        <f t="shared" si="21"/>
        <v>45793.272314814814</v>
      </c>
    </row>
    <row r="680" spans="1:5">
      <c r="A680" s="73" t="s">
        <v>797</v>
      </c>
      <c r="B680">
        <v>20.41</v>
      </c>
      <c r="C680">
        <v>50.38</v>
      </c>
      <c r="D680" s="74">
        <f t="shared" si="20"/>
        <v>45793.2737037037</v>
      </c>
      <c r="E680" s="75">
        <f t="shared" si="21"/>
        <v>45793.2737037037</v>
      </c>
    </row>
    <row r="681" spans="1:5">
      <c r="A681" s="73" t="s">
        <v>798</v>
      </c>
      <c r="B681">
        <v>20.39</v>
      </c>
      <c r="C681">
        <v>50.38</v>
      </c>
      <c r="D681" s="74">
        <f t="shared" si="20"/>
        <v>45793.275104166663</v>
      </c>
      <c r="E681" s="75">
        <f t="shared" si="21"/>
        <v>45793.275104166663</v>
      </c>
    </row>
    <row r="682" spans="1:5">
      <c r="A682" s="73" t="s">
        <v>799</v>
      </c>
      <c r="B682">
        <v>20.41</v>
      </c>
      <c r="C682">
        <v>50.36</v>
      </c>
      <c r="D682" s="74">
        <f t="shared" si="20"/>
        <v>45793.276493055557</v>
      </c>
      <c r="E682" s="75">
        <f t="shared" si="21"/>
        <v>45793.276493055557</v>
      </c>
    </row>
    <row r="683" spans="1:5">
      <c r="A683" s="73" t="s">
        <v>800</v>
      </c>
      <c r="B683">
        <v>20.41</v>
      </c>
      <c r="C683">
        <v>50.3</v>
      </c>
      <c r="D683" s="74">
        <f t="shared" si="20"/>
        <v>45793.277881944443</v>
      </c>
      <c r="E683" s="75">
        <f t="shared" si="21"/>
        <v>45793.277881944443</v>
      </c>
    </row>
    <row r="684" spans="1:5">
      <c r="A684" s="73" t="s">
        <v>801</v>
      </c>
      <c r="B684">
        <v>20.399999999999999</v>
      </c>
      <c r="C684">
        <v>50.32</v>
      </c>
      <c r="D684" s="74">
        <f t="shared" si="20"/>
        <v>45793.27925925926</v>
      </c>
      <c r="E684" s="75">
        <f t="shared" si="21"/>
        <v>45793.27925925926</v>
      </c>
    </row>
    <row r="685" spans="1:5">
      <c r="A685" s="73" t="s">
        <v>802</v>
      </c>
      <c r="B685">
        <v>20.399999999999999</v>
      </c>
      <c r="C685">
        <v>50.37</v>
      </c>
      <c r="D685" s="74">
        <f t="shared" si="20"/>
        <v>45793.280659722222</v>
      </c>
      <c r="E685" s="75">
        <f t="shared" si="21"/>
        <v>45793.280659722222</v>
      </c>
    </row>
    <row r="686" spans="1:5">
      <c r="A686" s="73" t="s">
        <v>803</v>
      </c>
      <c r="B686">
        <v>20.41</v>
      </c>
      <c r="C686">
        <v>50.38</v>
      </c>
      <c r="D686" s="74">
        <f t="shared" si="20"/>
        <v>45793.282037037039</v>
      </c>
      <c r="E686" s="75">
        <f t="shared" si="21"/>
        <v>45793.282037037039</v>
      </c>
    </row>
    <row r="687" spans="1:5">
      <c r="A687" s="73" t="s">
        <v>804</v>
      </c>
      <c r="B687">
        <v>20.399999999999999</v>
      </c>
      <c r="C687">
        <v>50.38</v>
      </c>
      <c r="D687" s="74">
        <f t="shared" si="20"/>
        <v>45793.283425925925</v>
      </c>
      <c r="E687" s="75">
        <f t="shared" si="21"/>
        <v>45793.283425925925</v>
      </c>
    </row>
    <row r="688" spans="1:5">
      <c r="A688" s="73" t="s">
        <v>805</v>
      </c>
      <c r="B688">
        <v>20.420000000000002</v>
      </c>
      <c r="C688">
        <v>50.36</v>
      </c>
      <c r="D688" s="74">
        <f t="shared" si="20"/>
        <v>45793.284814814811</v>
      </c>
      <c r="E688" s="75">
        <f t="shared" si="21"/>
        <v>45793.284814814811</v>
      </c>
    </row>
    <row r="689" spans="1:5">
      <c r="A689" s="73" t="s">
        <v>806</v>
      </c>
      <c r="B689">
        <v>20.41</v>
      </c>
      <c r="C689">
        <v>50.29</v>
      </c>
      <c r="D689" s="74">
        <f t="shared" si="20"/>
        <v>45793.286215277774</v>
      </c>
      <c r="E689" s="75">
        <f t="shared" si="21"/>
        <v>45793.286215277774</v>
      </c>
    </row>
    <row r="690" spans="1:5">
      <c r="A690" s="73" t="s">
        <v>807</v>
      </c>
      <c r="B690">
        <v>20.39</v>
      </c>
      <c r="C690">
        <v>50.3</v>
      </c>
      <c r="D690" s="74">
        <f t="shared" si="20"/>
        <v>45793.287592592591</v>
      </c>
      <c r="E690" s="75">
        <f t="shared" si="21"/>
        <v>45793.287592592591</v>
      </c>
    </row>
    <row r="691" spans="1:5">
      <c r="A691" s="73" t="s">
        <v>808</v>
      </c>
      <c r="B691">
        <v>20.38</v>
      </c>
      <c r="C691">
        <v>50.33</v>
      </c>
      <c r="D691" s="74">
        <f t="shared" si="20"/>
        <v>45793.288993055554</v>
      </c>
      <c r="E691" s="75">
        <f t="shared" si="21"/>
        <v>45793.288993055554</v>
      </c>
    </row>
    <row r="692" spans="1:5">
      <c r="A692" s="73" t="s">
        <v>809</v>
      </c>
      <c r="B692">
        <v>20.39</v>
      </c>
      <c r="C692">
        <v>50.36</v>
      </c>
      <c r="D692" s="74">
        <f t="shared" si="20"/>
        <v>45793.290370370371</v>
      </c>
      <c r="E692" s="75">
        <f t="shared" si="21"/>
        <v>45793.290370370371</v>
      </c>
    </row>
    <row r="693" spans="1:5">
      <c r="A693" s="73" t="s">
        <v>810</v>
      </c>
      <c r="B693">
        <v>20.399999999999999</v>
      </c>
      <c r="C693">
        <v>50.36</v>
      </c>
      <c r="D693" s="74">
        <f t="shared" si="20"/>
        <v>45793.291770833333</v>
      </c>
      <c r="E693" s="75">
        <f t="shared" si="21"/>
        <v>45793.291770833333</v>
      </c>
    </row>
    <row r="694" spans="1:5">
      <c r="A694" s="73" t="s">
        <v>811</v>
      </c>
      <c r="B694">
        <v>20.41</v>
      </c>
      <c r="C694">
        <v>50.36</v>
      </c>
      <c r="D694" s="74">
        <f t="shared" si="20"/>
        <v>45793.29314814815</v>
      </c>
      <c r="E694" s="75">
        <f t="shared" si="21"/>
        <v>45793.29314814815</v>
      </c>
    </row>
    <row r="695" spans="1:5">
      <c r="A695" s="73" t="s">
        <v>812</v>
      </c>
      <c r="B695">
        <v>20.41</v>
      </c>
      <c r="C695">
        <v>50.37</v>
      </c>
      <c r="D695" s="74">
        <f t="shared" si="20"/>
        <v>45793.294548611113</v>
      </c>
      <c r="E695" s="75">
        <f t="shared" si="21"/>
        <v>45793.294548611113</v>
      </c>
    </row>
    <row r="696" spans="1:5">
      <c r="A696" s="73" t="s">
        <v>813</v>
      </c>
      <c r="B696">
        <v>20.43</v>
      </c>
      <c r="C696">
        <v>50.38</v>
      </c>
      <c r="D696" s="74">
        <f t="shared" si="20"/>
        <v>45793.295925925922</v>
      </c>
      <c r="E696" s="75">
        <f t="shared" si="21"/>
        <v>45793.295925925922</v>
      </c>
    </row>
    <row r="697" spans="1:5">
      <c r="A697" s="73" t="s">
        <v>814</v>
      </c>
      <c r="B697">
        <v>20.420000000000002</v>
      </c>
      <c r="C697">
        <v>50.39</v>
      </c>
      <c r="D697" s="74">
        <f t="shared" si="20"/>
        <v>45793.297326388885</v>
      </c>
      <c r="E697" s="75">
        <f t="shared" si="21"/>
        <v>45793.297326388885</v>
      </c>
    </row>
    <row r="698" spans="1:5">
      <c r="A698" s="73" t="s">
        <v>815</v>
      </c>
      <c r="B698">
        <v>20.420000000000002</v>
      </c>
      <c r="C698">
        <v>50.4</v>
      </c>
      <c r="D698" s="74">
        <f t="shared" si="20"/>
        <v>45793.298703703702</v>
      </c>
      <c r="E698" s="75">
        <f t="shared" si="21"/>
        <v>45793.298703703702</v>
      </c>
    </row>
    <row r="699" spans="1:5">
      <c r="A699" s="73" t="s">
        <v>816</v>
      </c>
      <c r="B699">
        <v>20.399999999999999</v>
      </c>
      <c r="C699">
        <v>50.35</v>
      </c>
      <c r="D699" s="74">
        <f t="shared" si="20"/>
        <v>45793.300104166665</v>
      </c>
      <c r="E699" s="75">
        <f t="shared" si="21"/>
        <v>45793.300104166665</v>
      </c>
    </row>
    <row r="700" spans="1:5">
      <c r="A700" s="73" t="s">
        <v>817</v>
      </c>
      <c r="B700">
        <v>20.399999999999999</v>
      </c>
      <c r="C700">
        <v>50.37</v>
      </c>
      <c r="D700" s="74">
        <f t="shared" si="20"/>
        <v>45793.301481481481</v>
      </c>
      <c r="E700" s="75">
        <f t="shared" si="21"/>
        <v>45793.301481481481</v>
      </c>
    </row>
    <row r="701" spans="1:5">
      <c r="A701" s="73" t="s">
        <v>818</v>
      </c>
      <c r="B701">
        <v>20.38</v>
      </c>
      <c r="C701">
        <v>50.4</v>
      </c>
      <c r="D701" s="74">
        <f t="shared" si="20"/>
        <v>45793.302881944444</v>
      </c>
      <c r="E701" s="75">
        <f t="shared" si="21"/>
        <v>45793.302881944444</v>
      </c>
    </row>
    <row r="702" spans="1:5">
      <c r="A702" s="73" t="s">
        <v>819</v>
      </c>
      <c r="B702">
        <v>20.38</v>
      </c>
      <c r="C702">
        <v>50.44</v>
      </c>
      <c r="D702" s="74">
        <f t="shared" si="20"/>
        <v>45793.304270833331</v>
      </c>
      <c r="E702" s="75">
        <f t="shared" si="21"/>
        <v>45793.304270833331</v>
      </c>
    </row>
    <row r="703" spans="1:5">
      <c r="A703" s="73" t="s">
        <v>820</v>
      </c>
      <c r="B703">
        <v>20.39</v>
      </c>
      <c r="C703">
        <v>50.42</v>
      </c>
      <c r="D703" s="74">
        <f t="shared" si="20"/>
        <v>45793.305659722224</v>
      </c>
      <c r="E703" s="75">
        <f t="shared" si="21"/>
        <v>45793.305659722224</v>
      </c>
    </row>
    <row r="704" spans="1:5">
      <c r="A704" s="73" t="s">
        <v>821</v>
      </c>
      <c r="B704">
        <v>20.41</v>
      </c>
      <c r="C704">
        <v>50.43</v>
      </c>
      <c r="D704" s="74">
        <f t="shared" si="20"/>
        <v>45793.307037037041</v>
      </c>
      <c r="E704" s="75">
        <f t="shared" si="21"/>
        <v>45793.307037037041</v>
      </c>
    </row>
    <row r="705" spans="1:5">
      <c r="A705" s="73" t="s">
        <v>822</v>
      </c>
      <c r="B705">
        <v>20.399999999999999</v>
      </c>
      <c r="C705">
        <v>50.39</v>
      </c>
      <c r="D705" s="74">
        <f t="shared" si="20"/>
        <v>45793.308437500003</v>
      </c>
      <c r="E705" s="75">
        <f t="shared" si="21"/>
        <v>45793.308437500003</v>
      </c>
    </row>
    <row r="706" spans="1:5">
      <c r="A706" s="73" t="s">
        <v>823</v>
      </c>
      <c r="B706">
        <v>20.399999999999999</v>
      </c>
      <c r="C706">
        <v>50.38</v>
      </c>
      <c r="D706" s="74">
        <f t="shared" si="20"/>
        <v>45793.30982638889</v>
      </c>
      <c r="E706" s="75">
        <f t="shared" si="21"/>
        <v>45793.30982638889</v>
      </c>
    </row>
    <row r="707" spans="1:5">
      <c r="A707" s="73" t="s">
        <v>824</v>
      </c>
      <c r="B707">
        <v>20.39</v>
      </c>
      <c r="C707">
        <v>50.44</v>
      </c>
      <c r="D707" s="74">
        <f t="shared" ref="D707:D770" si="22">A707+12/24</f>
        <v>45793.311215277776</v>
      </c>
      <c r="E707" s="75">
        <f t="shared" ref="E707:E770" si="23">D707</f>
        <v>45793.311215277776</v>
      </c>
    </row>
    <row r="708" spans="1:5">
      <c r="A708" s="73" t="s">
        <v>825</v>
      </c>
      <c r="B708">
        <v>20.399999999999999</v>
      </c>
      <c r="C708">
        <v>50.45</v>
      </c>
      <c r="D708" s="74">
        <f t="shared" si="22"/>
        <v>45793.312592592592</v>
      </c>
      <c r="E708" s="75">
        <f t="shared" si="23"/>
        <v>45793.312592592592</v>
      </c>
    </row>
    <row r="709" spans="1:5">
      <c r="A709" s="73" t="s">
        <v>826</v>
      </c>
      <c r="B709">
        <v>20.399999999999999</v>
      </c>
      <c r="C709">
        <v>50.44</v>
      </c>
      <c r="D709" s="74">
        <f t="shared" si="22"/>
        <v>45793.313993055555</v>
      </c>
      <c r="E709" s="75">
        <f t="shared" si="23"/>
        <v>45793.313993055555</v>
      </c>
    </row>
    <row r="710" spans="1:5">
      <c r="A710" s="73" t="s">
        <v>827</v>
      </c>
      <c r="B710">
        <v>20.420000000000002</v>
      </c>
      <c r="C710">
        <v>50.43</v>
      </c>
      <c r="D710" s="74">
        <f t="shared" si="22"/>
        <v>45793.315381944441</v>
      </c>
      <c r="E710" s="75">
        <f t="shared" si="23"/>
        <v>45793.315381944441</v>
      </c>
    </row>
    <row r="711" spans="1:5">
      <c r="A711" s="73" t="s">
        <v>828</v>
      </c>
      <c r="B711">
        <v>20.399999999999999</v>
      </c>
      <c r="C711">
        <v>50.38</v>
      </c>
      <c r="D711" s="74">
        <f t="shared" si="22"/>
        <v>45793.316759259258</v>
      </c>
      <c r="E711" s="75">
        <f t="shared" si="23"/>
        <v>45793.316759259258</v>
      </c>
    </row>
    <row r="712" spans="1:5">
      <c r="A712" s="73" t="s">
        <v>829</v>
      </c>
      <c r="B712">
        <v>20.38</v>
      </c>
      <c r="C712">
        <v>50.41</v>
      </c>
      <c r="D712" s="74">
        <f t="shared" si="22"/>
        <v>45793.318148148152</v>
      </c>
      <c r="E712" s="75">
        <f t="shared" si="23"/>
        <v>45793.318148148152</v>
      </c>
    </row>
    <row r="713" spans="1:5">
      <c r="A713" s="73" t="s">
        <v>830</v>
      </c>
      <c r="B713">
        <v>20.38</v>
      </c>
      <c r="C713">
        <v>50.47</v>
      </c>
      <c r="D713" s="74">
        <f t="shared" si="22"/>
        <v>45793.319548611114</v>
      </c>
      <c r="E713" s="75">
        <f t="shared" si="23"/>
        <v>45793.319548611114</v>
      </c>
    </row>
    <row r="714" spans="1:5">
      <c r="A714" s="73" t="s">
        <v>831</v>
      </c>
      <c r="B714">
        <v>20.399999999999999</v>
      </c>
      <c r="C714">
        <v>50.45</v>
      </c>
      <c r="D714" s="74">
        <f t="shared" si="22"/>
        <v>45793.320925925924</v>
      </c>
      <c r="E714" s="75">
        <f t="shared" si="23"/>
        <v>45793.320925925924</v>
      </c>
    </row>
    <row r="715" spans="1:5">
      <c r="A715" s="73" t="s">
        <v>832</v>
      </c>
      <c r="B715">
        <v>20.41</v>
      </c>
      <c r="C715">
        <v>50.43</v>
      </c>
      <c r="D715" s="74">
        <f t="shared" si="22"/>
        <v>45793.322314814817</v>
      </c>
      <c r="E715" s="75">
        <f t="shared" si="23"/>
        <v>45793.322314814817</v>
      </c>
    </row>
    <row r="716" spans="1:5">
      <c r="A716" s="73" t="s">
        <v>833</v>
      </c>
      <c r="B716">
        <v>20.41</v>
      </c>
      <c r="C716">
        <v>50.37</v>
      </c>
      <c r="D716" s="74">
        <f t="shared" si="22"/>
        <v>45793.323703703703</v>
      </c>
      <c r="E716" s="75">
        <f t="shared" si="23"/>
        <v>45793.323703703703</v>
      </c>
    </row>
    <row r="717" spans="1:5">
      <c r="A717" s="73" t="s">
        <v>834</v>
      </c>
      <c r="B717">
        <v>20.38</v>
      </c>
      <c r="C717">
        <v>50.38</v>
      </c>
      <c r="D717" s="74">
        <f t="shared" si="22"/>
        <v>45793.325104166666</v>
      </c>
      <c r="E717" s="75">
        <f t="shared" si="23"/>
        <v>45793.325104166666</v>
      </c>
    </row>
    <row r="718" spans="1:5">
      <c r="A718" s="73" t="s">
        <v>835</v>
      </c>
      <c r="B718">
        <v>20.38</v>
      </c>
      <c r="C718">
        <v>50.44</v>
      </c>
      <c r="D718" s="74">
        <f t="shared" si="22"/>
        <v>45793.326481481483</v>
      </c>
      <c r="E718" s="75">
        <f t="shared" si="23"/>
        <v>45793.326481481483</v>
      </c>
    </row>
    <row r="719" spans="1:5">
      <c r="A719" s="73" t="s">
        <v>836</v>
      </c>
      <c r="B719">
        <v>20.38</v>
      </c>
      <c r="C719">
        <v>50.46</v>
      </c>
      <c r="D719" s="74">
        <f t="shared" si="22"/>
        <v>45793.327881944446</v>
      </c>
      <c r="E719" s="75">
        <f t="shared" si="23"/>
        <v>45793.327881944446</v>
      </c>
    </row>
    <row r="720" spans="1:5">
      <c r="A720" s="73" t="s">
        <v>837</v>
      </c>
      <c r="B720">
        <v>20.39</v>
      </c>
      <c r="C720">
        <v>50.43</v>
      </c>
      <c r="D720" s="74">
        <f t="shared" si="22"/>
        <v>45793.329259259262</v>
      </c>
      <c r="E720" s="75">
        <f t="shared" si="23"/>
        <v>45793.329259259262</v>
      </c>
    </row>
    <row r="721" spans="1:5">
      <c r="A721" s="73" t="s">
        <v>838</v>
      </c>
      <c r="B721">
        <v>20.39</v>
      </c>
      <c r="C721">
        <v>50.43</v>
      </c>
      <c r="D721" s="74">
        <f t="shared" si="22"/>
        <v>45793.330659722225</v>
      </c>
      <c r="E721" s="75">
        <f t="shared" si="23"/>
        <v>45793.330659722225</v>
      </c>
    </row>
    <row r="722" spans="1:5">
      <c r="A722" s="73" t="s">
        <v>839</v>
      </c>
      <c r="B722">
        <v>20.41</v>
      </c>
      <c r="C722">
        <v>50.35</v>
      </c>
      <c r="D722" s="74">
        <f t="shared" si="22"/>
        <v>45793.332037037035</v>
      </c>
      <c r="E722" s="75">
        <f t="shared" si="23"/>
        <v>45793.332037037035</v>
      </c>
    </row>
    <row r="723" spans="1:5">
      <c r="A723" s="73" t="s">
        <v>840</v>
      </c>
      <c r="B723">
        <v>20.38</v>
      </c>
      <c r="C723">
        <v>50.33</v>
      </c>
      <c r="D723" s="74">
        <f t="shared" si="22"/>
        <v>45793.333437499998</v>
      </c>
      <c r="E723" s="75">
        <f t="shared" si="23"/>
        <v>45793.333437499998</v>
      </c>
    </row>
    <row r="724" spans="1:5">
      <c r="A724" s="73" t="s">
        <v>841</v>
      </c>
      <c r="B724">
        <v>20.38</v>
      </c>
      <c r="C724">
        <v>50.36</v>
      </c>
      <c r="D724" s="74">
        <f t="shared" si="22"/>
        <v>45793.334814814814</v>
      </c>
      <c r="E724" s="75">
        <f t="shared" si="23"/>
        <v>45793.334814814814</v>
      </c>
    </row>
    <row r="725" spans="1:5">
      <c r="A725" s="73" t="s">
        <v>842</v>
      </c>
      <c r="B725">
        <v>20.38</v>
      </c>
      <c r="C725">
        <v>50.41</v>
      </c>
      <c r="D725" s="74">
        <f t="shared" si="22"/>
        <v>45793.3362037037</v>
      </c>
      <c r="E725" s="75">
        <f t="shared" si="23"/>
        <v>45793.3362037037</v>
      </c>
    </row>
    <row r="726" spans="1:5">
      <c r="A726" s="73" t="s">
        <v>843</v>
      </c>
      <c r="B726">
        <v>20.41</v>
      </c>
      <c r="C726">
        <v>50.38</v>
      </c>
      <c r="D726" s="74">
        <f t="shared" si="22"/>
        <v>45793.337592592594</v>
      </c>
      <c r="E726" s="75">
        <f t="shared" si="23"/>
        <v>45793.337592592594</v>
      </c>
    </row>
    <row r="727" spans="1:5">
      <c r="A727" s="73" t="s">
        <v>844</v>
      </c>
      <c r="B727">
        <v>20.399999999999999</v>
      </c>
      <c r="C727">
        <v>50.39</v>
      </c>
      <c r="D727" s="74">
        <f t="shared" si="22"/>
        <v>45793.338993055557</v>
      </c>
      <c r="E727" s="75">
        <f t="shared" si="23"/>
        <v>45793.338993055557</v>
      </c>
    </row>
    <row r="728" spans="1:5">
      <c r="A728" s="73" t="s">
        <v>845</v>
      </c>
      <c r="B728">
        <v>20.420000000000002</v>
      </c>
      <c r="C728">
        <v>50.35</v>
      </c>
      <c r="D728" s="74">
        <f t="shared" si="22"/>
        <v>45793.340370370373</v>
      </c>
      <c r="E728" s="75">
        <f t="shared" si="23"/>
        <v>45793.340370370373</v>
      </c>
    </row>
    <row r="729" spans="1:5">
      <c r="A729" s="73" t="s">
        <v>846</v>
      </c>
      <c r="B729">
        <v>20.420000000000002</v>
      </c>
      <c r="C729">
        <v>50.32</v>
      </c>
      <c r="D729" s="74">
        <f t="shared" si="22"/>
        <v>45793.34175925926</v>
      </c>
      <c r="E729" s="75">
        <f t="shared" si="23"/>
        <v>45793.34175925926</v>
      </c>
    </row>
    <row r="730" spans="1:5">
      <c r="A730" s="73" t="s">
        <v>847</v>
      </c>
      <c r="B730">
        <v>20.420000000000002</v>
      </c>
      <c r="C730">
        <v>50.3</v>
      </c>
      <c r="D730" s="74">
        <f t="shared" si="22"/>
        <v>45793.343159722222</v>
      </c>
      <c r="E730" s="75">
        <f t="shared" si="23"/>
        <v>45793.343159722222</v>
      </c>
    </row>
    <row r="731" spans="1:5">
      <c r="A731" s="73" t="s">
        <v>848</v>
      </c>
      <c r="B731">
        <v>20.41</v>
      </c>
      <c r="C731">
        <v>50.39</v>
      </c>
      <c r="D731" s="74">
        <f t="shared" si="22"/>
        <v>45793.344548611109</v>
      </c>
      <c r="E731" s="75">
        <f t="shared" si="23"/>
        <v>45793.344548611109</v>
      </c>
    </row>
    <row r="732" spans="1:5">
      <c r="A732" s="73" t="s">
        <v>849</v>
      </c>
      <c r="B732">
        <v>20.420000000000002</v>
      </c>
      <c r="C732">
        <v>50.41</v>
      </c>
      <c r="D732" s="74">
        <f t="shared" si="22"/>
        <v>45793.345925925925</v>
      </c>
      <c r="E732" s="75">
        <f t="shared" si="23"/>
        <v>45793.345925925925</v>
      </c>
    </row>
    <row r="733" spans="1:5">
      <c r="A733" s="73" t="s">
        <v>850</v>
      </c>
      <c r="B733">
        <v>20.41</v>
      </c>
      <c r="C733">
        <v>50.43</v>
      </c>
      <c r="D733" s="74">
        <f t="shared" si="22"/>
        <v>45793.347326388888</v>
      </c>
      <c r="E733" s="75">
        <f t="shared" si="23"/>
        <v>45793.347326388888</v>
      </c>
    </row>
    <row r="734" spans="1:5">
      <c r="A734" s="73" t="s">
        <v>851</v>
      </c>
      <c r="B734">
        <v>20.43</v>
      </c>
      <c r="C734">
        <v>50.42</v>
      </c>
      <c r="D734" s="74">
        <f t="shared" si="22"/>
        <v>45793.348703703705</v>
      </c>
      <c r="E734" s="75">
        <f t="shared" si="23"/>
        <v>45793.348703703705</v>
      </c>
    </row>
    <row r="735" spans="1:5">
      <c r="A735" s="73" t="s">
        <v>852</v>
      </c>
      <c r="B735">
        <v>20.41</v>
      </c>
      <c r="C735">
        <v>50.42</v>
      </c>
      <c r="D735" s="74">
        <f t="shared" si="22"/>
        <v>45793.350104166668</v>
      </c>
      <c r="E735" s="75">
        <f t="shared" si="23"/>
        <v>45793.350104166668</v>
      </c>
    </row>
    <row r="736" spans="1:5">
      <c r="A736" s="73" t="s">
        <v>853</v>
      </c>
      <c r="B736">
        <v>20.41</v>
      </c>
      <c r="C736">
        <v>50.48</v>
      </c>
      <c r="D736" s="74">
        <f t="shared" si="22"/>
        <v>45793.351481481484</v>
      </c>
      <c r="E736" s="75">
        <f t="shared" si="23"/>
        <v>45793.351481481484</v>
      </c>
    </row>
    <row r="737" spans="1:5">
      <c r="A737" s="73" t="s">
        <v>854</v>
      </c>
      <c r="B737">
        <v>20.420000000000002</v>
      </c>
      <c r="C737">
        <v>50.49</v>
      </c>
      <c r="D737" s="74">
        <f t="shared" si="22"/>
        <v>45793.352881944447</v>
      </c>
      <c r="E737" s="75">
        <f t="shared" si="23"/>
        <v>45793.352881944447</v>
      </c>
    </row>
    <row r="738" spans="1:5">
      <c r="A738" s="73" t="s">
        <v>855</v>
      </c>
      <c r="B738">
        <v>20.41</v>
      </c>
      <c r="C738">
        <v>50.56</v>
      </c>
      <c r="D738" s="74">
        <f t="shared" si="22"/>
        <v>45793.354259259257</v>
      </c>
      <c r="E738" s="75">
        <f t="shared" si="23"/>
        <v>45793.354259259257</v>
      </c>
    </row>
    <row r="739" spans="1:5">
      <c r="A739" s="73" t="s">
        <v>856</v>
      </c>
      <c r="B739">
        <v>20.399999999999999</v>
      </c>
      <c r="C739">
        <v>50.56</v>
      </c>
      <c r="D739" s="74">
        <f t="shared" si="22"/>
        <v>45793.35564814815</v>
      </c>
      <c r="E739" s="75">
        <f t="shared" si="23"/>
        <v>45793.35564814815</v>
      </c>
    </row>
    <row r="740" spans="1:5">
      <c r="A740" s="73" t="s">
        <v>857</v>
      </c>
      <c r="B740">
        <v>20.399999999999999</v>
      </c>
      <c r="C740">
        <v>50.53</v>
      </c>
      <c r="D740" s="74">
        <f t="shared" si="22"/>
        <v>45793.357048611113</v>
      </c>
      <c r="E740" s="75">
        <f t="shared" si="23"/>
        <v>45793.357048611113</v>
      </c>
    </row>
    <row r="741" spans="1:5">
      <c r="A741" s="73" t="s">
        <v>858</v>
      </c>
      <c r="B741">
        <v>20.41</v>
      </c>
      <c r="C741">
        <v>50.52</v>
      </c>
      <c r="D741" s="74">
        <f t="shared" si="22"/>
        <v>45793.358437499999</v>
      </c>
      <c r="E741" s="75">
        <f t="shared" si="23"/>
        <v>45793.358437499999</v>
      </c>
    </row>
    <row r="742" spans="1:5">
      <c r="A742" s="73" t="s">
        <v>859</v>
      </c>
      <c r="B742">
        <v>20.39</v>
      </c>
      <c r="C742">
        <v>50.6</v>
      </c>
      <c r="D742" s="74">
        <f t="shared" si="22"/>
        <v>45793.359814814816</v>
      </c>
      <c r="E742" s="75">
        <f t="shared" si="23"/>
        <v>45793.359814814816</v>
      </c>
    </row>
    <row r="743" spans="1:5">
      <c r="A743" s="73" t="s">
        <v>860</v>
      </c>
      <c r="B743">
        <v>20.399999999999999</v>
      </c>
      <c r="C743">
        <v>50.61</v>
      </c>
      <c r="D743" s="74">
        <f t="shared" si="22"/>
        <v>45793.361215277779</v>
      </c>
      <c r="E743" s="75">
        <f t="shared" si="23"/>
        <v>45793.361215277779</v>
      </c>
    </row>
    <row r="744" spans="1:5">
      <c r="A744" s="73" t="s">
        <v>861</v>
      </c>
      <c r="B744">
        <v>20.420000000000002</v>
      </c>
      <c r="C744">
        <v>50.61</v>
      </c>
      <c r="D744" s="74">
        <f t="shared" si="22"/>
        <v>45793.362592592595</v>
      </c>
      <c r="E744" s="75">
        <f t="shared" si="23"/>
        <v>45793.362592592595</v>
      </c>
    </row>
    <row r="745" spans="1:5">
      <c r="A745" s="73" t="s">
        <v>862</v>
      </c>
      <c r="B745">
        <v>20.39</v>
      </c>
      <c r="C745">
        <v>50.61</v>
      </c>
      <c r="D745" s="74">
        <f t="shared" si="22"/>
        <v>45793.363993055558</v>
      </c>
      <c r="E745" s="75">
        <f t="shared" si="23"/>
        <v>45793.363993055558</v>
      </c>
    </row>
    <row r="746" spans="1:5">
      <c r="A746" s="73" t="s">
        <v>863</v>
      </c>
      <c r="B746">
        <v>20.399999999999999</v>
      </c>
      <c r="C746">
        <v>50.56</v>
      </c>
      <c r="D746" s="74">
        <f t="shared" si="22"/>
        <v>45793.365370370368</v>
      </c>
      <c r="E746" s="75">
        <f t="shared" si="23"/>
        <v>45793.365370370368</v>
      </c>
    </row>
    <row r="747" spans="1:5">
      <c r="A747" s="73" t="s">
        <v>864</v>
      </c>
      <c r="B747">
        <v>20.41</v>
      </c>
      <c r="C747">
        <v>50.56</v>
      </c>
      <c r="D747" s="74">
        <f t="shared" si="22"/>
        <v>45793.366770833331</v>
      </c>
      <c r="E747" s="75">
        <f t="shared" si="23"/>
        <v>45793.366770833331</v>
      </c>
    </row>
    <row r="748" spans="1:5">
      <c r="A748" s="73" t="s">
        <v>865</v>
      </c>
      <c r="B748">
        <v>20.39</v>
      </c>
      <c r="C748">
        <v>50.6</v>
      </c>
      <c r="D748" s="74">
        <f t="shared" si="22"/>
        <v>45793.368148148147</v>
      </c>
      <c r="E748" s="75">
        <f t="shared" si="23"/>
        <v>45793.368148148147</v>
      </c>
    </row>
    <row r="749" spans="1:5">
      <c r="A749" s="73" t="s">
        <v>866</v>
      </c>
      <c r="B749">
        <v>20.39</v>
      </c>
      <c r="C749">
        <v>50.61</v>
      </c>
      <c r="D749" s="74">
        <f t="shared" si="22"/>
        <v>45793.369537037041</v>
      </c>
      <c r="E749" s="75">
        <f t="shared" si="23"/>
        <v>45793.369537037041</v>
      </c>
    </row>
    <row r="750" spans="1:5">
      <c r="A750" s="73" t="s">
        <v>867</v>
      </c>
      <c r="B750">
        <v>20.399999999999999</v>
      </c>
      <c r="C750">
        <v>50.61</v>
      </c>
      <c r="D750" s="74">
        <f t="shared" si="22"/>
        <v>45793.370925925927</v>
      </c>
      <c r="E750" s="75">
        <f t="shared" si="23"/>
        <v>45793.370925925927</v>
      </c>
    </row>
    <row r="751" spans="1:5">
      <c r="A751" s="73" t="s">
        <v>868</v>
      </c>
      <c r="B751">
        <v>20.43</v>
      </c>
      <c r="C751">
        <v>50.59</v>
      </c>
      <c r="D751" s="74">
        <f t="shared" si="22"/>
        <v>45793.37232638889</v>
      </c>
      <c r="E751" s="75">
        <f t="shared" si="23"/>
        <v>45793.37232638889</v>
      </c>
    </row>
    <row r="752" spans="1:5">
      <c r="A752" s="73" t="s">
        <v>869</v>
      </c>
      <c r="B752">
        <v>20.41</v>
      </c>
      <c r="C752">
        <v>50.54</v>
      </c>
      <c r="D752" s="74">
        <f t="shared" si="22"/>
        <v>45793.373703703706</v>
      </c>
      <c r="E752" s="75">
        <f t="shared" si="23"/>
        <v>45793.373703703706</v>
      </c>
    </row>
    <row r="753" spans="1:5">
      <c r="A753" s="73" t="s">
        <v>870</v>
      </c>
      <c r="B753">
        <v>20.399999999999999</v>
      </c>
      <c r="C753">
        <v>50.53</v>
      </c>
      <c r="D753" s="74">
        <f t="shared" si="22"/>
        <v>45793.375104166669</v>
      </c>
      <c r="E753" s="75">
        <f t="shared" si="23"/>
        <v>45793.375104166669</v>
      </c>
    </row>
    <row r="754" spans="1:5">
      <c r="A754" s="73" t="s">
        <v>871</v>
      </c>
      <c r="B754">
        <v>20.39</v>
      </c>
      <c r="C754">
        <v>50.58</v>
      </c>
      <c r="D754" s="74">
        <f t="shared" si="22"/>
        <v>45793.376493055555</v>
      </c>
      <c r="E754" s="75">
        <f t="shared" si="23"/>
        <v>45793.376493055555</v>
      </c>
    </row>
    <row r="755" spans="1:5">
      <c r="A755" s="73" t="s">
        <v>872</v>
      </c>
      <c r="B755">
        <v>20.399999999999999</v>
      </c>
      <c r="C755">
        <v>50.63</v>
      </c>
      <c r="D755" s="74">
        <f t="shared" si="22"/>
        <v>45793.377881944441</v>
      </c>
      <c r="E755" s="75">
        <f t="shared" si="23"/>
        <v>45793.377881944441</v>
      </c>
    </row>
    <row r="756" spans="1:5">
      <c r="A756" s="73" t="s">
        <v>873</v>
      </c>
      <c r="B756">
        <v>20.41</v>
      </c>
      <c r="C756">
        <v>50.63</v>
      </c>
      <c r="D756" s="74">
        <f t="shared" si="22"/>
        <v>45793.379259259258</v>
      </c>
      <c r="E756" s="75">
        <f t="shared" si="23"/>
        <v>45793.379259259258</v>
      </c>
    </row>
    <row r="757" spans="1:5">
      <c r="A757" s="73" t="s">
        <v>874</v>
      </c>
      <c r="B757">
        <v>20.41</v>
      </c>
      <c r="C757">
        <v>50.66</v>
      </c>
      <c r="D757" s="74">
        <f t="shared" si="22"/>
        <v>45793.380659722221</v>
      </c>
      <c r="E757" s="75">
        <f t="shared" si="23"/>
        <v>45793.380659722221</v>
      </c>
    </row>
    <row r="758" spans="1:5">
      <c r="A758" s="73" t="s">
        <v>875</v>
      </c>
      <c r="B758">
        <v>20.420000000000002</v>
      </c>
      <c r="C758">
        <v>50.62</v>
      </c>
      <c r="D758" s="74">
        <f t="shared" si="22"/>
        <v>45793.382037037038</v>
      </c>
      <c r="E758" s="75">
        <f t="shared" si="23"/>
        <v>45793.382037037038</v>
      </c>
    </row>
    <row r="759" spans="1:5">
      <c r="A759" s="73" t="s">
        <v>876</v>
      </c>
      <c r="B759">
        <v>20.41</v>
      </c>
      <c r="C759">
        <v>50.68</v>
      </c>
      <c r="D759" s="74">
        <f t="shared" si="22"/>
        <v>45793.383425925924</v>
      </c>
      <c r="E759" s="75">
        <f t="shared" si="23"/>
        <v>45793.383425925924</v>
      </c>
    </row>
    <row r="760" spans="1:5">
      <c r="A760" s="73" t="s">
        <v>877</v>
      </c>
      <c r="B760">
        <v>20.41</v>
      </c>
      <c r="C760">
        <v>50.81</v>
      </c>
      <c r="D760" s="74">
        <f t="shared" si="22"/>
        <v>45793.384814814817</v>
      </c>
      <c r="E760" s="75">
        <f t="shared" si="23"/>
        <v>45793.384814814817</v>
      </c>
    </row>
    <row r="761" spans="1:5">
      <c r="A761" s="73" t="s">
        <v>878</v>
      </c>
      <c r="B761">
        <v>20.420000000000002</v>
      </c>
      <c r="C761">
        <v>50.89</v>
      </c>
      <c r="D761" s="74">
        <f t="shared" si="22"/>
        <v>45793.38621527778</v>
      </c>
      <c r="E761" s="75">
        <f t="shared" si="23"/>
        <v>45793.38621527778</v>
      </c>
    </row>
    <row r="762" spans="1:5">
      <c r="A762" s="73" t="s">
        <v>879</v>
      </c>
      <c r="B762">
        <v>20.43</v>
      </c>
      <c r="C762">
        <v>50.97</v>
      </c>
      <c r="D762" s="74">
        <f t="shared" si="22"/>
        <v>45793.387592592589</v>
      </c>
      <c r="E762" s="75">
        <f t="shared" si="23"/>
        <v>45793.387592592589</v>
      </c>
    </row>
    <row r="763" spans="1:5">
      <c r="A763" s="73" t="s">
        <v>880</v>
      </c>
      <c r="B763">
        <v>20.41</v>
      </c>
      <c r="C763">
        <v>51.03</v>
      </c>
      <c r="D763" s="74">
        <f t="shared" si="22"/>
        <v>45793.388993055552</v>
      </c>
      <c r="E763" s="75">
        <f t="shared" si="23"/>
        <v>45793.388993055552</v>
      </c>
    </row>
    <row r="764" spans="1:5">
      <c r="A764" s="73" t="s">
        <v>881</v>
      </c>
      <c r="B764">
        <v>20.399999999999999</v>
      </c>
      <c r="C764">
        <v>51.12</v>
      </c>
      <c r="D764" s="74">
        <f t="shared" si="22"/>
        <v>45793.390370370369</v>
      </c>
      <c r="E764" s="75">
        <f t="shared" si="23"/>
        <v>45793.390370370369</v>
      </c>
    </row>
    <row r="765" spans="1:5">
      <c r="A765" s="73" t="s">
        <v>882</v>
      </c>
      <c r="B765">
        <v>20.399999999999999</v>
      </c>
      <c r="C765">
        <v>51.26</v>
      </c>
      <c r="D765" s="74">
        <f t="shared" si="22"/>
        <v>45793.391770833332</v>
      </c>
      <c r="E765" s="75">
        <f t="shared" si="23"/>
        <v>45793.391770833332</v>
      </c>
    </row>
    <row r="766" spans="1:5">
      <c r="A766" s="73" t="s">
        <v>883</v>
      </c>
      <c r="B766">
        <v>20.399999999999999</v>
      </c>
      <c r="C766">
        <v>51.41</v>
      </c>
      <c r="D766" s="74">
        <f t="shared" si="22"/>
        <v>45793.393148148149</v>
      </c>
      <c r="E766" s="75">
        <f t="shared" si="23"/>
        <v>45793.393148148149</v>
      </c>
    </row>
    <row r="767" spans="1:5">
      <c r="A767" s="73" t="s">
        <v>884</v>
      </c>
      <c r="B767">
        <v>20.420000000000002</v>
      </c>
      <c r="C767">
        <v>51.5</v>
      </c>
      <c r="D767" s="74">
        <f t="shared" si="22"/>
        <v>45793.394548611112</v>
      </c>
      <c r="E767" s="75">
        <f t="shared" si="23"/>
        <v>45793.394548611112</v>
      </c>
    </row>
    <row r="768" spans="1:5">
      <c r="A768" s="73" t="s">
        <v>885</v>
      </c>
      <c r="B768">
        <v>20.420000000000002</v>
      </c>
      <c r="C768">
        <v>51.52</v>
      </c>
      <c r="D768" s="74">
        <f t="shared" si="22"/>
        <v>45793.395937499998</v>
      </c>
      <c r="E768" s="75">
        <f t="shared" si="23"/>
        <v>45793.395937499998</v>
      </c>
    </row>
    <row r="769" spans="1:5">
      <c r="A769" s="73" t="s">
        <v>886</v>
      </c>
      <c r="B769">
        <v>20.41</v>
      </c>
      <c r="C769">
        <v>51.55</v>
      </c>
      <c r="D769" s="74">
        <f t="shared" si="22"/>
        <v>45793.397326388891</v>
      </c>
      <c r="E769" s="75">
        <f t="shared" si="23"/>
        <v>45793.397326388891</v>
      </c>
    </row>
    <row r="770" spans="1:5">
      <c r="A770" s="73" t="s">
        <v>887</v>
      </c>
      <c r="B770">
        <v>20.399999999999999</v>
      </c>
      <c r="C770">
        <v>51.66</v>
      </c>
      <c r="D770" s="74">
        <f t="shared" si="22"/>
        <v>45793.3987037037</v>
      </c>
      <c r="E770" s="75">
        <f t="shared" si="23"/>
        <v>45793.3987037037</v>
      </c>
    </row>
    <row r="771" spans="1:5">
      <c r="A771" s="73" t="s">
        <v>888</v>
      </c>
      <c r="B771">
        <v>20.39</v>
      </c>
      <c r="C771">
        <v>51.79</v>
      </c>
      <c r="D771" s="74">
        <f t="shared" ref="D771:D834" si="24">A771+12/24</f>
        <v>45793.400104166663</v>
      </c>
      <c r="E771" s="75">
        <f t="shared" ref="E771:E834" si="25">D771</f>
        <v>45793.400104166663</v>
      </c>
    </row>
    <row r="772" spans="1:5">
      <c r="A772" s="73" t="s">
        <v>889</v>
      </c>
      <c r="B772">
        <v>20.399999999999999</v>
      </c>
      <c r="C772">
        <v>51.83</v>
      </c>
      <c r="D772" s="74">
        <f t="shared" si="24"/>
        <v>45793.40148148148</v>
      </c>
      <c r="E772" s="75">
        <f t="shared" si="25"/>
        <v>45793.40148148148</v>
      </c>
    </row>
    <row r="773" spans="1:5">
      <c r="A773" s="73" t="s">
        <v>890</v>
      </c>
      <c r="B773">
        <v>20.420000000000002</v>
      </c>
      <c r="C773">
        <v>51.88</v>
      </c>
      <c r="D773" s="74">
        <f t="shared" si="24"/>
        <v>45793.402870370373</v>
      </c>
      <c r="E773" s="75">
        <f t="shared" si="25"/>
        <v>45793.402870370373</v>
      </c>
    </row>
    <row r="774" spans="1:5">
      <c r="A774" s="73" t="s">
        <v>891</v>
      </c>
      <c r="B774">
        <v>20.420000000000002</v>
      </c>
      <c r="C774">
        <v>51.83</v>
      </c>
      <c r="D774" s="74">
        <f t="shared" si="24"/>
        <v>45793.40425925926</v>
      </c>
      <c r="E774" s="75">
        <f t="shared" si="25"/>
        <v>45793.40425925926</v>
      </c>
    </row>
    <row r="775" spans="1:5">
      <c r="A775" s="73" t="s">
        <v>892</v>
      </c>
      <c r="B775">
        <v>20.41</v>
      </c>
      <c r="C775">
        <v>51.82</v>
      </c>
      <c r="D775" s="74">
        <f t="shared" si="24"/>
        <v>45793.405659722222</v>
      </c>
      <c r="E775" s="75">
        <f t="shared" si="25"/>
        <v>45793.405659722222</v>
      </c>
    </row>
    <row r="776" spans="1:5">
      <c r="A776" s="73" t="s">
        <v>893</v>
      </c>
      <c r="B776">
        <v>20.39</v>
      </c>
      <c r="C776">
        <v>51.87</v>
      </c>
      <c r="D776" s="74">
        <f t="shared" si="24"/>
        <v>45793.407037037039</v>
      </c>
      <c r="E776" s="75">
        <f t="shared" si="25"/>
        <v>45793.407037037039</v>
      </c>
    </row>
    <row r="777" spans="1:5">
      <c r="A777" s="73" t="s">
        <v>894</v>
      </c>
      <c r="B777">
        <v>20.38</v>
      </c>
      <c r="C777">
        <v>52.02</v>
      </c>
      <c r="D777" s="74">
        <f t="shared" si="24"/>
        <v>45793.408425925925</v>
      </c>
      <c r="E777" s="75">
        <f t="shared" si="25"/>
        <v>45793.408425925925</v>
      </c>
    </row>
    <row r="778" spans="1:5">
      <c r="A778" s="73" t="s">
        <v>895</v>
      </c>
      <c r="B778">
        <v>20.39</v>
      </c>
      <c r="C778">
        <v>52.06</v>
      </c>
      <c r="D778" s="74">
        <f t="shared" si="24"/>
        <v>45793.409814814811</v>
      </c>
      <c r="E778" s="75">
        <f t="shared" si="25"/>
        <v>45793.409814814811</v>
      </c>
    </row>
    <row r="779" spans="1:5">
      <c r="A779" s="73" t="s">
        <v>896</v>
      </c>
      <c r="B779">
        <v>20.420000000000002</v>
      </c>
      <c r="C779">
        <v>52.09</v>
      </c>
      <c r="D779" s="74">
        <f t="shared" si="24"/>
        <v>45793.411215277774</v>
      </c>
      <c r="E779" s="75">
        <f t="shared" si="25"/>
        <v>45793.411215277774</v>
      </c>
    </row>
    <row r="780" spans="1:5">
      <c r="A780" s="73" t="s">
        <v>897</v>
      </c>
      <c r="B780">
        <v>20.399999999999999</v>
      </c>
      <c r="C780">
        <v>52.03</v>
      </c>
      <c r="D780" s="74">
        <f t="shared" si="24"/>
        <v>45793.412592592591</v>
      </c>
      <c r="E780" s="75">
        <f t="shared" si="25"/>
        <v>45793.412592592591</v>
      </c>
    </row>
    <row r="781" spans="1:5">
      <c r="A781" s="73" t="s">
        <v>898</v>
      </c>
      <c r="B781">
        <v>20.41</v>
      </c>
      <c r="C781">
        <v>52.06</v>
      </c>
      <c r="D781" s="74">
        <f t="shared" si="24"/>
        <v>45793.413993055554</v>
      </c>
      <c r="E781" s="75">
        <f t="shared" si="25"/>
        <v>45793.413993055554</v>
      </c>
    </row>
    <row r="782" spans="1:5">
      <c r="A782" s="73" t="s">
        <v>899</v>
      </c>
      <c r="B782">
        <v>20.39</v>
      </c>
      <c r="C782">
        <v>52.15</v>
      </c>
      <c r="D782" s="74">
        <f t="shared" si="24"/>
        <v>45793.415370370371</v>
      </c>
      <c r="E782" s="75">
        <f t="shared" si="25"/>
        <v>45793.415370370371</v>
      </c>
    </row>
    <row r="783" spans="1:5">
      <c r="A783" s="73" t="s">
        <v>900</v>
      </c>
      <c r="B783">
        <v>20.399999999999999</v>
      </c>
      <c r="C783">
        <v>52.18</v>
      </c>
      <c r="D783" s="74">
        <f t="shared" si="24"/>
        <v>45793.416770833333</v>
      </c>
      <c r="E783" s="75">
        <f t="shared" si="25"/>
        <v>45793.416770833333</v>
      </c>
    </row>
    <row r="784" spans="1:5">
      <c r="A784" s="73" t="s">
        <v>901</v>
      </c>
      <c r="B784">
        <v>20.39</v>
      </c>
      <c r="C784">
        <v>52.18</v>
      </c>
      <c r="D784" s="74">
        <f t="shared" si="24"/>
        <v>45793.41814814815</v>
      </c>
      <c r="E784" s="75">
        <f t="shared" si="25"/>
        <v>45793.41814814815</v>
      </c>
    </row>
    <row r="785" spans="1:5">
      <c r="A785" s="73" t="s">
        <v>902</v>
      </c>
      <c r="B785">
        <v>20.39</v>
      </c>
      <c r="C785">
        <v>52.18</v>
      </c>
      <c r="D785" s="74">
        <f t="shared" si="24"/>
        <v>45793.419537037036</v>
      </c>
      <c r="E785" s="75">
        <f t="shared" si="25"/>
        <v>45793.419537037036</v>
      </c>
    </row>
    <row r="786" spans="1:5">
      <c r="A786" s="73" t="s">
        <v>903</v>
      </c>
      <c r="B786">
        <v>20.399999999999999</v>
      </c>
      <c r="C786">
        <v>52.09</v>
      </c>
      <c r="D786" s="74">
        <f t="shared" si="24"/>
        <v>45793.420925925922</v>
      </c>
      <c r="E786" s="75">
        <f t="shared" si="25"/>
        <v>45793.420925925922</v>
      </c>
    </row>
    <row r="787" spans="1:5">
      <c r="A787" s="73" t="s">
        <v>904</v>
      </c>
      <c r="B787">
        <v>20.399999999999999</v>
      </c>
      <c r="C787">
        <v>52.11</v>
      </c>
      <c r="D787" s="74">
        <f t="shared" si="24"/>
        <v>45793.422326388885</v>
      </c>
      <c r="E787" s="75">
        <f t="shared" si="25"/>
        <v>45793.422326388885</v>
      </c>
    </row>
    <row r="788" spans="1:5">
      <c r="A788" s="73" t="s">
        <v>905</v>
      </c>
      <c r="B788">
        <v>20.39</v>
      </c>
      <c r="C788">
        <v>52.2</v>
      </c>
      <c r="D788" s="74">
        <f t="shared" si="24"/>
        <v>45793.423703703702</v>
      </c>
      <c r="E788" s="75">
        <f t="shared" si="25"/>
        <v>45793.423703703702</v>
      </c>
    </row>
    <row r="789" spans="1:5">
      <c r="A789" s="73" t="s">
        <v>906</v>
      </c>
      <c r="B789">
        <v>20.41</v>
      </c>
      <c r="C789">
        <v>52.29</v>
      </c>
      <c r="D789" s="74">
        <f t="shared" si="24"/>
        <v>45793.425104166665</v>
      </c>
      <c r="E789" s="75">
        <f t="shared" si="25"/>
        <v>45793.425104166665</v>
      </c>
    </row>
    <row r="790" spans="1:5">
      <c r="A790" s="73" t="s">
        <v>907</v>
      </c>
      <c r="B790">
        <v>20.420000000000002</v>
      </c>
      <c r="C790">
        <v>52.27</v>
      </c>
      <c r="D790" s="74">
        <f t="shared" si="24"/>
        <v>45793.426481481481</v>
      </c>
      <c r="E790" s="75">
        <f t="shared" si="25"/>
        <v>45793.426481481481</v>
      </c>
    </row>
    <row r="791" spans="1:5">
      <c r="A791" s="73" t="s">
        <v>908</v>
      </c>
      <c r="B791">
        <v>20.41</v>
      </c>
      <c r="C791">
        <v>52.19</v>
      </c>
      <c r="D791" s="74">
        <f t="shared" si="24"/>
        <v>45793.427881944444</v>
      </c>
      <c r="E791" s="75">
        <f t="shared" si="25"/>
        <v>45793.427881944444</v>
      </c>
    </row>
    <row r="792" spans="1:5">
      <c r="A792" s="73" t="s">
        <v>909</v>
      </c>
      <c r="B792">
        <v>20.43</v>
      </c>
      <c r="C792">
        <v>52.19</v>
      </c>
      <c r="D792" s="74">
        <f t="shared" si="24"/>
        <v>45793.429259259261</v>
      </c>
      <c r="E792" s="75">
        <f t="shared" si="25"/>
        <v>45793.429259259261</v>
      </c>
    </row>
    <row r="793" spans="1:5">
      <c r="A793" s="73" t="s">
        <v>910</v>
      </c>
      <c r="B793">
        <v>20.41</v>
      </c>
      <c r="C793">
        <v>52.16</v>
      </c>
      <c r="D793" s="74">
        <f t="shared" si="24"/>
        <v>45793.430648148147</v>
      </c>
      <c r="E793" s="75">
        <f t="shared" si="25"/>
        <v>45793.430648148147</v>
      </c>
    </row>
    <row r="794" spans="1:5">
      <c r="A794" s="73" t="s">
        <v>911</v>
      </c>
      <c r="B794">
        <v>20.420000000000002</v>
      </c>
      <c r="C794">
        <v>52.1</v>
      </c>
      <c r="D794" s="74">
        <f t="shared" si="24"/>
        <v>45793.432037037041</v>
      </c>
      <c r="E794" s="75">
        <f t="shared" si="25"/>
        <v>45793.432037037041</v>
      </c>
    </row>
    <row r="795" spans="1:5">
      <c r="A795" s="73" t="s">
        <v>912</v>
      </c>
      <c r="B795">
        <v>20.420000000000002</v>
      </c>
      <c r="C795">
        <v>52.11</v>
      </c>
      <c r="D795" s="74">
        <f t="shared" si="24"/>
        <v>45793.433437500003</v>
      </c>
      <c r="E795" s="75">
        <f t="shared" si="25"/>
        <v>45793.433437500003</v>
      </c>
    </row>
    <row r="796" spans="1:5">
      <c r="A796" s="73" t="s">
        <v>913</v>
      </c>
      <c r="B796">
        <v>20.420000000000002</v>
      </c>
      <c r="C796">
        <v>52.19</v>
      </c>
      <c r="D796" s="74">
        <f t="shared" si="24"/>
        <v>45793.434814814813</v>
      </c>
      <c r="E796" s="75">
        <f t="shared" si="25"/>
        <v>45793.434814814813</v>
      </c>
    </row>
    <row r="797" spans="1:5">
      <c r="A797" s="73" t="s">
        <v>914</v>
      </c>
      <c r="B797">
        <v>20.43</v>
      </c>
      <c r="C797">
        <v>52.26</v>
      </c>
      <c r="D797" s="74">
        <f t="shared" si="24"/>
        <v>45793.436215277776</v>
      </c>
      <c r="E797" s="75">
        <f t="shared" si="25"/>
        <v>45793.436215277776</v>
      </c>
    </row>
    <row r="798" spans="1:5">
      <c r="A798" s="73" t="s">
        <v>915</v>
      </c>
      <c r="B798">
        <v>20.46</v>
      </c>
      <c r="C798">
        <v>52.21</v>
      </c>
      <c r="D798" s="74">
        <f t="shared" si="24"/>
        <v>45793.437604166669</v>
      </c>
      <c r="E798" s="75">
        <f t="shared" si="25"/>
        <v>45793.437604166669</v>
      </c>
    </row>
    <row r="799" spans="1:5">
      <c r="A799" s="73" t="s">
        <v>916</v>
      </c>
      <c r="B799">
        <v>20.47</v>
      </c>
      <c r="C799">
        <v>52.14</v>
      </c>
      <c r="D799" s="74">
        <f t="shared" si="24"/>
        <v>45793.438993055555</v>
      </c>
      <c r="E799" s="75">
        <f t="shared" si="25"/>
        <v>45793.438993055555</v>
      </c>
    </row>
    <row r="800" spans="1:5">
      <c r="A800" s="73" t="s">
        <v>917</v>
      </c>
      <c r="B800">
        <v>20.48</v>
      </c>
      <c r="C800">
        <v>52.11</v>
      </c>
      <c r="D800" s="74">
        <f t="shared" si="24"/>
        <v>45793.440370370372</v>
      </c>
      <c r="E800" s="75">
        <f t="shared" si="25"/>
        <v>45793.440370370372</v>
      </c>
    </row>
    <row r="801" spans="1:5">
      <c r="A801" s="73" t="s">
        <v>918</v>
      </c>
      <c r="B801">
        <v>20.46</v>
      </c>
      <c r="C801">
        <v>52.14</v>
      </c>
      <c r="D801" s="74">
        <f t="shared" si="24"/>
        <v>45793.441770833335</v>
      </c>
      <c r="E801" s="75">
        <f t="shared" si="25"/>
        <v>45793.441770833335</v>
      </c>
    </row>
    <row r="802" spans="1:5">
      <c r="A802" s="73" t="s">
        <v>919</v>
      </c>
      <c r="B802">
        <v>20.45</v>
      </c>
      <c r="C802">
        <v>52.28</v>
      </c>
      <c r="D802" s="74">
        <f t="shared" si="24"/>
        <v>45793.443159722221</v>
      </c>
      <c r="E802" s="75">
        <f t="shared" si="25"/>
        <v>45793.443159722221</v>
      </c>
    </row>
    <row r="803" spans="1:5">
      <c r="A803" s="73" t="s">
        <v>920</v>
      </c>
      <c r="B803">
        <v>20.43</v>
      </c>
      <c r="C803">
        <v>52.39</v>
      </c>
      <c r="D803" s="74">
        <f t="shared" si="24"/>
        <v>45793.444548611114</v>
      </c>
      <c r="E803" s="75">
        <f t="shared" si="25"/>
        <v>45793.444548611114</v>
      </c>
    </row>
    <row r="804" spans="1:5">
      <c r="A804" s="73" t="s">
        <v>921</v>
      </c>
      <c r="B804">
        <v>20.45</v>
      </c>
      <c r="C804">
        <v>52.48</v>
      </c>
      <c r="D804" s="74">
        <f t="shared" si="24"/>
        <v>45793.445925925924</v>
      </c>
      <c r="E804" s="75">
        <f t="shared" si="25"/>
        <v>45793.445925925924</v>
      </c>
    </row>
    <row r="805" spans="1:5">
      <c r="A805" s="73" t="s">
        <v>922</v>
      </c>
      <c r="B805">
        <v>20.43</v>
      </c>
      <c r="C805">
        <v>52.43</v>
      </c>
      <c r="D805" s="74">
        <f t="shared" si="24"/>
        <v>45793.447326388887</v>
      </c>
      <c r="E805" s="75">
        <f t="shared" si="25"/>
        <v>45793.447326388887</v>
      </c>
    </row>
    <row r="806" spans="1:5">
      <c r="A806" s="73" t="s">
        <v>923</v>
      </c>
      <c r="B806">
        <v>20.41</v>
      </c>
      <c r="C806">
        <v>52.44</v>
      </c>
      <c r="D806" s="74">
        <f t="shared" si="24"/>
        <v>45793.448703703703</v>
      </c>
      <c r="E806" s="75">
        <f t="shared" si="25"/>
        <v>45793.448703703703</v>
      </c>
    </row>
    <row r="807" spans="1:5">
      <c r="A807" s="73" t="s">
        <v>924</v>
      </c>
      <c r="B807">
        <v>20.399999999999999</v>
      </c>
      <c r="C807">
        <v>52.37</v>
      </c>
      <c r="D807" s="74">
        <f t="shared" si="24"/>
        <v>45793.450092592589</v>
      </c>
      <c r="E807" s="75">
        <f t="shared" si="25"/>
        <v>45793.450092592589</v>
      </c>
    </row>
    <row r="808" spans="1:5">
      <c r="A808" s="73" t="s">
        <v>925</v>
      </c>
      <c r="B808">
        <v>20.37</v>
      </c>
      <c r="C808">
        <v>52.51</v>
      </c>
      <c r="D808" s="74">
        <f t="shared" si="24"/>
        <v>45793.451481481483</v>
      </c>
      <c r="E808" s="75">
        <f t="shared" si="25"/>
        <v>45793.451481481483</v>
      </c>
    </row>
    <row r="809" spans="1:5">
      <c r="A809" s="73" t="s">
        <v>926</v>
      </c>
      <c r="B809">
        <v>20.38</v>
      </c>
      <c r="C809">
        <v>52.58</v>
      </c>
      <c r="D809" s="74">
        <f t="shared" si="24"/>
        <v>45793.452881944446</v>
      </c>
      <c r="E809" s="75">
        <f t="shared" si="25"/>
        <v>45793.452881944446</v>
      </c>
    </row>
    <row r="810" spans="1:5">
      <c r="A810" s="73" t="s">
        <v>927</v>
      </c>
      <c r="B810">
        <v>20.399999999999999</v>
      </c>
      <c r="C810">
        <v>52.61</v>
      </c>
      <c r="D810" s="74">
        <f t="shared" si="24"/>
        <v>45793.454270833332</v>
      </c>
      <c r="E810" s="75">
        <f t="shared" si="25"/>
        <v>45793.454270833332</v>
      </c>
    </row>
    <row r="811" spans="1:5">
      <c r="A811" s="73" t="s">
        <v>928</v>
      </c>
      <c r="B811">
        <v>20.399999999999999</v>
      </c>
      <c r="C811">
        <v>52.55</v>
      </c>
      <c r="D811" s="74">
        <f t="shared" si="24"/>
        <v>45793.455659722225</v>
      </c>
      <c r="E811" s="75">
        <f t="shared" si="25"/>
        <v>45793.455659722225</v>
      </c>
    </row>
    <row r="812" spans="1:5">
      <c r="A812" s="73" t="s">
        <v>929</v>
      </c>
      <c r="B812">
        <v>20.420000000000002</v>
      </c>
      <c r="C812">
        <v>52.59</v>
      </c>
      <c r="D812" s="74">
        <f t="shared" si="24"/>
        <v>45793.457037037035</v>
      </c>
      <c r="E812" s="75">
        <f t="shared" si="25"/>
        <v>45793.457037037035</v>
      </c>
    </row>
    <row r="813" spans="1:5">
      <c r="A813" s="73" t="s">
        <v>930</v>
      </c>
      <c r="B813">
        <v>20.440000000000001</v>
      </c>
      <c r="C813">
        <v>52.56</v>
      </c>
      <c r="D813" s="74">
        <f t="shared" si="24"/>
        <v>45793.458437499998</v>
      </c>
      <c r="E813" s="75">
        <f t="shared" si="25"/>
        <v>45793.458437499998</v>
      </c>
    </row>
    <row r="814" spans="1:5">
      <c r="A814" s="73" t="s">
        <v>931</v>
      </c>
      <c r="B814">
        <v>20.399999999999999</v>
      </c>
      <c r="C814">
        <v>52.47</v>
      </c>
      <c r="D814" s="74">
        <f t="shared" si="24"/>
        <v>45793.459814814814</v>
      </c>
      <c r="E814" s="75">
        <f t="shared" si="25"/>
        <v>45793.459814814814</v>
      </c>
    </row>
    <row r="815" spans="1:5">
      <c r="A815" s="73" t="s">
        <v>932</v>
      </c>
      <c r="B815">
        <v>20.38</v>
      </c>
      <c r="C815">
        <v>52.51</v>
      </c>
      <c r="D815" s="74">
        <f t="shared" si="24"/>
        <v>45793.4612037037</v>
      </c>
      <c r="E815" s="75">
        <f t="shared" si="25"/>
        <v>45793.4612037037</v>
      </c>
    </row>
    <row r="816" spans="1:5">
      <c r="A816" s="73" t="s">
        <v>933</v>
      </c>
      <c r="B816">
        <v>20.399999999999999</v>
      </c>
      <c r="C816">
        <v>52.59</v>
      </c>
      <c r="D816" s="74">
        <f t="shared" si="24"/>
        <v>45793.462592592594</v>
      </c>
      <c r="E816" s="75">
        <f t="shared" si="25"/>
        <v>45793.462592592594</v>
      </c>
    </row>
    <row r="817" spans="1:5">
      <c r="A817" s="73" t="s">
        <v>934</v>
      </c>
      <c r="B817">
        <v>20.41</v>
      </c>
      <c r="C817">
        <v>52.6</v>
      </c>
      <c r="D817" s="74">
        <f t="shared" si="24"/>
        <v>45793.463993055557</v>
      </c>
      <c r="E817" s="75">
        <f t="shared" si="25"/>
        <v>45793.463993055557</v>
      </c>
    </row>
    <row r="818" spans="1:5">
      <c r="A818" s="73" t="s">
        <v>935</v>
      </c>
      <c r="B818">
        <v>20.399999999999999</v>
      </c>
      <c r="C818">
        <v>52.57</v>
      </c>
      <c r="D818" s="74">
        <f t="shared" si="24"/>
        <v>45793.465370370373</v>
      </c>
      <c r="E818" s="75">
        <f t="shared" si="25"/>
        <v>45793.465370370373</v>
      </c>
    </row>
    <row r="819" spans="1:5">
      <c r="A819" s="73" t="s">
        <v>936</v>
      </c>
      <c r="B819">
        <v>20.399999999999999</v>
      </c>
      <c r="C819">
        <v>52.5</v>
      </c>
      <c r="D819" s="74">
        <f t="shared" si="24"/>
        <v>45793.46675925926</v>
      </c>
      <c r="E819" s="75">
        <f t="shared" si="25"/>
        <v>45793.46675925926</v>
      </c>
    </row>
    <row r="820" spans="1:5">
      <c r="A820" s="73" t="s">
        <v>937</v>
      </c>
      <c r="B820">
        <v>20.37</v>
      </c>
      <c r="C820">
        <v>52.5</v>
      </c>
      <c r="D820" s="74">
        <f t="shared" si="24"/>
        <v>45793.468148148146</v>
      </c>
      <c r="E820" s="75">
        <f t="shared" si="25"/>
        <v>45793.468148148146</v>
      </c>
    </row>
    <row r="821" spans="1:5">
      <c r="A821" s="73" t="s">
        <v>938</v>
      </c>
      <c r="B821">
        <v>20.37</v>
      </c>
      <c r="C821">
        <v>52.57</v>
      </c>
      <c r="D821" s="74">
        <f t="shared" si="24"/>
        <v>45793.469548611109</v>
      </c>
      <c r="E821" s="75">
        <f t="shared" si="25"/>
        <v>45793.469548611109</v>
      </c>
    </row>
    <row r="822" spans="1:5">
      <c r="A822" s="73" t="s">
        <v>939</v>
      </c>
      <c r="B822">
        <v>20.38</v>
      </c>
      <c r="C822">
        <v>52.64</v>
      </c>
      <c r="D822" s="74">
        <f t="shared" si="24"/>
        <v>45793.470925925925</v>
      </c>
      <c r="E822" s="75">
        <f t="shared" si="25"/>
        <v>45793.470925925925</v>
      </c>
    </row>
    <row r="823" spans="1:5">
      <c r="A823" s="73" t="s">
        <v>940</v>
      </c>
      <c r="B823">
        <v>20.39</v>
      </c>
      <c r="C823">
        <v>52.66</v>
      </c>
      <c r="D823" s="74">
        <f t="shared" si="24"/>
        <v>45793.472314814811</v>
      </c>
      <c r="E823" s="75">
        <f t="shared" si="25"/>
        <v>45793.472314814811</v>
      </c>
    </row>
    <row r="824" spans="1:5">
      <c r="A824" s="73" t="s">
        <v>941</v>
      </c>
      <c r="B824">
        <v>20.41</v>
      </c>
      <c r="C824">
        <v>52.71</v>
      </c>
      <c r="D824" s="74">
        <f t="shared" si="24"/>
        <v>45793.473703703705</v>
      </c>
      <c r="E824" s="75">
        <f t="shared" si="25"/>
        <v>45793.473703703705</v>
      </c>
    </row>
    <row r="825" spans="1:5">
      <c r="A825" s="73" t="s">
        <v>942</v>
      </c>
      <c r="B825">
        <v>20.41</v>
      </c>
      <c r="C825">
        <v>52.63</v>
      </c>
      <c r="D825" s="74">
        <f t="shared" si="24"/>
        <v>45793.475104166668</v>
      </c>
      <c r="E825" s="75">
        <f t="shared" si="25"/>
        <v>45793.475104166668</v>
      </c>
    </row>
    <row r="826" spans="1:5">
      <c r="A826" s="73" t="s">
        <v>943</v>
      </c>
      <c r="B826">
        <v>20.420000000000002</v>
      </c>
      <c r="C826">
        <v>52.58</v>
      </c>
      <c r="D826" s="74">
        <f t="shared" si="24"/>
        <v>45793.476481481484</v>
      </c>
      <c r="E826" s="75">
        <f t="shared" si="25"/>
        <v>45793.476481481484</v>
      </c>
    </row>
    <row r="827" spans="1:5">
      <c r="A827" s="73" t="s">
        <v>944</v>
      </c>
      <c r="B827">
        <v>20.41</v>
      </c>
      <c r="C827">
        <v>52.49</v>
      </c>
      <c r="D827" s="74">
        <f t="shared" si="24"/>
        <v>45793.477881944447</v>
      </c>
      <c r="E827" s="75">
        <f t="shared" si="25"/>
        <v>45793.477881944447</v>
      </c>
    </row>
    <row r="828" spans="1:5">
      <c r="A828" s="73" t="s">
        <v>945</v>
      </c>
      <c r="B828">
        <v>20.37</v>
      </c>
      <c r="C828">
        <v>52.47</v>
      </c>
      <c r="D828" s="74">
        <f t="shared" si="24"/>
        <v>45793.479259259257</v>
      </c>
      <c r="E828" s="75">
        <f t="shared" si="25"/>
        <v>45793.479259259257</v>
      </c>
    </row>
    <row r="829" spans="1:5">
      <c r="A829" s="73" t="s">
        <v>946</v>
      </c>
      <c r="B829">
        <v>20.37</v>
      </c>
      <c r="C829">
        <v>52.49</v>
      </c>
      <c r="D829" s="74">
        <f t="shared" si="24"/>
        <v>45793.48064814815</v>
      </c>
      <c r="E829" s="75">
        <f t="shared" si="25"/>
        <v>45793.48064814815</v>
      </c>
    </row>
    <row r="830" spans="1:5">
      <c r="A830" s="73" t="s">
        <v>947</v>
      </c>
      <c r="B830">
        <v>20.39</v>
      </c>
      <c r="C830">
        <v>52.49</v>
      </c>
      <c r="D830" s="74">
        <f t="shared" si="24"/>
        <v>45793.482037037036</v>
      </c>
      <c r="E830" s="75">
        <f t="shared" si="25"/>
        <v>45793.482037037036</v>
      </c>
    </row>
    <row r="831" spans="1:5">
      <c r="A831" s="73" t="s">
        <v>948</v>
      </c>
      <c r="B831">
        <v>20.39</v>
      </c>
      <c r="C831">
        <v>52.48</v>
      </c>
      <c r="D831" s="74">
        <f t="shared" si="24"/>
        <v>45793.483437499999</v>
      </c>
      <c r="E831" s="75">
        <f t="shared" si="25"/>
        <v>45793.483437499999</v>
      </c>
    </row>
    <row r="832" spans="1:5">
      <c r="A832" s="73" t="s">
        <v>949</v>
      </c>
      <c r="B832">
        <v>20.399999999999999</v>
      </c>
      <c r="C832">
        <v>52.46</v>
      </c>
      <c r="D832" s="74">
        <f t="shared" si="24"/>
        <v>45793.484814814816</v>
      </c>
      <c r="E832" s="75">
        <f t="shared" si="25"/>
        <v>45793.484814814816</v>
      </c>
    </row>
    <row r="833" spans="1:5">
      <c r="A833" s="73" t="s">
        <v>950</v>
      </c>
      <c r="B833">
        <v>20.399999999999999</v>
      </c>
      <c r="C833">
        <v>52.4</v>
      </c>
      <c r="D833" s="74">
        <f t="shared" si="24"/>
        <v>45793.486215277779</v>
      </c>
      <c r="E833" s="75">
        <f t="shared" si="25"/>
        <v>45793.486215277779</v>
      </c>
    </row>
    <row r="834" spans="1:5">
      <c r="A834" s="73" t="s">
        <v>951</v>
      </c>
      <c r="B834">
        <v>20.399999999999999</v>
      </c>
      <c r="C834">
        <v>52.35</v>
      </c>
      <c r="D834" s="74">
        <f t="shared" si="24"/>
        <v>45793.487604166665</v>
      </c>
      <c r="E834" s="75">
        <f t="shared" si="25"/>
        <v>45793.487604166665</v>
      </c>
    </row>
    <row r="835" spans="1:5">
      <c r="A835" s="73" t="s">
        <v>952</v>
      </c>
      <c r="B835">
        <v>20.39</v>
      </c>
      <c r="C835">
        <v>52.31</v>
      </c>
      <c r="D835" s="74">
        <f t="shared" ref="D835:D898" si="26">A835+12/24</f>
        <v>45793.488993055558</v>
      </c>
      <c r="E835" s="75">
        <f t="shared" ref="E835:E898" si="27">D835</f>
        <v>45793.488993055558</v>
      </c>
    </row>
    <row r="836" spans="1:5">
      <c r="A836" s="73" t="s">
        <v>953</v>
      </c>
      <c r="B836">
        <v>20.36</v>
      </c>
      <c r="C836">
        <v>52.43</v>
      </c>
      <c r="D836" s="74">
        <f t="shared" si="26"/>
        <v>45793.490370370368</v>
      </c>
      <c r="E836" s="75">
        <f t="shared" si="27"/>
        <v>45793.490370370368</v>
      </c>
    </row>
    <row r="837" spans="1:5">
      <c r="A837" s="73" t="s">
        <v>954</v>
      </c>
      <c r="B837">
        <v>20.39</v>
      </c>
      <c r="C837">
        <v>52.49</v>
      </c>
      <c r="D837" s="74">
        <f t="shared" si="26"/>
        <v>45793.491770833331</v>
      </c>
      <c r="E837" s="75">
        <f t="shared" si="27"/>
        <v>45793.491770833331</v>
      </c>
    </row>
    <row r="838" spans="1:5">
      <c r="A838" s="73" t="s">
        <v>955</v>
      </c>
      <c r="B838">
        <v>20.41</v>
      </c>
      <c r="C838">
        <v>52.53</v>
      </c>
      <c r="D838" s="74">
        <f t="shared" si="26"/>
        <v>45793.493148148147</v>
      </c>
      <c r="E838" s="75">
        <f t="shared" si="27"/>
        <v>45793.493148148147</v>
      </c>
    </row>
    <row r="839" spans="1:5">
      <c r="A839" s="73" t="s">
        <v>956</v>
      </c>
      <c r="B839">
        <v>20.41</v>
      </c>
      <c r="C839">
        <v>52.54</v>
      </c>
      <c r="D839" s="74">
        <f t="shared" si="26"/>
        <v>45793.49454861111</v>
      </c>
      <c r="E839" s="75">
        <f t="shared" si="27"/>
        <v>45793.49454861111</v>
      </c>
    </row>
    <row r="840" spans="1:5">
      <c r="A840" s="73" t="s">
        <v>957</v>
      </c>
      <c r="B840">
        <v>20.440000000000001</v>
      </c>
      <c r="C840">
        <v>52.52</v>
      </c>
      <c r="D840" s="74">
        <f t="shared" si="26"/>
        <v>45793.495925925927</v>
      </c>
      <c r="E840" s="75">
        <f t="shared" si="27"/>
        <v>45793.495925925927</v>
      </c>
    </row>
    <row r="841" spans="1:5">
      <c r="A841" s="73" t="s">
        <v>958</v>
      </c>
      <c r="B841">
        <v>20.420000000000002</v>
      </c>
      <c r="C841">
        <v>52.45</v>
      </c>
      <c r="D841" s="74">
        <f t="shared" si="26"/>
        <v>45793.49732638889</v>
      </c>
      <c r="E841" s="75">
        <f t="shared" si="27"/>
        <v>45793.49732638889</v>
      </c>
    </row>
    <row r="842" spans="1:5">
      <c r="A842" s="73" t="s">
        <v>959</v>
      </c>
      <c r="B842">
        <v>20.39</v>
      </c>
      <c r="C842">
        <v>52.48</v>
      </c>
      <c r="D842" s="74">
        <f t="shared" si="26"/>
        <v>45793.498703703706</v>
      </c>
      <c r="E842" s="75">
        <f t="shared" si="27"/>
        <v>45793.498703703706</v>
      </c>
    </row>
    <row r="843" spans="1:5">
      <c r="A843" s="73" t="s">
        <v>960</v>
      </c>
      <c r="B843">
        <v>20.38</v>
      </c>
      <c r="C843">
        <v>52.48</v>
      </c>
      <c r="D843" s="74">
        <f t="shared" si="26"/>
        <v>45793.500104166669</v>
      </c>
      <c r="E843" s="75">
        <f t="shared" si="27"/>
        <v>45793.500104166669</v>
      </c>
    </row>
    <row r="844" spans="1:5">
      <c r="A844" s="73" t="s">
        <v>961</v>
      </c>
      <c r="B844">
        <v>20.38</v>
      </c>
      <c r="C844">
        <v>52.59</v>
      </c>
      <c r="D844" s="74">
        <f t="shared" si="26"/>
        <v>45793.501481481479</v>
      </c>
      <c r="E844" s="75">
        <f t="shared" si="27"/>
        <v>45793.501481481479</v>
      </c>
    </row>
    <row r="845" spans="1:5">
      <c r="A845" s="73" t="s">
        <v>962</v>
      </c>
      <c r="B845">
        <v>20.399999999999999</v>
      </c>
      <c r="C845">
        <v>52.64</v>
      </c>
      <c r="D845" s="74">
        <f t="shared" si="26"/>
        <v>45793.502870370372</v>
      </c>
      <c r="E845" s="75">
        <f t="shared" si="27"/>
        <v>45793.502870370372</v>
      </c>
    </row>
    <row r="846" spans="1:5">
      <c r="A846" s="73" t="s">
        <v>963</v>
      </c>
      <c r="B846">
        <v>20.38</v>
      </c>
      <c r="C846">
        <v>52.73</v>
      </c>
      <c r="D846" s="74">
        <f t="shared" si="26"/>
        <v>45793.504259259258</v>
      </c>
      <c r="E846" s="75">
        <f t="shared" si="27"/>
        <v>45793.504259259258</v>
      </c>
    </row>
    <row r="847" spans="1:5">
      <c r="A847" s="73" t="s">
        <v>964</v>
      </c>
      <c r="B847">
        <v>20.420000000000002</v>
      </c>
      <c r="C847">
        <v>52.71</v>
      </c>
      <c r="D847" s="74">
        <f t="shared" si="26"/>
        <v>45793.505659722221</v>
      </c>
      <c r="E847" s="75">
        <f t="shared" si="27"/>
        <v>45793.505659722221</v>
      </c>
    </row>
    <row r="848" spans="1:5">
      <c r="A848" s="73" t="s">
        <v>965</v>
      </c>
      <c r="B848">
        <v>20.399999999999999</v>
      </c>
      <c r="C848">
        <v>52.71</v>
      </c>
      <c r="D848" s="74">
        <f t="shared" si="26"/>
        <v>45793.507037037038</v>
      </c>
      <c r="E848" s="75">
        <f t="shared" si="27"/>
        <v>45793.507037037038</v>
      </c>
    </row>
    <row r="849" spans="1:5">
      <c r="A849" s="73" t="s">
        <v>966</v>
      </c>
      <c r="B849">
        <v>20.38</v>
      </c>
      <c r="C849">
        <v>52.72</v>
      </c>
      <c r="D849" s="74">
        <f t="shared" si="26"/>
        <v>45793.508437500001</v>
      </c>
      <c r="E849" s="75">
        <f t="shared" si="27"/>
        <v>45793.508437500001</v>
      </c>
    </row>
    <row r="850" spans="1:5">
      <c r="A850" s="73" t="s">
        <v>967</v>
      </c>
      <c r="B850">
        <v>20.36</v>
      </c>
      <c r="C850">
        <v>52.71</v>
      </c>
      <c r="D850" s="74">
        <f t="shared" si="26"/>
        <v>45793.509826388887</v>
      </c>
      <c r="E850" s="75">
        <f t="shared" si="27"/>
        <v>45793.509826388887</v>
      </c>
    </row>
    <row r="851" spans="1:5">
      <c r="A851" s="73" t="s">
        <v>968</v>
      </c>
      <c r="B851">
        <v>20.37</v>
      </c>
      <c r="C851">
        <v>52.72</v>
      </c>
      <c r="D851" s="74">
        <f t="shared" si="26"/>
        <v>45793.51121527778</v>
      </c>
      <c r="E851" s="75">
        <f t="shared" si="27"/>
        <v>45793.51121527778</v>
      </c>
    </row>
    <row r="852" spans="1:5">
      <c r="A852" s="73" t="s">
        <v>969</v>
      </c>
      <c r="B852">
        <v>20.37</v>
      </c>
      <c r="C852">
        <v>52.82</v>
      </c>
      <c r="D852" s="74">
        <f t="shared" si="26"/>
        <v>45793.512592592589</v>
      </c>
      <c r="E852" s="75">
        <f t="shared" si="27"/>
        <v>45793.512592592589</v>
      </c>
    </row>
    <row r="853" spans="1:5">
      <c r="A853" s="73" t="s">
        <v>970</v>
      </c>
      <c r="B853">
        <v>20.39</v>
      </c>
      <c r="C853">
        <v>52.93</v>
      </c>
      <c r="D853" s="74">
        <f t="shared" si="26"/>
        <v>45793.513993055552</v>
      </c>
      <c r="E853" s="75">
        <f t="shared" si="27"/>
        <v>45793.513993055552</v>
      </c>
    </row>
    <row r="854" spans="1:5">
      <c r="A854" s="73" t="s">
        <v>971</v>
      </c>
      <c r="B854">
        <v>20.38</v>
      </c>
      <c r="C854">
        <v>52.97</v>
      </c>
      <c r="D854" s="74">
        <f t="shared" si="26"/>
        <v>45793.515381944446</v>
      </c>
      <c r="E854" s="75">
        <f t="shared" si="27"/>
        <v>45793.515381944446</v>
      </c>
    </row>
    <row r="855" spans="1:5">
      <c r="A855" s="73" t="s">
        <v>972</v>
      </c>
      <c r="B855">
        <v>20.399999999999999</v>
      </c>
      <c r="C855">
        <v>52.92</v>
      </c>
      <c r="D855" s="74">
        <f t="shared" si="26"/>
        <v>45793.516770833332</v>
      </c>
      <c r="E855" s="75">
        <f t="shared" si="27"/>
        <v>45793.516770833332</v>
      </c>
    </row>
    <row r="856" spans="1:5">
      <c r="A856" s="73" t="s">
        <v>973</v>
      </c>
      <c r="B856">
        <v>20.399999999999999</v>
      </c>
      <c r="C856">
        <v>52.86</v>
      </c>
      <c r="D856" s="74">
        <f t="shared" si="26"/>
        <v>45793.518148148149</v>
      </c>
      <c r="E856" s="75">
        <f t="shared" si="27"/>
        <v>45793.518148148149</v>
      </c>
    </row>
    <row r="857" spans="1:5">
      <c r="A857" s="73" t="s">
        <v>974</v>
      </c>
      <c r="B857">
        <v>20.39</v>
      </c>
      <c r="C857">
        <v>52.85</v>
      </c>
      <c r="D857" s="74">
        <f t="shared" si="26"/>
        <v>45793.519548611112</v>
      </c>
      <c r="E857" s="75">
        <f t="shared" si="27"/>
        <v>45793.519548611112</v>
      </c>
    </row>
    <row r="858" spans="1:5">
      <c r="A858" s="73" t="s">
        <v>975</v>
      </c>
      <c r="B858">
        <v>20.36</v>
      </c>
      <c r="C858">
        <v>52.81</v>
      </c>
      <c r="D858" s="74">
        <f t="shared" si="26"/>
        <v>45793.520925925928</v>
      </c>
      <c r="E858" s="75">
        <f t="shared" si="27"/>
        <v>45793.520925925928</v>
      </c>
    </row>
    <row r="859" spans="1:5">
      <c r="A859" s="73" t="s">
        <v>976</v>
      </c>
      <c r="B859">
        <v>20.350000000000001</v>
      </c>
      <c r="C859">
        <v>52.84</v>
      </c>
      <c r="D859" s="74">
        <f t="shared" si="26"/>
        <v>45793.522314814814</v>
      </c>
      <c r="E859" s="75">
        <f t="shared" si="27"/>
        <v>45793.522314814814</v>
      </c>
    </row>
    <row r="860" spans="1:5">
      <c r="A860" s="73" t="s">
        <v>977</v>
      </c>
      <c r="B860">
        <v>20.350000000000001</v>
      </c>
      <c r="C860">
        <v>52.94</v>
      </c>
      <c r="D860" s="74">
        <f t="shared" si="26"/>
        <v>45793.5237037037</v>
      </c>
      <c r="E860" s="75">
        <f t="shared" si="27"/>
        <v>45793.5237037037</v>
      </c>
    </row>
    <row r="861" spans="1:5">
      <c r="A861" s="73" t="s">
        <v>978</v>
      </c>
      <c r="B861">
        <v>20.350000000000001</v>
      </c>
      <c r="C861">
        <v>53</v>
      </c>
      <c r="D861" s="74">
        <f t="shared" si="26"/>
        <v>45793.525104166663</v>
      </c>
      <c r="E861" s="75">
        <f t="shared" si="27"/>
        <v>45793.525104166663</v>
      </c>
    </row>
    <row r="862" spans="1:5">
      <c r="A862" s="73" t="s">
        <v>979</v>
      </c>
      <c r="B862">
        <v>20.37</v>
      </c>
      <c r="C862">
        <v>53.05</v>
      </c>
      <c r="D862" s="74">
        <f t="shared" si="26"/>
        <v>45793.52648148148</v>
      </c>
      <c r="E862" s="75">
        <f t="shared" si="27"/>
        <v>45793.52648148148</v>
      </c>
    </row>
    <row r="863" spans="1:5">
      <c r="A863" s="73" t="s">
        <v>980</v>
      </c>
      <c r="B863">
        <v>20.399999999999999</v>
      </c>
      <c r="C863">
        <v>52.98</v>
      </c>
      <c r="D863" s="74">
        <f t="shared" si="26"/>
        <v>45793.527870370373</v>
      </c>
      <c r="E863" s="75">
        <f t="shared" si="27"/>
        <v>45793.527870370373</v>
      </c>
    </row>
    <row r="864" spans="1:5">
      <c r="A864" s="73" t="s">
        <v>981</v>
      </c>
      <c r="B864">
        <v>20.38</v>
      </c>
      <c r="C864">
        <v>52.91</v>
      </c>
      <c r="D864" s="74">
        <f t="shared" si="26"/>
        <v>45793.52925925926</v>
      </c>
      <c r="E864" s="75">
        <f t="shared" si="27"/>
        <v>45793.52925925926</v>
      </c>
    </row>
    <row r="865" spans="1:5">
      <c r="A865" s="73" t="s">
        <v>982</v>
      </c>
      <c r="B865">
        <v>20.36</v>
      </c>
      <c r="C865">
        <v>53.04</v>
      </c>
      <c r="D865" s="74">
        <f t="shared" si="26"/>
        <v>45793.530659722222</v>
      </c>
      <c r="E865" s="75">
        <f t="shared" si="27"/>
        <v>45793.530659722222</v>
      </c>
    </row>
    <row r="866" spans="1:5">
      <c r="A866" s="73" t="s">
        <v>983</v>
      </c>
      <c r="B866">
        <v>20.37</v>
      </c>
      <c r="C866">
        <v>53.1</v>
      </c>
      <c r="D866" s="74">
        <f t="shared" si="26"/>
        <v>45793.532037037039</v>
      </c>
      <c r="E866" s="75">
        <f t="shared" si="27"/>
        <v>45793.532037037039</v>
      </c>
    </row>
    <row r="867" spans="1:5">
      <c r="A867" s="73" t="s">
        <v>984</v>
      </c>
      <c r="B867">
        <v>20.38</v>
      </c>
      <c r="C867">
        <v>53.07</v>
      </c>
      <c r="D867" s="74">
        <f t="shared" si="26"/>
        <v>45793.533437500002</v>
      </c>
      <c r="E867" s="75">
        <f t="shared" si="27"/>
        <v>45793.533437500002</v>
      </c>
    </row>
    <row r="868" spans="1:5">
      <c r="A868" s="73" t="s">
        <v>985</v>
      </c>
      <c r="B868">
        <v>20.37</v>
      </c>
      <c r="C868">
        <v>53.04</v>
      </c>
      <c r="D868" s="74">
        <f t="shared" si="26"/>
        <v>45793.534826388888</v>
      </c>
      <c r="E868" s="75">
        <f t="shared" si="27"/>
        <v>45793.534826388888</v>
      </c>
    </row>
    <row r="869" spans="1:5">
      <c r="A869" s="73" t="s">
        <v>986</v>
      </c>
      <c r="B869">
        <v>20.37</v>
      </c>
      <c r="C869">
        <v>53.01</v>
      </c>
      <c r="D869" s="74">
        <f t="shared" si="26"/>
        <v>45793.536215277774</v>
      </c>
      <c r="E869" s="75">
        <f t="shared" si="27"/>
        <v>45793.536215277774</v>
      </c>
    </row>
    <row r="870" spans="1:5">
      <c r="A870" s="73" t="s">
        <v>987</v>
      </c>
      <c r="B870">
        <v>20.36</v>
      </c>
      <c r="C870">
        <v>52.98</v>
      </c>
      <c r="D870" s="74">
        <f t="shared" si="26"/>
        <v>45793.537592592591</v>
      </c>
      <c r="E870" s="75">
        <f t="shared" si="27"/>
        <v>45793.537592592591</v>
      </c>
    </row>
    <row r="871" spans="1:5">
      <c r="A871" s="73" t="s">
        <v>988</v>
      </c>
      <c r="B871">
        <v>20.37</v>
      </c>
      <c r="C871">
        <v>53.05</v>
      </c>
      <c r="D871" s="74">
        <f t="shared" si="26"/>
        <v>45793.538993055554</v>
      </c>
      <c r="E871" s="75">
        <f t="shared" si="27"/>
        <v>45793.538993055554</v>
      </c>
    </row>
    <row r="872" spans="1:5">
      <c r="A872" s="73" t="s">
        <v>989</v>
      </c>
      <c r="B872">
        <v>20.38</v>
      </c>
      <c r="C872">
        <v>53.12</v>
      </c>
      <c r="D872" s="74">
        <f t="shared" si="26"/>
        <v>45793.540370370371</v>
      </c>
      <c r="E872" s="75">
        <f t="shared" si="27"/>
        <v>45793.540370370371</v>
      </c>
    </row>
    <row r="873" spans="1:5">
      <c r="A873" s="73" t="s">
        <v>990</v>
      </c>
      <c r="B873">
        <v>20.38</v>
      </c>
      <c r="C873">
        <v>53.17</v>
      </c>
      <c r="D873" s="74">
        <f t="shared" si="26"/>
        <v>45793.541759259257</v>
      </c>
      <c r="E873" s="75">
        <f t="shared" si="27"/>
        <v>45793.541759259257</v>
      </c>
    </row>
    <row r="874" spans="1:5">
      <c r="A874" s="73" t="s">
        <v>991</v>
      </c>
      <c r="B874">
        <v>20.39</v>
      </c>
      <c r="C874">
        <v>53.19</v>
      </c>
      <c r="D874" s="74">
        <f t="shared" si="26"/>
        <v>45793.54314814815</v>
      </c>
      <c r="E874" s="75">
        <f t="shared" si="27"/>
        <v>45793.54314814815</v>
      </c>
    </row>
    <row r="875" spans="1:5">
      <c r="A875" s="73" t="s">
        <v>992</v>
      </c>
      <c r="B875">
        <v>20.39</v>
      </c>
      <c r="C875">
        <v>53.15</v>
      </c>
      <c r="D875" s="74">
        <f t="shared" si="26"/>
        <v>45793.544548611113</v>
      </c>
      <c r="E875" s="75">
        <f t="shared" si="27"/>
        <v>45793.544548611113</v>
      </c>
    </row>
    <row r="876" spans="1:5">
      <c r="A876" s="73" t="s">
        <v>993</v>
      </c>
      <c r="B876">
        <v>20.38</v>
      </c>
      <c r="C876">
        <v>53.16</v>
      </c>
      <c r="D876" s="74">
        <f t="shared" si="26"/>
        <v>45793.545925925922</v>
      </c>
      <c r="E876" s="75">
        <f t="shared" si="27"/>
        <v>45793.545925925922</v>
      </c>
    </row>
    <row r="877" spans="1:5">
      <c r="A877" s="73" t="s">
        <v>994</v>
      </c>
      <c r="B877">
        <v>20.38</v>
      </c>
      <c r="C877">
        <v>53.14</v>
      </c>
      <c r="D877" s="74">
        <f t="shared" si="26"/>
        <v>45793.547326388885</v>
      </c>
      <c r="E877" s="75">
        <f t="shared" si="27"/>
        <v>45793.547326388885</v>
      </c>
    </row>
    <row r="878" spans="1:5">
      <c r="A878" s="73" t="s">
        <v>995</v>
      </c>
      <c r="B878">
        <v>20.36</v>
      </c>
      <c r="C878">
        <v>53.12</v>
      </c>
      <c r="D878" s="74">
        <f t="shared" si="26"/>
        <v>45793.548703703702</v>
      </c>
      <c r="E878" s="75">
        <f t="shared" si="27"/>
        <v>45793.548703703702</v>
      </c>
    </row>
    <row r="879" spans="1:5">
      <c r="A879" s="73" t="s">
        <v>996</v>
      </c>
      <c r="B879">
        <v>20.36</v>
      </c>
      <c r="C879">
        <v>53.23</v>
      </c>
      <c r="D879" s="74">
        <f t="shared" si="26"/>
        <v>45793.550104166665</v>
      </c>
      <c r="E879" s="75">
        <f t="shared" si="27"/>
        <v>45793.550104166665</v>
      </c>
    </row>
    <row r="880" spans="1:5">
      <c r="A880" s="73" t="s">
        <v>997</v>
      </c>
      <c r="B880">
        <v>20.37</v>
      </c>
      <c r="C880">
        <v>53.29</v>
      </c>
      <c r="D880" s="74">
        <f t="shared" si="26"/>
        <v>45793.551493055558</v>
      </c>
      <c r="E880" s="75">
        <f t="shared" si="27"/>
        <v>45793.551493055558</v>
      </c>
    </row>
    <row r="881" spans="1:5">
      <c r="A881" s="73" t="s">
        <v>998</v>
      </c>
      <c r="B881">
        <v>20.38</v>
      </c>
      <c r="C881">
        <v>53.36</v>
      </c>
      <c r="D881" s="74">
        <f t="shared" si="26"/>
        <v>45793.552881944444</v>
      </c>
      <c r="E881" s="75">
        <f t="shared" si="27"/>
        <v>45793.552881944444</v>
      </c>
    </row>
    <row r="882" spans="1:5">
      <c r="A882" s="73" t="s">
        <v>999</v>
      </c>
      <c r="B882">
        <v>20.38</v>
      </c>
      <c r="C882">
        <v>53.39</v>
      </c>
      <c r="D882" s="74">
        <f t="shared" si="26"/>
        <v>45793.554259259261</v>
      </c>
      <c r="E882" s="75">
        <f t="shared" si="27"/>
        <v>45793.554259259261</v>
      </c>
    </row>
    <row r="883" spans="1:5">
      <c r="A883" s="73" t="s">
        <v>1000</v>
      </c>
      <c r="B883">
        <v>20.399999999999999</v>
      </c>
      <c r="C883">
        <v>53.34</v>
      </c>
      <c r="D883" s="74">
        <f t="shared" si="26"/>
        <v>45793.555659722224</v>
      </c>
      <c r="E883" s="75">
        <f t="shared" si="27"/>
        <v>45793.555659722224</v>
      </c>
    </row>
    <row r="884" spans="1:5">
      <c r="A884" s="73" t="s">
        <v>1001</v>
      </c>
      <c r="B884">
        <v>20.38</v>
      </c>
      <c r="C884">
        <v>53.32</v>
      </c>
      <c r="D884" s="74">
        <f t="shared" si="26"/>
        <v>45793.557037037041</v>
      </c>
      <c r="E884" s="75">
        <f t="shared" si="27"/>
        <v>45793.557037037041</v>
      </c>
    </row>
    <row r="885" spans="1:5">
      <c r="A885" s="73" t="s">
        <v>1002</v>
      </c>
      <c r="B885">
        <v>20.38</v>
      </c>
      <c r="C885">
        <v>53.38</v>
      </c>
      <c r="D885" s="74">
        <f t="shared" si="26"/>
        <v>45793.558425925927</v>
      </c>
      <c r="E885" s="75">
        <f t="shared" si="27"/>
        <v>45793.558425925927</v>
      </c>
    </row>
    <row r="886" spans="1:5">
      <c r="A886" s="73" t="s">
        <v>1003</v>
      </c>
      <c r="B886">
        <v>20.399999999999999</v>
      </c>
      <c r="C886">
        <v>53.33</v>
      </c>
      <c r="D886" s="74">
        <f t="shared" si="26"/>
        <v>45793.559814814813</v>
      </c>
      <c r="E886" s="75">
        <f t="shared" si="27"/>
        <v>45793.559814814813</v>
      </c>
    </row>
    <row r="887" spans="1:5">
      <c r="A887" s="73" t="s">
        <v>1004</v>
      </c>
      <c r="B887">
        <v>20.38</v>
      </c>
      <c r="C887">
        <v>53.46</v>
      </c>
      <c r="D887" s="74">
        <f t="shared" si="26"/>
        <v>45793.561215277776</v>
      </c>
      <c r="E887" s="75">
        <f t="shared" si="27"/>
        <v>45793.561215277776</v>
      </c>
    </row>
    <row r="888" spans="1:5">
      <c r="A888" s="73" t="s">
        <v>1005</v>
      </c>
      <c r="B888">
        <v>20.41</v>
      </c>
      <c r="C888">
        <v>53.6</v>
      </c>
      <c r="D888" s="74">
        <f t="shared" si="26"/>
        <v>45793.562592592592</v>
      </c>
      <c r="E888" s="75">
        <f t="shared" si="27"/>
        <v>45793.562592592592</v>
      </c>
    </row>
    <row r="889" spans="1:5">
      <c r="A889" s="73" t="s">
        <v>1006</v>
      </c>
      <c r="B889">
        <v>20.45</v>
      </c>
      <c r="C889">
        <v>53.6</v>
      </c>
      <c r="D889" s="74">
        <f t="shared" si="26"/>
        <v>45793.563993055555</v>
      </c>
      <c r="E889" s="75">
        <f t="shared" si="27"/>
        <v>45793.563993055555</v>
      </c>
    </row>
    <row r="890" spans="1:5">
      <c r="A890" s="73" t="s">
        <v>1007</v>
      </c>
      <c r="B890">
        <v>20.47</v>
      </c>
      <c r="C890">
        <v>53.55</v>
      </c>
      <c r="D890" s="74">
        <f t="shared" si="26"/>
        <v>45793.565381944441</v>
      </c>
      <c r="E890" s="75">
        <f t="shared" si="27"/>
        <v>45793.565381944441</v>
      </c>
    </row>
    <row r="891" spans="1:5">
      <c r="A891" s="73" t="s">
        <v>1008</v>
      </c>
      <c r="B891">
        <v>20.45</v>
      </c>
      <c r="C891">
        <v>53.5</v>
      </c>
      <c r="D891" s="74">
        <f t="shared" si="26"/>
        <v>45793.566770833335</v>
      </c>
      <c r="E891" s="75">
        <f t="shared" si="27"/>
        <v>45793.566770833335</v>
      </c>
    </row>
    <row r="892" spans="1:5">
      <c r="A892" s="73" t="s">
        <v>1009</v>
      </c>
      <c r="B892">
        <v>20.440000000000001</v>
      </c>
      <c r="C892">
        <v>53.49</v>
      </c>
      <c r="D892" s="74">
        <f t="shared" si="26"/>
        <v>45793.568148148152</v>
      </c>
      <c r="E892" s="75">
        <f t="shared" si="27"/>
        <v>45793.568148148152</v>
      </c>
    </row>
    <row r="893" spans="1:5">
      <c r="A893" s="73" t="s">
        <v>1010</v>
      </c>
      <c r="B893">
        <v>20.45</v>
      </c>
      <c r="C893">
        <v>53.5</v>
      </c>
      <c r="D893" s="74">
        <f t="shared" si="26"/>
        <v>45793.569548611114</v>
      </c>
      <c r="E893" s="75">
        <f t="shared" si="27"/>
        <v>45793.569548611114</v>
      </c>
    </row>
    <row r="894" spans="1:5">
      <c r="A894" s="73" t="s">
        <v>1011</v>
      </c>
      <c r="B894">
        <v>20.399999999999999</v>
      </c>
      <c r="C894">
        <v>53.44</v>
      </c>
      <c r="D894" s="74">
        <f t="shared" si="26"/>
        <v>45793.570925925924</v>
      </c>
      <c r="E894" s="75">
        <f t="shared" si="27"/>
        <v>45793.570925925924</v>
      </c>
    </row>
    <row r="895" spans="1:5">
      <c r="A895" s="73" t="s">
        <v>1012</v>
      </c>
      <c r="B895">
        <v>20.37</v>
      </c>
      <c r="C895">
        <v>53.57</v>
      </c>
      <c r="D895" s="74">
        <f t="shared" si="26"/>
        <v>45793.572314814817</v>
      </c>
      <c r="E895" s="75">
        <f t="shared" si="27"/>
        <v>45793.572314814817</v>
      </c>
    </row>
    <row r="896" spans="1:5">
      <c r="A896" s="73" t="s">
        <v>1013</v>
      </c>
      <c r="B896">
        <v>20.39</v>
      </c>
      <c r="C896">
        <v>53.67</v>
      </c>
      <c r="D896" s="74">
        <f t="shared" si="26"/>
        <v>45793.573703703703</v>
      </c>
      <c r="E896" s="75">
        <f t="shared" si="27"/>
        <v>45793.573703703703</v>
      </c>
    </row>
    <row r="897" spans="1:5">
      <c r="A897" s="73" t="s">
        <v>1014</v>
      </c>
      <c r="B897">
        <v>20.399999999999999</v>
      </c>
      <c r="C897">
        <v>53.67</v>
      </c>
      <c r="D897" s="74">
        <f t="shared" si="26"/>
        <v>45793.575104166666</v>
      </c>
      <c r="E897" s="75">
        <f t="shared" si="27"/>
        <v>45793.575104166666</v>
      </c>
    </row>
    <row r="898" spans="1:5">
      <c r="A898" s="73" t="s">
        <v>1015</v>
      </c>
      <c r="B898">
        <v>20.399999999999999</v>
      </c>
      <c r="C898">
        <v>53.6</v>
      </c>
      <c r="D898" s="74">
        <f t="shared" si="26"/>
        <v>45793.576481481483</v>
      </c>
      <c r="E898" s="75">
        <f t="shared" si="27"/>
        <v>45793.576481481483</v>
      </c>
    </row>
    <row r="899" spans="1:5">
      <c r="A899" s="73" t="s">
        <v>1016</v>
      </c>
      <c r="B899">
        <v>20.39</v>
      </c>
      <c r="C899">
        <v>53.57</v>
      </c>
      <c r="D899" s="74">
        <f t="shared" ref="D899:D962" si="28">A899+12/24</f>
        <v>45793.577870370369</v>
      </c>
      <c r="E899" s="75">
        <f t="shared" ref="E899:E962" si="29">D899</f>
        <v>45793.577870370369</v>
      </c>
    </row>
    <row r="900" spans="1:5">
      <c r="A900" s="73" t="s">
        <v>1017</v>
      </c>
      <c r="B900">
        <v>20.37</v>
      </c>
      <c r="C900">
        <v>53.57</v>
      </c>
      <c r="D900" s="74">
        <f t="shared" si="28"/>
        <v>45793.579259259262</v>
      </c>
      <c r="E900" s="75">
        <f t="shared" si="29"/>
        <v>45793.579259259262</v>
      </c>
    </row>
    <row r="901" spans="1:5">
      <c r="A901" s="73" t="s">
        <v>1018</v>
      </c>
      <c r="B901">
        <v>20.41</v>
      </c>
      <c r="C901">
        <v>53.56</v>
      </c>
      <c r="D901" s="74">
        <f t="shared" si="28"/>
        <v>45793.580659722225</v>
      </c>
      <c r="E901" s="75">
        <f t="shared" si="29"/>
        <v>45793.580659722225</v>
      </c>
    </row>
    <row r="902" spans="1:5">
      <c r="A902" s="73" t="s">
        <v>1019</v>
      </c>
      <c r="B902">
        <v>20.39</v>
      </c>
      <c r="C902">
        <v>53.65</v>
      </c>
      <c r="D902" s="74">
        <f t="shared" si="28"/>
        <v>45793.582037037035</v>
      </c>
      <c r="E902" s="75">
        <f t="shared" si="29"/>
        <v>45793.582037037035</v>
      </c>
    </row>
    <row r="903" spans="1:5">
      <c r="A903" s="73" t="s">
        <v>1020</v>
      </c>
      <c r="B903">
        <v>20.39</v>
      </c>
      <c r="C903">
        <v>53.75</v>
      </c>
      <c r="D903" s="74">
        <f t="shared" si="28"/>
        <v>45793.583425925928</v>
      </c>
      <c r="E903" s="75">
        <f t="shared" si="29"/>
        <v>45793.583425925928</v>
      </c>
    </row>
    <row r="904" spans="1:5">
      <c r="A904" s="73" t="s">
        <v>1021</v>
      </c>
      <c r="B904">
        <v>20.420000000000002</v>
      </c>
      <c r="C904">
        <v>53.82</v>
      </c>
      <c r="D904" s="74">
        <f t="shared" si="28"/>
        <v>45793.584814814814</v>
      </c>
      <c r="E904" s="75">
        <f t="shared" si="29"/>
        <v>45793.584814814814</v>
      </c>
    </row>
    <row r="905" spans="1:5">
      <c r="A905" s="73" t="s">
        <v>1022</v>
      </c>
      <c r="B905">
        <v>20.43</v>
      </c>
      <c r="C905">
        <v>53.77</v>
      </c>
      <c r="D905" s="74">
        <f t="shared" si="28"/>
        <v>45793.586215277777</v>
      </c>
      <c r="E905" s="75">
        <f t="shared" si="29"/>
        <v>45793.586215277777</v>
      </c>
    </row>
    <row r="906" spans="1:5">
      <c r="A906" s="73" t="s">
        <v>1023</v>
      </c>
      <c r="B906">
        <v>20.420000000000002</v>
      </c>
      <c r="C906">
        <v>53.77</v>
      </c>
      <c r="D906" s="74">
        <f t="shared" si="28"/>
        <v>45793.587604166663</v>
      </c>
      <c r="E906" s="75">
        <f t="shared" si="29"/>
        <v>45793.587604166663</v>
      </c>
    </row>
    <row r="907" spans="1:5">
      <c r="A907" s="73" t="s">
        <v>1024</v>
      </c>
      <c r="B907">
        <v>20.399999999999999</v>
      </c>
      <c r="C907">
        <v>53.76</v>
      </c>
      <c r="D907" s="74">
        <f t="shared" si="28"/>
        <v>45793.588993055557</v>
      </c>
      <c r="E907" s="75">
        <f t="shared" si="29"/>
        <v>45793.588993055557</v>
      </c>
    </row>
    <row r="908" spans="1:5">
      <c r="A908" s="73" t="s">
        <v>1025</v>
      </c>
      <c r="B908">
        <v>20.38</v>
      </c>
      <c r="C908">
        <v>53.74</v>
      </c>
      <c r="D908" s="74">
        <f t="shared" si="28"/>
        <v>45793.590370370373</v>
      </c>
      <c r="E908" s="75">
        <f t="shared" si="29"/>
        <v>45793.590370370373</v>
      </c>
    </row>
    <row r="909" spans="1:5">
      <c r="A909" s="73" t="s">
        <v>1026</v>
      </c>
      <c r="B909">
        <v>20.350000000000001</v>
      </c>
      <c r="C909">
        <v>53.8</v>
      </c>
      <c r="D909" s="74">
        <f t="shared" si="28"/>
        <v>45793.591770833336</v>
      </c>
      <c r="E909" s="75">
        <f t="shared" si="29"/>
        <v>45793.591770833336</v>
      </c>
    </row>
    <row r="910" spans="1:5">
      <c r="A910" s="73" t="s">
        <v>1027</v>
      </c>
      <c r="B910">
        <v>20.350000000000001</v>
      </c>
      <c r="C910">
        <v>53.94</v>
      </c>
      <c r="D910" s="74">
        <f t="shared" si="28"/>
        <v>45793.593148148146</v>
      </c>
      <c r="E910" s="75">
        <f t="shared" si="29"/>
        <v>45793.593148148146</v>
      </c>
    </row>
    <row r="911" spans="1:5">
      <c r="A911" s="73" t="s">
        <v>1028</v>
      </c>
      <c r="B911">
        <v>20.37</v>
      </c>
      <c r="C911">
        <v>54.03</v>
      </c>
      <c r="D911" s="74">
        <f t="shared" si="28"/>
        <v>45793.594537037039</v>
      </c>
      <c r="E911" s="75">
        <f t="shared" si="29"/>
        <v>45793.594537037039</v>
      </c>
    </row>
    <row r="912" spans="1:5">
      <c r="A912" s="73" t="s">
        <v>1029</v>
      </c>
      <c r="B912">
        <v>20.399999999999999</v>
      </c>
      <c r="C912">
        <v>54.08</v>
      </c>
      <c r="D912" s="74">
        <f t="shared" si="28"/>
        <v>45793.595925925925</v>
      </c>
      <c r="E912" s="75">
        <f t="shared" si="29"/>
        <v>45793.595925925925</v>
      </c>
    </row>
    <row r="913" spans="1:5">
      <c r="A913" s="73" t="s">
        <v>1030</v>
      </c>
      <c r="B913">
        <v>20.41</v>
      </c>
      <c r="C913">
        <v>54.04</v>
      </c>
      <c r="D913" s="74">
        <f t="shared" si="28"/>
        <v>45793.597326388888</v>
      </c>
      <c r="E913" s="75">
        <f t="shared" si="29"/>
        <v>45793.597326388888</v>
      </c>
    </row>
    <row r="914" spans="1:5">
      <c r="A914" s="73" t="s">
        <v>1031</v>
      </c>
      <c r="B914">
        <v>20.39</v>
      </c>
      <c r="C914">
        <v>54.05</v>
      </c>
      <c r="D914" s="74">
        <f t="shared" si="28"/>
        <v>45793.598703703705</v>
      </c>
      <c r="E914" s="75">
        <f t="shared" si="29"/>
        <v>45793.598703703705</v>
      </c>
    </row>
    <row r="915" spans="1:5">
      <c r="A915" s="73" t="s">
        <v>1032</v>
      </c>
      <c r="B915">
        <v>20.38</v>
      </c>
      <c r="C915">
        <v>54.06</v>
      </c>
      <c r="D915" s="74">
        <f t="shared" si="28"/>
        <v>45793.600104166668</v>
      </c>
      <c r="E915" s="75">
        <f t="shared" si="29"/>
        <v>45793.600104166668</v>
      </c>
    </row>
    <row r="916" spans="1:5">
      <c r="A916" s="73" t="s">
        <v>1033</v>
      </c>
      <c r="B916">
        <v>20.37</v>
      </c>
      <c r="C916">
        <v>54.02</v>
      </c>
      <c r="D916" s="74">
        <f t="shared" si="28"/>
        <v>45793.601493055554</v>
      </c>
      <c r="E916" s="75">
        <f t="shared" si="29"/>
        <v>45793.601493055554</v>
      </c>
    </row>
    <row r="917" spans="1:5">
      <c r="A917" s="73" t="s">
        <v>1034</v>
      </c>
      <c r="B917">
        <v>20.36</v>
      </c>
      <c r="C917">
        <v>53.99</v>
      </c>
      <c r="D917" s="74">
        <f t="shared" si="28"/>
        <v>45793.602881944447</v>
      </c>
      <c r="E917" s="75">
        <f t="shared" si="29"/>
        <v>45793.602881944447</v>
      </c>
    </row>
    <row r="918" spans="1:5">
      <c r="A918" s="73" t="s">
        <v>1035</v>
      </c>
      <c r="B918">
        <v>20.350000000000001</v>
      </c>
      <c r="C918">
        <v>54.07</v>
      </c>
      <c r="D918" s="74">
        <f t="shared" si="28"/>
        <v>45793.604259259257</v>
      </c>
      <c r="E918" s="75">
        <f t="shared" si="29"/>
        <v>45793.604259259257</v>
      </c>
    </row>
    <row r="919" spans="1:5">
      <c r="A919" s="73" t="s">
        <v>1036</v>
      </c>
      <c r="B919">
        <v>20.350000000000001</v>
      </c>
      <c r="C919">
        <v>54.2</v>
      </c>
      <c r="D919" s="74">
        <f t="shared" si="28"/>
        <v>45793.60565972222</v>
      </c>
      <c r="E919" s="75">
        <f t="shared" si="29"/>
        <v>45793.60565972222</v>
      </c>
    </row>
    <row r="920" spans="1:5">
      <c r="A920" s="73" t="s">
        <v>1037</v>
      </c>
      <c r="B920">
        <v>20.34</v>
      </c>
      <c r="C920">
        <v>54.26</v>
      </c>
      <c r="D920" s="74">
        <f t="shared" si="28"/>
        <v>45793.607037037036</v>
      </c>
      <c r="E920" s="75">
        <f t="shared" si="29"/>
        <v>45793.607037037036</v>
      </c>
    </row>
    <row r="921" spans="1:5">
      <c r="A921" s="73" t="s">
        <v>1038</v>
      </c>
      <c r="B921">
        <v>20.37</v>
      </c>
      <c r="C921">
        <v>54.3</v>
      </c>
      <c r="D921" s="74">
        <f t="shared" si="28"/>
        <v>45793.608425925922</v>
      </c>
      <c r="E921" s="75">
        <f t="shared" si="29"/>
        <v>45793.608425925922</v>
      </c>
    </row>
    <row r="922" spans="1:5">
      <c r="A922" s="73" t="s">
        <v>1039</v>
      </c>
      <c r="B922">
        <v>20.38</v>
      </c>
      <c r="C922">
        <v>54.27</v>
      </c>
      <c r="D922" s="74">
        <f t="shared" si="28"/>
        <v>45793.609814814816</v>
      </c>
      <c r="E922" s="75">
        <f t="shared" si="29"/>
        <v>45793.609814814816</v>
      </c>
    </row>
    <row r="923" spans="1:5">
      <c r="A923" s="73" t="s">
        <v>1040</v>
      </c>
      <c r="B923">
        <v>20.38</v>
      </c>
      <c r="C923">
        <v>54.22</v>
      </c>
      <c r="D923" s="74">
        <f t="shared" si="28"/>
        <v>45793.611215277779</v>
      </c>
      <c r="E923" s="75">
        <f t="shared" si="29"/>
        <v>45793.611215277779</v>
      </c>
    </row>
    <row r="924" spans="1:5">
      <c r="A924" s="73" t="s">
        <v>1041</v>
      </c>
      <c r="B924">
        <v>20.38</v>
      </c>
      <c r="C924">
        <v>54.15</v>
      </c>
      <c r="D924" s="74">
        <f t="shared" si="28"/>
        <v>45793.612592592595</v>
      </c>
      <c r="E924" s="75">
        <f t="shared" si="29"/>
        <v>45793.612592592595</v>
      </c>
    </row>
    <row r="925" spans="1:5">
      <c r="A925" s="73" t="s">
        <v>1042</v>
      </c>
      <c r="B925">
        <v>20.37</v>
      </c>
      <c r="C925">
        <v>54.1</v>
      </c>
      <c r="D925" s="74">
        <f t="shared" si="28"/>
        <v>45793.613981481481</v>
      </c>
      <c r="E925" s="75">
        <f t="shared" si="29"/>
        <v>45793.613981481481</v>
      </c>
    </row>
    <row r="926" spans="1:5">
      <c r="A926" s="73" t="s">
        <v>1043</v>
      </c>
      <c r="B926">
        <v>20.34</v>
      </c>
      <c r="C926">
        <v>54.05</v>
      </c>
      <c r="D926" s="74">
        <f t="shared" si="28"/>
        <v>45793.615381944444</v>
      </c>
      <c r="E926" s="75">
        <f t="shared" si="29"/>
        <v>45793.615381944444</v>
      </c>
    </row>
    <row r="927" spans="1:5">
      <c r="A927" s="73" t="s">
        <v>1044</v>
      </c>
      <c r="B927">
        <v>20.34</v>
      </c>
      <c r="C927">
        <v>53.98</v>
      </c>
      <c r="D927" s="74">
        <f t="shared" si="28"/>
        <v>45793.616770833331</v>
      </c>
      <c r="E927" s="75">
        <f t="shared" si="29"/>
        <v>45793.616770833331</v>
      </c>
    </row>
    <row r="928" spans="1:5">
      <c r="A928" s="73" t="s">
        <v>1045</v>
      </c>
      <c r="B928">
        <v>20.350000000000001</v>
      </c>
      <c r="C928">
        <v>54.06</v>
      </c>
      <c r="D928" s="74">
        <f t="shared" si="28"/>
        <v>45793.618148148147</v>
      </c>
      <c r="E928" s="75">
        <f t="shared" si="29"/>
        <v>45793.618148148147</v>
      </c>
    </row>
    <row r="929" spans="1:5">
      <c r="A929" s="73" t="s">
        <v>1046</v>
      </c>
      <c r="B929">
        <v>20.38</v>
      </c>
      <c r="C929">
        <v>54.22</v>
      </c>
      <c r="D929" s="74">
        <f t="shared" si="28"/>
        <v>45793.61954861111</v>
      </c>
      <c r="E929" s="75">
        <f t="shared" si="29"/>
        <v>45793.61954861111</v>
      </c>
    </row>
    <row r="930" spans="1:5">
      <c r="A930" s="73" t="s">
        <v>1047</v>
      </c>
      <c r="B930">
        <v>20.399999999999999</v>
      </c>
      <c r="C930">
        <v>54.1</v>
      </c>
      <c r="D930" s="74">
        <f t="shared" si="28"/>
        <v>45793.620937500003</v>
      </c>
      <c r="E930" s="75">
        <f t="shared" si="29"/>
        <v>45793.620937500003</v>
      </c>
    </row>
    <row r="931" spans="1:5">
      <c r="A931" s="73" t="s">
        <v>1048</v>
      </c>
      <c r="B931">
        <v>20.399999999999999</v>
      </c>
      <c r="C931">
        <v>54.05</v>
      </c>
      <c r="D931" s="74">
        <f t="shared" si="28"/>
        <v>45793.62232638889</v>
      </c>
      <c r="E931" s="75">
        <f t="shared" si="29"/>
        <v>45793.62232638889</v>
      </c>
    </row>
    <row r="932" spans="1:5">
      <c r="A932" s="73" t="s">
        <v>1049</v>
      </c>
      <c r="B932">
        <v>20.43</v>
      </c>
      <c r="C932">
        <v>53.94</v>
      </c>
      <c r="D932" s="74">
        <f t="shared" si="28"/>
        <v>45793.623703703706</v>
      </c>
      <c r="E932" s="75">
        <f t="shared" si="29"/>
        <v>45793.623703703706</v>
      </c>
    </row>
    <row r="933" spans="1:5">
      <c r="A933" s="73" t="s">
        <v>1050</v>
      </c>
      <c r="B933">
        <v>20.46</v>
      </c>
      <c r="C933">
        <v>53.9</v>
      </c>
      <c r="D933" s="74">
        <f t="shared" si="28"/>
        <v>45793.625104166669</v>
      </c>
      <c r="E933" s="75">
        <f t="shared" si="29"/>
        <v>45793.625104166669</v>
      </c>
    </row>
    <row r="934" spans="1:5">
      <c r="A934" s="73" t="s">
        <v>1051</v>
      </c>
      <c r="B934">
        <v>20.48</v>
      </c>
      <c r="C934">
        <v>53.86</v>
      </c>
      <c r="D934" s="74">
        <f t="shared" si="28"/>
        <v>45793.626493055555</v>
      </c>
      <c r="E934" s="75">
        <f t="shared" si="29"/>
        <v>45793.626493055555</v>
      </c>
    </row>
    <row r="935" spans="1:5">
      <c r="A935" s="73" t="s">
        <v>1052</v>
      </c>
      <c r="B935">
        <v>20.47</v>
      </c>
      <c r="C935">
        <v>53.78</v>
      </c>
      <c r="D935" s="74">
        <f t="shared" si="28"/>
        <v>45793.627881944441</v>
      </c>
      <c r="E935" s="75">
        <f t="shared" si="29"/>
        <v>45793.627881944441</v>
      </c>
    </row>
    <row r="936" spans="1:5">
      <c r="A936" s="73" t="s">
        <v>1053</v>
      </c>
      <c r="B936">
        <v>20.49</v>
      </c>
      <c r="C936">
        <v>53.65</v>
      </c>
      <c r="D936" s="74">
        <f t="shared" si="28"/>
        <v>45793.629259259258</v>
      </c>
      <c r="E936" s="75">
        <f t="shared" si="29"/>
        <v>45793.629259259258</v>
      </c>
    </row>
    <row r="937" spans="1:5">
      <c r="A937" s="73" t="s">
        <v>1054</v>
      </c>
      <c r="B937">
        <v>20.440000000000001</v>
      </c>
      <c r="C937">
        <v>53.7</v>
      </c>
      <c r="D937" s="74">
        <f t="shared" si="28"/>
        <v>45793.630659722221</v>
      </c>
      <c r="E937" s="75">
        <f t="shared" si="29"/>
        <v>45793.630659722221</v>
      </c>
    </row>
    <row r="938" spans="1:5">
      <c r="A938" s="73" t="s">
        <v>1055</v>
      </c>
      <c r="B938">
        <v>20.399999999999999</v>
      </c>
      <c r="C938">
        <v>53.76</v>
      </c>
      <c r="D938" s="74">
        <f t="shared" si="28"/>
        <v>45793.632037037038</v>
      </c>
      <c r="E938" s="75">
        <f t="shared" si="29"/>
        <v>45793.632037037038</v>
      </c>
    </row>
    <row r="939" spans="1:5">
      <c r="A939" s="73" t="s">
        <v>1056</v>
      </c>
      <c r="B939">
        <v>20.440000000000001</v>
      </c>
      <c r="C939">
        <v>53.73</v>
      </c>
      <c r="D939" s="74">
        <f t="shared" si="28"/>
        <v>45793.633437500001</v>
      </c>
      <c r="E939" s="75">
        <f t="shared" si="29"/>
        <v>45793.633437500001</v>
      </c>
    </row>
    <row r="940" spans="1:5">
      <c r="A940" s="73" t="s">
        <v>1057</v>
      </c>
      <c r="B940">
        <v>20.440000000000001</v>
      </c>
      <c r="C940">
        <v>53.8</v>
      </c>
      <c r="D940" s="74">
        <f t="shared" si="28"/>
        <v>45793.634814814817</v>
      </c>
      <c r="E940" s="75">
        <f t="shared" si="29"/>
        <v>45793.634814814817</v>
      </c>
    </row>
    <row r="941" spans="1:5">
      <c r="A941" s="73" t="s">
        <v>1058</v>
      </c>
      <c r="B941">
        <v>20.420000000000002</v>
      </c>
      <c r="C941">
        <v>53.9</v>
      </c>
      <c r="D941" s="74">
        <f t="shared" si="28"/>
        <v>45793.63621527778</v>
      </c>
      <c r="E941" s="75">
        <f t="shared" si="29"/>
        <v>45793.63621527778</v>
      </c>
    </row>
    <row r="942" spans="1:5">
      <c r="A942" s="73" t="s">
        <v>1059</v>
      </c>
      <c r="B942">
        <v>20.420000000000002</v>
      </c>
      <c r="C942">
        <v>53.95</v>
      </c>
      <c r="D942" s="74">
        <f t="shared" si="28"/>
        <v>45793.637592592589</v>
      </c>
      <c r="E942" s="75">
        <f t="shared" si="29"/>
        <v>45793.637592592589</v>
      </c>
    </row>
    <row r="943" spans="1:5">
      <c r="A943" s="73" t="s">
        <v>1060</v>
      </c>
      <c r="B943">
        <v>20.420000000000002</v>
      </c>
      <c r="C943">
        <v>53.88</v>
      </c>
      <c r="D943" s="74">
        <f t="shared" si="28"/>
        <v>45793.638981481483</v>
      </c>
      <c r="E943" s="75">
        <f t="shared" si="29"/>
        <v>45793.638981481483</v>
      </c>
    </row>
    <row r="944" spans="1:5">
      <c r="A944" s="73" t="s">
        <v>1061</v>
      </c>
      <c r="B944">
        <v>20.399999999999999</v>
      </c>
      <c r="C944">
        <v>53.88</v>
      </c>
      <c r="D944" s="74">
        <f t="shared" si="28"/>
        <v>45793.640370370369</v>
      </c>
      <c r="E944" s="75">
        <f t="shared" si="29"/>
        <v>45793.640370370369</v>
      </c>
    </row>
    <row r="945" spans="1:5">
      <c r="A945" s="73" t="s">
        <v>1062</v>
      </c>
      <c r="B945">
        <v>20.38</v>
      </c>
      <c r="C945">
        <v>53.87</v>
      </c>
      <c r="D945" s="74">
        <f t="shared" si="28"/>
        <v>45793.641770833332</v>
      </c>
      <c r="E945" s="75">
        <f t="shared" si="29"/>
        <v>45793.641770833332</v>
      </c>
    </row>
    <row r="946" spans="1:5">
      <c r="A946" s="73" t="s">
        <v>1063</v>
      </c>
      <c r="B946">
        <v>20.350000000000001</v>
      </c>
      <c r="C946">
        <v>53.83</v>
      </c>
      <c r="D946" s="74">
        <f t="shared" si="28"/>
        <v>45793.643148148149</v>
      </c>
      <c r="E946" s="75">
        <f t="shared" si="29"/>
        <v>45793.643148148149</v>
      </c>
    </row>
    <row r="947" spans="1:5">
      <c r="A947" s="73" t="s">
        <v>1064</v>
      </c>
      <c r="B947">
        <v>20.36</v>
      </c>
      <c r="C947">
        <v>53.92</v>
      </c>
      <c r="D947" s="74">
        <f t="shared" si="28"/>
        <v>45793.644548611112</v>
      </c>
      <c r="E947" s="75">
        <f t="shared" si="29"/>
        <v>45793.644548611112</v>
      </c>
    </row>
    <row r="948" spans="1:5">
      <c r="A948" s="73" t="s">
        <v>1065</v>
      </c>
      <c r="B948">
        <v>20.350000000000001</v>
      </c>
      <c r="C948">
        <v>53.97</v>
      </c>
      <c r="D948" s="74">
        <f t="shared" si="28"/>
        <v>45793.645925925928</v>
      </c>
      <c r="E948" s="75">
        <f t="shared" si="29"/>
        <v>45793.645925925928</v>
      </c>
    </row>
    <row r="949" spans="1:5">
      <c r="A949" s="73" t="s">
        <v>1066</v>
      </c>
      <c r="B949">
        <v>20.38</v>
      </c>
      <c r="C949">
        <v>53.99</v>
      </c>
      <c r="D949" s="74">
        <f t="shared" si="28"/>
        <v>45793.647326388891</v>
      </c>
      <c r="E949" s="75">
        <f t="shared" si="29"/>
        <v>45793.647326388891</v>
      </c>
    </row>
    <row r="950" spans="1:5">
      <c r="A950" s="73" t="s">
        <v>1067</v>
      </c>
      <c r="B950">
        <v>20.39</v>
      </c>
      <c r="C950">
        <v>53.95</v>
      </c>
      <c r="D950" s="74">
        <f t="shared" si="28"/>
        <v>45793.6487037037</v>
      </c>
      <c r="E950" s="75">
        <f t="shared" si="29"/>
        <v>45793.6487037037</v>
      </c>
    </row>
    <row r="951" spans="1:5">
      <c r="A951" s="73" t="s">
        <v>1068</v>
      </c>
      <c r="B951">
        <v>20.39</v>
      </c>
      <c r="C951">
        <v>53.87</v>
      </c>
      <c r="D951" s="74">
        <f t="shared" si="28"/>
        <v>45793.650104166663</v>
      </c>
      <c r="E951" s="75">
        <f t="shared" si="29"/>
        <v>45793.650104166663</v>
      </c>
    </row>
    <row r="952" spans="1:5">
      <c r="A952" s="73" t="s">
        <v>1069</v>
      </c>
      <c r="B952">
        <v>20.37</v>
      </c>
      <c r="C952">
        <v>53.89</v>
      </c>
      <c r="D952" s="74">
        <f t="shared" si="28"/>
        <v>45793.65148148148</v>
      </c>
      <c r="E952" s="75">
        <f t="shared" si="29"/>
        <v>45793.65148148148</v>
      </c>
    </row>
    <row r="953" spans="1:5">
      <c r="A953" s="73" t="s">
        <v>1070</v>
      </c>
      <c r="B953">
        <v>20.37</v>
      </c>
      <c r="C953">
        <v>53.99</v>
      </c>
      <c r="D953" s="74">
        <f t="shared" si="28"/>
        <v>45793.652870370373</v>
      </c>
      <c r="E953" s="75">
        <f t="shared" si="29"/>
        <v>45793.652870370373</v>
      </c>
    </row>
    <row r="954" spans="1:5">
      <c r="A954" s="73" t="s">
        <v>1071</v>
      </c>
      <c r="B954">
        <v>20.38</v>
      </c>
      <c r="C954">
        <v>53.99</v>
      </c>
      <c r="D954" s="74">
        <f t="shared" si="28"/>
        <v>45793.65425925926</v>
      </c>
      <c r="E954" s="75">
        <f t="shared" si="29"/>
        <v>45793.65425925926</v>
      </c>
    </row>
    <row r="955" spans="1:5">
      <c r="A955" s="73" t="s">
        <v>1072</v>
      </c>
      <c r="B955">
        <v>20.37</v>
      </c>
      <c r="C955">
        <v>53.91</v>
      </c>
      <c r="D955" s="74">
        <f t="shared" si="28"/>
        <v>45793.655659722222</v>
      </c>
      <c r="E955" s="75">
        <f t="shared" si="29"/>
        <v>45793.655659722222</v>
      </c>
    </row>
    <row r="956" spans="1:5">
      <c r="A956" s="73" t="s">
        <v>1073</v>
      </c>
      <c r="B956">
        <v>20.37</v>
      </c>
      <c r="C956">
        <v>53.87</v>
      </c>
      <c r="D956" s="74">
        <f t="shared" si="28"/>
        <v>45793.657037037039</v>
      </c>
      <c r="E956" s="75">
        <f t="shared" si="29"/>
        <v>45793.657037037039</v>
      </c>
    </row>
    <row r="957" spans="1:5">
      <c r="A957" s="73" t="s">
        <v>1074</v>
      </c>
      <c r="B957">
        <v>20.36</v>
      </c>
      <c r="C957">
        <v>53.83</v>
      </c>
      <c r="D957" s="74">
        <f t="shared" si="28"/>
        <v>45793.658425925925</v>
      </c>
      <c r="E957" s="75">
        <f t="shared" si="29"/>
        <v>45793.658425925925</v>
      </c>
    </row>
    <row r="958" spans="1:5">
      <c r="A958" s="73" t="s">
        <v>1075</v>
      </c>
      <c r="B958">
        <v>20.38</v>
      </c>
      <c r="C958">
        <v>53.86</v>
      </c>
      <c r="D958" s="74">
        <f t="shared" si="28"/>
        <v>45793.659814814811</v>
      </c>
      <c r="E958" s="75">
        <f t="shared" si="29"/>
        <v>45793.659814814811</v>
      </c>
    </row>
    <row r="959" spans="1:5">
      <c r="A959" s="73" t="s">
        <v>1076</v>
      </c>
      <c r="B959">
        <v>20.37</v>
      </c>
      <c r="C959">
        <v>53.94</v>
      </c>
      <c r="D959" s="74">
        <f t="shared" si="28"/>
        <v>45793.661215277774</v>
      </c>
      <c r="E959" s="75">
        <f t="shared" si="29"/>
        <v>45793.661215277774</v>
      </c>
    </row>
    <row r="960" spans="1:5">
      <c r="A960" s="73" t="s">
        <v>1077</v>
      </c>
      <c r="B960">
        <v>20.41</v>
      </c>
      <c r="C960">
        <v>53.92</v>
      </c>
      <c r="D960" s="74">
        <f t="shared" si="28"/>
        <v>45793.662592592591</v>
      </c>
      <c r="E960" s="75">
        <f t="shared" si="29"/>
        <v>45793.662592592591</v>
      </c>
    </row>
    <row r="961" spans="1:5">
      <c r="A961" s="73" t="s">
        <v>1078</v>
      </c>
      <c r="B961">
        <v>20.46</v>
      </c>
      <c r="C961">
        <v>53.9</v>
      </c>
      <c r="D961" s="74">
        <f t="shared" si="28"/>
        <v>45793.663993055554</v>
      </c>
      <c r="E961" s="75">
        <f t="shared" si="29"/>
        <v>45793.663993055554</v>
      </c>
    </row>
    <row r="962" spans="1:5">
      <c r="A962" s="73" t="s">
        <v>1079</v>
      </c>
      <c r="B962">
        <v>20.5</v>
      </c>
      <c r="C962">
        <v>53.75</v>
      </c>
      <c r="D962" s="74">
        <f t="shared" si="28"/>
        <v>45793.665381944447</v>
      </c>
      <c r="E962" s="75">
        <f t="shared" si="29"/>
        <v>45793.665381944447</v>
      </c>
    </row>
    <row r="963" spans="1:5">
      <c r="A963" s="73" t="s">
        <v>1080</v>
      </c>
      <c r="B963">
        <v>20.52</v>
      </c>
      <c r="C963">
        <v>53.67</v>
      </c>
      <c r="D963" s="74">
        <f t="shared" ref="D963:D1022" si="30">A963+12/24</f>
        <v>45793.666770833333</v>
      </c>
      <c r="E963" s="75">
        <f t="shared" ref="E963:E1022" si="31">D963</f>
        <v>45793.666770833333</v>
      </c>
    </row>
    <row r="964" spans="1:5">
      <c r="A964" s="73" t="s">
        <v>1081</v>
      </c>
      <c r="B964">
        <v>20.51</v>
      </c>
      <c r="C964">
        <v>53.63</v>
      </c>
      <c r="D964" s="74">
        <f t="shared" si="30"/>
        <v>45793.66814814815</v>
      </c>
      <c r="E964" s="75">
        <f t="shared" si="31"/>
        <v>45793.66814814815</v>
      </c>
    </row>
    <row r="965" spans="1:5">
      <c r="A965" s="73" t="s">
        <v>1082</v>
      </c>
      <c r="B965">
        <v>20.5</v>
      </c>
      <c r="C965">
        <v>53.59</v>
      </c>
      <c r="D965" s="74">
        <f t="shared" si="30"/>
        <v>45793.669548611113</v>
      </c>
      <c r="E965" s="75">
        <f t="shared" si="31"/>
        <v>45793.669548611113</v>
      </c>
    </row>
    <row r="966" spans="1:5">
      <c r="A966" s="73" t="s">
        <v>1083</v>
      </c>
      <c r="B966">
        <v>20.51</v>
      </c>
      <c r="C966">
        <v>53.49</v>
      </c>
      <c r="D966" s="74">
        <f t="shared" si="30"/>
        <v>45793.670937499999</v>
      </c>
      <c r="E966" s="75">
        <f t="shared" si="31"/>
        <v>45793.670937499999</v>
      </c>
    </row>
    <row r="967" spans="1:5">
      <c r="A967" s="73" t="s">
        <v>1084</v>
      </c>
      <c r="B967">
        <v>20.420000000000002</v>
      </c>
      <c r="C967">
        <v>53.58</v>
      </c>
      <c r="D967" s="74">
        <f t="shared" si="30"/>
        <v>45793.672326388885</v>
      </c>
      <c r="E967" s="75">
        <f t="shared" si="31"/>
        <v>45793.672326388885</v>
      </c>
    </row>
    <row r="968" spans="1:5">
      <c r="A968" s="73" t="s">
        <v>1085</v>
      </c>
      <c r="B968">
        <v>20.43</v>
      </c>
      <c r="C968">
        <v>53.72</v>
      </c>
      <c r="D968" s="74">
        <f t="shared" si="30"/>
        <v>45793.673703703702</v>
      </c>
      <c r="E968" s="75">
        <f t="shared" si="31"/>
        <v>45793.673703703702</v>
      </c>
    </row>
    <row r="969" spans="1:5">
      <c r="A969" s="73" t="s">
        <v>1086</v>
      </c>
      <c r="B969">
        <v>20.45</v>
      </c>
      <c r="C969">
        <v>53.77</v>
      </c>
      <c r="D969" s="74">
        <f t="shared" si="30"/>
        <v>45793.675104166665</v>
      </c>
      <c r="E969" s="75">
        <f t="shared" si="31"/>
        <v>45793.675104166665</v>
      </c>
    </row>
    <row r="970" spans="1:5">
      <c r="A970" s="73" t="s">
        <v>1087</v>
      </c>
      <c r="B970">
        <v>20.45</v>
      </c>
      <c r="C970">
        <v>53.74</v>
      </c>
      <c r="D970" s="74">
        <f t="shared" si="30"/>
        <v>45793.676481481481</v>
      </c>
      <c r="E970" s="75">
        <f t="shared" si="31"/>
        <v>45793.676481481481</v>
      </c>
    </row>
    <row r="971" spans="1:5">
      <c r="A971" s="73" t="s">
        <v>1088</v>
      </c>
      <c r="B971">
        <v>20.41</v>
      </c>
      <c r="C971">
        <v>53.7</v>
      </c>
      <c r="D971" s="74">
        <f t="shared" si="30"/>
        <v>45793.677870370368</v>
      </c>
      <c r="E971" s="75">
        <f t="shared" si="31"/>
        <v>45793.677870370368</v>
      </c>
    </row>
    <row r="972" spans="1:5">
      <c r="A972" s="73" t="s">
        <v>1089</v>
      </c>
      <c r="B972">
        <v>20.39</v>
      </c>
      <c r="C972">
        <v>53.69</v>
      </c>
      <c r="D972" s="74">
        <f t="shared" si="30"/>
        <v>45793.679259259261</v>
      </c>
      <c r="E972" s="75">
        <f t="shared" si="31"/>
        <v>45793.679259259261</v>
      </c>
    </row>
    <row r="973" spans="1:5">
      <c r="A973" s="73" t="s">
        <v>1090</v>
      </c>
      <c r="B973">
        <v>20.38</v>
      </c>
      <c r="C973">
        <v>53.7</v>
      </c>
      <c r="D973" s="74">
        <f t="shared" si="30"/>
        <v>45793.680659722224</v>
      </c>
      <c r="E973" s="75">
        <f t="shared" si="31"/>
        <v>45793.680659722224</v>
      </c>
    </row>
    <row r="974" spans="1:5">
      <c r="A974" s="73" t="s">
        <v>1091</v>
      </c>
      <c r="B974">
        <v>20.38</v>
      </c>
      <c r="C974">
        <v>53.8</v>
      </c>
      <c r="D974" s="74">
        <f t="shared" si="30"/>
        <v>45793.682037037041</v>
      </c>
      <c r="E974" s="75">
        <f t="shared" si="31"/>
        <v>45793.682037037041</v>
      </c>
    </row>
    <row r="975" spans="1:5">
      <c r="A975" s="73" t="s">
        <v>1092</v>
      </c>
      <c r="B975">
        <v>20.39</v>
      </c>
      <c r="C975">
        <v>53.87</v>
      </c>
      <c r="D975" s="74">
        <f t="shared" si="30"/>
        <v>45793.683437500003</v>
      </c>
      <c r="E975" s="75">
        <f t="shared" si="31"/>
        <v>45793.683437500003</v>
      </c>
    </row>
    <row r="976" spans="1:5">
      <c r="A976" s="73" t="s">
        <v>1093</v>
      </c>
      <c r="B976">
        <v>20.41</v>
      </c>
      <c r="C976">
        <v>53.92</v>
      </c>
      <c r="D976" s="74">
        <f t="shared" si="30"/>
        <v>45793.684814814813</v>
      </c>
      <c r="E976" s="75">
        <f t="shared" si="31"/>
        <v>45793.684814814813</v>
      </c>
    </row>
    <row r="977" spans="1:5">
      <c r="A977" s="73" t="s">
        <v>1094</v>
      </c>
      <c r="B977">
        <v>20.41</v>
      </c>
      <c r="C977">
        <v>53.9</v>
      </c>
      <c r="D977" s="74">
        <f t="shared" si="30"/>
        <v>45793.686215277776</v>
      </c>
      <c r="E977" s="75">
        <f t="shared" si="31"/>
        <v>45793.686215277776</v>
      </c>
    </row>
    <row r="978" spans="1:5">
      <c r="A978" s="73" t="s">
        <v>1095</v>
      </c>
      <c r="B978">
        <v>20.39</v>
      </c>
      <c r="C978">
        <v>53.92</v>
      </c>
      <c r="D978" s="74">
        <f t="shared" si="30"/>
        <v>45793.687592592592</v>
      </c>
      <c r="E978" s="75">
        <f t="shared" si="31"/>
        <v>45793.687592592592</v>
      </c>
    </row>
    <row r="979" spans="1:5">
      <c r="A979" s="73" t="s">
        <v>1096</v>
      </c>
      <c r="B979">
        <v>20.39</v>
      </c>
      <c r="C979">
        <v>53.87</v>
      </c>
      <c r="D979" s="74">
        <f t="shared" si="30"/>
        <v>45793.688993055555</v>
      </c>
      <c r="E979" s="75">
        <f t="shared" si="31"/>
        <v>45793.688993055555</v>
      </c>
    </row>
    <row r="980" spans="1:5">
      <c r="A980" s="73" t="s">
        <v>1097</v>
      </c>
      <c r="B980">
        <v>20.38</v>
      </c>
      <c r="C980">
        <v>53.84</v>
      </c>
      <c r="D980" s="74">
        <f t="shared" si="30"/>
        <v>45793.690370370372</v>
      </c>
      <c r="E980" s="75">
        <f t="shared" si="31"/>
        <v>45793.690370370372</v>
      </c>
    </row>
    <row r="981" spans="1:5">
      <c r="A981" s="73" t="s">
        <v>1098</v>
      </c>
      <c r="B981">
        <v>20.37</v>
      </c>
      <c r="C981">
        <v>53.87</v>
      </c>
      <c r="D981" s="74">
        <f t="shared" si="30"/>
        <v>45793.691759259258</v>
      </c>
      <c r="E981" s="75">
        <f t="shared" si="31"/>
        <v>45793.691759259258</v>
      </c>
    </row>
    <row r="982" spans="1:5">
      <c r="A982" s="73" t="s">
        <v>1099</v>
      </c>
      <c r="B982">
        <v>20.36</v>
      </c>
      <c r="C982">
        <v>54</v>
      </c>
      <c r="D982" s="74">
        <f t="shared" si="30"/>
        <v>45793.693148148152</v>
      </c>
      <c r="E982" s="75">
        <f t="shared" si="31"/>
        <v>45793.693148148152</v>
      </c>
    </row>
    <row r="983" spans="1:5">
      <c r="A983" s="73" t="s">
        <v>1100</v>
      </c>
      <c r="B983">
        <v>20.37</v>
      </c>
      <c r="C983">
        <v>54.04</v>
      </c>
      <c r="D983" s="74">
        <f t="shared" si="30"/>
        <v>45793.694548611114</v>
      </c>
      <c r="E983" s="75">
        <f t="shared" si="31"/>
        <v>45793.694548611114</v>
      </c>
    </row>
    <row r="984" spans="1:5">
      <c r="A984" s="73" t="s">
        <v>1101</v>
      </c>
      <c r="B984">
        <v>20.39</v>
      </c>
      <c r="C984">
        <v>54.07</v>
      </c>
      <c r="D984" s="74">
        <f t="shared" si="30"/>
        <v>45793.695925925924</v>
      </c>
      <c r="E984" s="75">
        <f t="shared" si="31"/>
        <v>45793.695925925924</v>
      </c>
    </row>
    <row r="985" spans="1:5">
      <c r="A985" s="73" t="s">
        <v>1102</v>
      </c>
      <c r="B985">
        <v>20.399999999999999</v>
      </c>
      <c r="C985">
        <v>54.04</v>
      </c>
      <c r="D985" s="74">
        <f t="shared" si="30"/>
        <v>45793.697314814817</v>
      </c>
      <c r="E985" s="75">
        <f t="shared" si="31"/>
        <v>45793.697314814817</v>
      </c>
    </row>
    <row r="986" spans="1:5">
      <c r="A986" s="73" t="s">
        <v>1103</v>
      </c>
      <c r="B986">
        <v>20.37</v>
      </c>
      <c r="C986">
        <v>53.98</v>
      </c>
      <c r="D986" s="74">
        <f t="shared" si="30"/>
        <v>45793.69871527778</v>
      </c>
      <c r="E986" s="75">
        <f t="shared" si="31"/>
        <v>45793.69871527778</v>
      </c>
    </row>
    <row r="987" spans="1:5">
      <c r="A987" s="73" t="s">
        <v>1104</v>
      </c>
      <c r="B987">
        <v>20.39</v>
      </c>
      <c r="C987">
        <v>53.94</v>
      </c>
      <c r="D987" s="74">
        <f t="shared" si="30"/>
        <v>45793.700104166666</v>
      </c>
      <c r="E987" s="75">
        <f t="shared" si="31"/>
        <v>45793.700104166666</v>
      </c>
    </row>
    <row r="988" spans="1:5">
      <c r="A988" s="73" t="s">
        <v>1105</v>
      </c>
      <c r="B988">
        <v>20.36</v>
      </c>
      <c r="C988">
        <v>53.89</v>
      </c>
      <c r="D988" s="74">
        <f t="shared" si="30"/>
        <v>45793.701481481483</v>
      </c>
      <c r="E988" s="75">
        <f t="shared" si="31"/>
        <v>45793.701481481483</v>
      </c>
    </row>
    <row r="989" spans="1:5">
      <c r="A989" s="73" t="s">
        <v>1106</v>
      </c>
      <c r="B989">
        <v>20.36</v>
      </c>
      <c r="C989">
        <v>53.91</v>
      </c>
      <c r="D989" s="74">
        <f t="shared" si="30"/>
        <v>45793.702881944446</v>
      </c>
      <c r="E989" s="75">
        <f t="shared" si="31"/>
        <v>45793.702881944446</v>
      </c>
    </row>
    <row r="990" spans="1:5">
      <c r="A990" s="73" t="s">
        <v>1107</v>
      </c>
      <c r="B990">
        <v>20.350000000000001</v>
      </c>
      <c r="C990">
        <v>54.01</v>
      </c>
      <c r="D990" s="74">
        <f t="shared" si="30"/>
        <v>45793.704259259262</v>
      </c>
      <c r="E990" s="75">
        <f t="shared" si="31"/>
        <v>45793.704259259262</v>
      </c>
    </row>
    <row r="991" spans="1:5">
      <c r="A991" s="73" t="s">
        <v>1108</v>
      </c>
      <c r="B991">
        <v>20.39</v>
      </c>
      <c r="C991">
        <v>54.05</v>
      </c>
      <c r="D991" s="74">
        <f t="shared" si="30"/>
        <v>45793.705648148149</v>
      </c>
      <c r="E991" s="75">
        <f t="shared" si="31"/>
        <v>45793.705648148149</v>
      </c>
    </row>
    <row r="992" spans="1:5">
      <c r="A992" s="73" t="s">
        <v>1109</v>
      </c>
      <c r="B992">
        <v>20.39</v>
      </c>
      <c r="C992">
        <v>54.03</v>
      </c>
      <c r="D992" s="74">
        <f t="shared" si="30"/>
        <v>45793.707037037035</v>
      </c>
      <c r="E992" s="75">
        <f t="shared" si="31"/>
        <v>45793.707037037035</v>
      </c>
    </row>
    <row r="993" spans="1:5">
      <c r="A993" s="73" t="s">
        <v>1110</v>
      </c>
      <c r="B993">
        <v>20.39</v>
      </c>
      <c r="C993">
        <v>54</v>
      </c>
      <c r="D993" s="74">
        <f t="shared" si="30"/>
        <v>45793.708437499998</v>
      </c>
      <c r="E993" s="75">
        <f t="shared" si="31"/>
        <v>45793.708437499998</v>
      </c>
    </row>
    <row r="994" spans="1:5">
      <c r="A994" s="73" t="s">
        <v>1111</v>
      </c>
      <c r="B994">
        <v>20.38</v>
      </c>
      <c r="C994">
        <v>53.94</v>
      </c>
      <c r="D994" s="74">
        <f t="shared" si="30"/>
        <v>45793.709814814814</v>
      </c>
      <c r="E994" s="75">
        <f t="shared" si="31"/>
        <v>45793.709814814814</v>
      </c>
    </row>
    <row r="995" spans="1:5">
      <c r="A995" s="73" t="s">
        <v>1112</v>
      </c>
      <c r="B995">
        <v>20.37</v>
      </c>
      <c r="C995">
        <v>53.88</v>
      </c>
      <c r="D995" s="74">
        <f t="shared" si="30"/>
        <v>45793.711215277777</v>
      </c>
      <c r="E995" s="75">
        <f t="shared" si="31"/>
        <v>45793.711215277777</v>
      </c>
    </row>
    <row r="996" spans="1:5">
      <c r="A996" s="73" t="s">
        <v>1113</v>
      </c>
      <c r="B996">
        <v>20.350000000000001</v>
      </c>
      <c r="C996">
        <v>53.82</v>
      </c>
      <c r="D996" s="74">
        <f t="shared" si="30"/>
        <v>45793.712592592594</v>
      </c>
      <c r="E996" s="75">
        <f t="shared" si="31"/>
        <v>45793.712592592594</v>
      </c>
    </row>
    <row r="997" spans="1:5">
      <c r="A997" s="73" t="s">
        <v>1114</v>
      </c>
      <c r="B997">
        <v>20.34</v>
      </c>
      <c r="C997">
        <v>53.91</v>
      </c>
      <c r="D997" s="74">
        <f t="shared" si="30"/>
        <v>45793.713993055557</v>
      </c>
      <c r="E997" s="75">
        <f t="shared" si="31"/>
        <v>45793.713993055557</v>
      </c>
    </row>
    <row r="998" spans="1:5">
      <c r="A998" s="73" t="s">
        <v>1115</v>
      </c>
      <c r="B998">
        <v>20.350000000000001</v>
      </c>
      <c r="C998">
        <v>54</v>
      </c>
      <c r="D998" s="74">
        <f t="shared" si="30"/>
        <v>45793.715370370373</v>
      </c>
      <c r="E998" s="75">
        <f t="shared" si="31"/>
        <v>45793.715370370373</v>
      </c>
    </row>
    <row r="999" spans="1:5">
      <c r="A999" s="73" t="s">
        <v>1116</v>
      </c>
      <c r="B999">
        <v>20.36</v>
      </c>
      <c r="C999">
        <v>54.01</v>
      </c>
      <c r="D999" s="74">
        <f t="shared" si="30"/>
        <v>45793.716770833336</v>
      </c>
      <c r="E999" s="75">
        <f t="shared" si="31"/>
        <v>45793.716770833336</v>
      </c>
    </row>
    <row r="1000" spans="1:5">
      <c r="A1000" s="73" t="s">
        <v>1117</v>
      </c>
      <c r="B1000">
        <v>20.38</v>
      </c>
      <c r="C1000">
        <v>53.97</v>
      </c>
      <c r="D1000" s="74">
        <f t="shared" si="30"/>
        <v>45793.718159722222</v>
      </c>
      <c r="E1000" s="75">
        <f t="shared" si="31"/>
        <v>45793.718159722222</v>
      </c>
    </row>
    <row r="1001" spans="1:5">
      <c r="A1001" s="73" t="s">
        <v>1118</v>
      </c>
      <c r="B1001">
        <v>20.38</v>
      </c>
      <c r="C1001">
        <v>53.9</v>
      </c>
      <c r="D1001" s="74">
        <f t="shared" si="30"/>
        <v>45793.719548611109</v>
      </c>
      <c r="E1001" s="75">
        <f t="shared" si="31"/>
        <v>45793.719548611109</v>
      </c>
    </row>
    <row r="1002" spans="1:5">
      <c r="A1002" s="73" t="s">
        <v>1119</v>
      </c>
      <c r="B1002">
        <v>20.38</v>
      </c>
      <c r="C1002">
        <v>53.86</v>
      </c>
      <c r="D1002" s="74">
        <f t="shared" si="30"/>
        <v>45793.720925925925</v>
      </c>
      <c r="E1002" s="75">
        <f t="shared" si="31"/>
        <v>45793.720925925925</v>
      </c>
    </row>
    <row r="1003" spans="1:5">
      <c r="A1003" s="73" t="s">
        <v>1120</v>
      </c>
      <c r="B1003">
        <v>20.36</v>
      </c>
      <c r="C1003">
        <v>53.81</v>
      </c>
      <c r="D1003" s="74">
        <f t="shared" si="30"/>
        <v>45793.722326388888</v>
      </c>
      <c r="E1003" s="75">
        <f t="shared" si="31"/>
        <v>45793.722326388888</v>
      </c>
    </row>
    <row r="1004" spans="1:5">
      <c r="A1004" s="73" t="s">
        <v>1121</v>
      </c>
      <c r="B1004">
        <v>20.34</v>
      </c>
      <c r="C1004">
        <v>53.74</v>
      </c>
      <c r="D1004" s="74">
        <f t="shared" si="30"/>
        <v>45793.723715277774</v>
      </c>
      <c r="E1004" s="75">
        <f t="shared" si="31"/>
        <v>45793.723715277774</v>
      </c>
    </row>
    <row r="1005" spans="1:5">
      <c r="A1005" s="73" t="s">
        <v>1122</v>
      </c>
      <c r="B1005">
        <v>20.34</v>
      </c>
      <c r="C1005">
        <v>53.8</v>
      </c>
      <c r="D1005" s="74">
        <f t="shared" si="30"/>
        <v>45793.725104166668</v>
      </c>
      <c r="E1005" s="75">
        <f t="shared" si="31"/>
        <v>45793.725104166668</v>
      </c>
    </row>
    <row r="1006" spans="1:5">
      <c r="A1006" s="73" t="s">
        <v>1123</v>
      </c>
      <c r="B1006">
        <v>20.350000000000001</v>
      </c>
      <c r="C1006">
        <v>53.86</v>
      </c>
      <c r="D1006" s="74">
        <f t="shared" si="30"/>
        <v>45793.726481481484</v>
      </c>
      <c r="E1006" s="75">
        <f t="shared" si="31"/>
        <v>45793.726481481484</v>
      </c>
    </row>
    <row r="1007" spans="1:5">
      <c r="A1007" s="73" t="s">
        <v>1124</v>
      </c>
      <c r="B1007">
        <v>20.37</v>
      </c>
      <c r="C1007">
        <v>53.87</v>
      </c>
      <c r="D1007" s="74">
        <f t="shared" si="30"/>
        <v>45793.727881944447</v>
      </c>
      <c r="E1007" s="75">
        <f t="shared" si="31"/>
        <v>45793.727881944447</v>
      </c>
    </row>
    <row r="1008" spans="1:5">
      <c r="A1008" s="73" t="s">
        <v>1125</v>
      </c>
      <c r="B1008">
        <v>20.37</v>
      </c>
      <c r="C1008">
        <v>53.85</v>
      </c>
      <c r="D1008" s="74">
        <f t="shared" si="30"/>
        <v>45793.729259259257</v>
      </c>
      <c r="E1008" s="75">
        <f t="shared" si="31"/>
        <v>45793.729259259257</v>
      </c>
    </row>
    <row r="1009" spans="1:5">
      <c r="A1009" s="73" t="s">
        <v>1126</v>
      </c>
      <c r="B1009">
        <v>20.38</v>
      </c>
      <c r="C1009">
        <v>53.79</v>
      </c>
      <c r="D1009" s="74">
        <f t="shared" si="30"/>
        <v>45793.73064814815</v>
      </c>
      <c r="E1009" s="75">
        <f t="shared" si="31"/>
        <v>45793.73064814815</v>
      </c>
    </row>
    <row r="1010" spans="1:5">
      <c r="A1010" s="73" t="s">
        <v>1127</v>
      </c>
      <c r="B1010">
        <v>20.36</v>
      </c>
      <c r="C1010">
        <v>53.73</v>
      </c>
      <c r="D1010" s="74">
        <f t="shared" si="30"/>
        <v>45793.732037037036</v>
      </c>
      <c r="E1010" s="75">
        <f t="shared" si="31"/>
        <v>45793.732037037036</v>
      </c>
    </row>
    <row r="1011" spans="1:5">
      <c r="A1011" s="73" t="s">
        <v>1128</v>
      </c>
      <c r="B1011">
        <v>20.36</v>
      </c>
      <c r="C1011">
        <v>53.67</v>
      </c>
      <c r="D1011" s="74">
        <f t="shared" si="30"/>
        <v>45793.733437499999</v>
      </c>
      <c r="E1011" s="75">
        <f t="shared" si="31"/>
        <v>45793.733437499999</v>
      </c>
    </row>
    <row r="1012" spans="1:5">
      <c r="A1012" s="73" t="s">
        <v>1129</v>
      </c>
      <c r="B1012">
        <v>20.350000000000001</v>
      </c>
      <c r="C1012">
        <v>53.64</v>
      </c>
      <c r="D1012" s="74">
        <f t="shared" si="30"/>
        <v>45793.734814814816</v>
      </c>
      <c r="E1012" s="75">
        <f t="shared" si="31"/>
        <v>45793.734814814816</v>
      </c>
    </row>
    <row r="1013" spans="1:5">
      <c r="A1013" s="73" t="s">
        <v>1130</v>
      </c>
      <c r="B1013">
        <v>20.329999999999998</v>
      </c>
      <c r="C1013">
        <v>53.7</v>
      </c>
      <c r="D1013" s="74">
        <f t="shared" si="30"/>
        <v>45793.736215277779</v>
      </c>
      <c r="E1013" s="75">
        <f t="shared" si="31"/>
        <v>45793.736215277779</v>
      </c>
    </row>
    <row r="1014" spans="1:5">
      <c r="A1014" s="73" t="s">
        <v>1131</v>
      </c>
      <c r="B1014">
        <v>20.36</v>
      </c>
      <c r="C1014">
        <v>53.74</v>
      </c>
      <c r="D1014" s="74">
        <f t="shared" si="30"/>
        <v>45793.737604166665</v>
      </c>
      <c r="E1014" s="75">
        <f t="shared" si="31"/>
        <v>45793.737604166665</v>
      </c>
    </row>
    <row r="1015" spans="1:5">
      <c r="A1015" s="73" t="s">
        <v>1132</v>
      </c>
      <c r="B1015">
        <v>20.38</v>
      </c>
      <c r="C1015">
        <v>53.74</v>
      </c>
      <c r="D1015" s="74">
        <f t="shared" si="30"/>
        <v>45793.738993055558</v>
      </c>
      <c r="E1015" s="75">
        <f t="shared" si="31"/>
        <v>45793.738993055558</v>
      </c>
    </row>
    <row r="1016" spans="1:5">
      <c r="A1016" s="73" t="s">
        <v>1133</v>
      </c>
      <c r="B1016">
        <v>20.38</v>
      </c>
      <c r="C1016">
        <v>53.74</v>
      </c>
      <c r="D1016" s="74">
        <f t="shared" si="30"/>
        <v>45793.740370370368</v>
      </c>
      <c r="E1016" s="75">
        <f t="shared" si="31"/>
        <v>45793.740370370368</v>
      </c>
    </row>
    <row r="1017" spans="1:5">
      <c r="A1017" s="73" t="s">
        <v>1134</v>
      </c>
      <c r="B1017">
        <v>20.38</v>
      </c>
      <c r="C1017">
        <v>53.69</v>
      </c>
      <c r="D1017" s="74">
        <f t="shared" si="30"/>
        <v>45793.741770833331</v>
      </c>
      <c r="E1017" s="75">
        <f t="shared" si="31"/>
        <v>45793.741770833331</v>
      </c>
    </row>
    <row r="1018" spans="1:5">
      <c r="A1018" s="73" t="s">
        <v>1135</v>
      </c>
      <c r="B1018">
        <v>20.38</v>
      </c>
      <c r="C1018">
        <v>53.61</v>
      </c>
      <c r="D1018" s="74">
        <f t="shared" si="30"/>
        <v>45793.743159722224</v>
      </c>
      <c r="E1018" s="75">
        <f t="shared" si="31"/>
        <v>45793.743159722224</v>
      </c>
    </row>
    <row r="1019" spans="1:5">
      <c r="A1019" s="73" t="s">
        <v>1136</v>
      </c>
      <c r="B1019">
        <v>20.350000000000001</v>
      </c>
      <c r="C1019">
        <v>53.6</v>
      </c>
      <c r="D1019" s="74">
        <f t="shared" si="30"/>
        <v>45793.74454861111</v>
      </c>
      <c r="E1019" s="75">
        <f t="shared" si="31"/>
        <v>45793.74454861111</v>
      </c>
    </row>
    <row r="1020" spans="1:5">
      <c r="A1020" s="73" t="s">
        <v>1137</v>
      </c>
      <c r="B1020">
        <v>20.34</v>
      </c>
      <c r="C1020">
        <v>53.6</v>
      </c>
      <c r="D1020" s="74">
        <f t="shared" si="30"/>
        <v>45793.745925925927</v>
      </c>
      <c r="E1020" s="75">
        <f t="shared" si="31"/>
        <v>45793.745925925927</v>
      </c>
    </row>
    <row r="1021" spans="1:5">
      <c r="A1021" s="73" t="s">
        <v>1138</v>
      </c>
      <c r="B1021">
        <v>20.350000000000001</v>
      </c>
      <c r="C1021">
        <v>53.65</v>
      </c>
      <c r="D1021" s="74">
        <f t="shared" si="30"/>
        <v>45793.74732638889</v>
      </c>
      <c r="E1021" s="75">
        <f t="shared" si="31"/>
        <v>45793.74732638889</v>
      </c>
    </row>
    <row r="1022" spans="1:5">
      <c r="A1022" s="73" t="s">
        <v>1139</v>
      </c>
      <c r="B1022">
        <v>20.34</v>
      </c>
      <c r="C1022">
        <v>53.71</v>
      </c>
      <c r="D1022" s="74">
        <f t="shared" si="30"/>
        <v>45793.748703703706</v>
      </c>
      <c r="E1022" s="75">
        <f t="shared" si="31"/>
        <v>45793.748703703706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FD095"/>
  </sheetPr>
  <dimension ref="A1:AD34"/>
  <sheetViews>
    <sheetView topLeftCell="J10" zoomScale="110" zoomScaleNormal="110" workbookViewId="0">
      <selection activeCell="Y33" sqref="Y33"/>
    </sheetView>
  </sheetViews>
  <sheetFormatPr defaultColWidth="8.6328125" defaultRowHeight="12.5"/>
  <cols>
    <col min="2" max="2" width="10.08984375" customWidth="1"/>
    <col min="3" max="3" width="13.54296875" customWidth="1"/>
    <col min="4" max="4" width="9" customWidth="1"/>
    <col min="7" max="7" width="10.08984375" customWidth="1"/>
    <col min="11" max="11" width="10" customWidth="1"/>
    <col min="23" max="23" width="10.08984375" customWidth="1"/>
    <col min="27" max="27" width="10.36328125" customWidth="1"/>
  </cols>
  <sheetData>
    <row r="1" spans="2:30" ht="13">
      <c r="B1" s="76" t="s">
        <v>1140</v>
      </c>
      <c r="C1" s="77">
        <f>'Previous History'!I57</f>
        <v>34971</v>
      </c>
      <c r="D1" s="78" t="s">
        <v>1141</v>
      </c>
      <c r="E1" s="78" t="s">
        <v>1142</v>
      </c>
      <c r="F1" s="79"/>
      <c r="G1" s="80">
        <f>'Previous History'!R85</f>
        <v>36749</v>
      </c>
      <c r="H1" s="81" t="s">
        <v>1143</v>
      </c>
      <c r="I1" s="82"/>
      <c r="J1" s="83"/>
      <c r="K1" s="84">
        <f>'Previous History'!R2</f>
        <v>38408</v>
      </c>
      <c r="L1" s="85" t="s">
        <v>1144</v>
      </c>
      <c r="M1" s="86"/>
      <c r="N1" s="87"/>
      <c r="O1" s="88">
        <f>Report!K2</f>
        <v>39997</v>
      </c>
      <c r="P1" s="89" t="s">
        <v>1145</v>
      </c>
      <c r="S1" s="88">
        <f>Results!B1</f>
        <v>41921</v>
      </c>
      <c r="T1" s="89" t="s">
        <v>1146</v>
      </c>
      <c r="W1" s="88">
        <v>44146</v>
      </c>
      <c r="X1" s="89" t="s">
        <v>1147</v>
      </c>
      <c r="AA1" s="88">
        <v>45792</v>
      </c>
      <c r="AB1" s="89" t="s">
        <v>1148</v>
      </c>
    </row>
    <row r="2" spans="2:30">
      <c r="C2" s="90" t="s">
        <v>105</v>
      </c>
      <c r="D2" s="91" t="s">
        <v>106</v>
      </c>
      <c r="E2" s="91" t="s">
        <v>101</v>
      </c>
      <c r="F2" s="92" t="s">
        <v>102</v>
      </c>
      <c r="G2" s="93" t="s">
        <v>105</v>
      </c>
      <c r="H2" s="94" t="s">
        <v>106</v>
      </c>
      <c r="I2" s="94" t="s">
        <v>101</v>
      </c>
      <c r="J2" s="95" t="s">
        <v>102</v>
      </c>
      <c r="K2" s="96" t="s">
        <v>105</v>
      </c>
      <c r="L2" s="97" t="s">
        <v>106</v>
      </c>
      <c r="M2" s="97" t="s">
        <v>101</v>
      </c>
      <c r="N2" s="98" t="s">
        <v>102</v>
      </c>
      <c r="O2" s="99" t="s">
        <v>105</v>
      </c>
      <c r="P2" s="99" t="s">
        <v>106</v>
      </c>
      <c r="Q2" s="99" t="s">
        <v>101</v>
      </c>
      <c r="R2" s="99" t="s">
        <v>102</v>
      </c>
      <c r="S2" s="97" t="s">
        <v>105</v>
      </c>
      <c r="T2" s="97" t="s">
        <v>106</v>
      </c>
      <c r="U2" s="97" t="s">
        <v>101</v>
      </c>
      <c r="V2" s="97" t="s">
        <v>102</v>
      </c>
      <c r="W2" s="99" t="s">
        <v>105</v>
      </c>
      <c r="X2" s="99" t="s">
        <v>106</v>
      </c>
      <c r="Y2" s="99" t="s">
        <v>101</v>
      </c>
      <c r="Z2" s="99" t="s">
        <v>102</v>
      </c>
      <c r="AA2" s="97" t="s">
        <v>105</v>
      </c>
      <c r="AB2" s="97" t="s">
        <v>106</v>
      </c>
      <c r="AC2" s="97" t="s">
        <v>101</v>
      </c>
      <c r="AD2" s="97" t="s">
        <v>102</v>
      </c>
    </row>
    <row r="3" spans="2:30">
      <c r="B3" s="100" t="s">
        <v>55</v>
      </c>
      <c r="C3" s="101">
        <f>'Previous History'!J60</f>
        <v>994.03001307</v>
      </c>
      <c r="D3" s="102">
        <f>'Previous History'!K60</f>
        <v>5.4571777918739302E-2</v>
      </c>
      <c r="E3" s="103">
        <f>'Previous History'!M60</f>
        <v>5.7182273086500004</v>
      </c>
      <c r="F3" s="104">
        <f>'Previous History'!N60</f>
        <v>2.4720618609479099E-2</v>
      </c>
      <c r="G3" s="105">
        <f>'Previous History'!S89</f>
        <v>994.07001950999995</v>
      </c>
      <c r="H3" s="106">
        <f>'Previous History'!T89</f>
        <v>5.4568316340096401E-2</v>
      </c>
      <c r="I3" s="107">
        <f>'Previous History'!V89</f>
        <v>5.6995264671500001</v>
      </c>
      <c r="J3" s="108">
        <f>'Previous History'!W89</f>
        <v>2.4639772510601898E-2</v>
      </c>
      <c r="K3" s="101">
        <f>'Previous History'!T6</f>
        <v>993.99162212954604</v>
      </c>
      <c r="L3" s="102">
        <f>'Previous History'!U6</f>
        <v>0.11571013513209</v>
      </c>
      <c r="M3" s="103">
        <f>'Previous History'!W6</f>
        <v>5.6915848571207999</v>
      </c>
      <c r="N3" s="104">
        <f>'Previous History'!X6</f>
        <v>2.4610920554940099E-2</v>
      </c>
      <c r="O3" s="109">
        <f>Report!L8</f>
        <v>994.06462458559201</v>
      </c>
      <c r="P3" s="110">
        <f>Report!M8</f>
        <v>6.5681418142592804E-2</v>
      </c>
      <c r="Q3" s="111">
        <f>Report!O8</f>
        <v>5.6775487490952097</v>
      </c>
      <c r="R3" s="112">
        <f>Report!P8</f>
        <v>2.4544537160157701E-2</v>
      </c>
      <c r="S3" s="113">
        <f>Report!D8</f>
        <v>994.1994958187754</v>
      </c>
      <c r="T3" s="114">
        <f>Report!E8</f>
        <v>7.0354848512116611E-2</v>
      </c>
      <c r="U3" s="115">
        <f>Report!G8</f>
        <v>5.6914914979891744</v>
      </c>
      <c r="V3" s="116">
        <f>Report!H8</f>
        <v>2.46394474029266E-2</v>
      </c>
      <c r="W3" s="117">
        <f>Report!AI8</f>
        <v>994.01700000000005</v>
      </c>
      <c r="X3" s="118">
        <f>Report!AJ8</f>
        <v>6.3E-2</v>
      </c>
      <c r="Y3" s="118">
        <f>Report!AL8</f>
        <v>5.6859999999999999</v>
      </c>
      <c r="Z3" s="119">
        <f>Report!AM8</f>
        <v>3.4000000000000002E-2</v>
      </c>
      <c r="AA3" s="113">
        <f>Report!AQ9</f>
        <v>993.865177253208</v>
      </c>
      <c r="AB3" s="114">
        <f>Report!AR9</f>
        <v>6.3258210403947995E-2</v>
      </c>
      <c r="AC3" s="115">
        <f>Report!AT9</f>
        <v>5.7357592962286397</v>
      </c>
      <c r="AD3" s="116">
        <f>Report!AU9</f>
        <v>3.3901538922032202E-2</v>
      </c>
    </row>
    <row r="4" spans="2:30">
      <c r="B4" s="100" t="s">
        <v>56</v>
      </c>
      <c r="C4" s="101">
        <f>'Previous History'!J61</f>
        <v>1980.3587864399999</v>
      </c>
      <c r="D4" s="102">
        <f>'Previous History'!K61</f>
        <v>0.103661066152479</v>
      </c>
      <c r="E4" s="103">
        <f>'Previous History'!M61</f>
        <v>8.4219489706499999</v>
      </c>
      <c r="F4" s="104">
        <f>'Previous History'!N61</f>
        <v>3.6409148712398101E-2</v>
      </c>
      <c r="G4" s="105">
        <f>'Previous History'!S90</f>
        <v>1990.1203578</v>
      </c>
      <c r="H4" s="106">
        <f>'Previous History'!T90</f>
        <v>0.104178079174034</v>
      </c>
      <c r="I4" s="107">
        <f>'Previous History'!V90</f>
        <v>8.4938522061500006</v>
      </c>
      <c r="J4" s="108">
        <f>'Previous History'!W90</f>
        <v>3.67199954776E-2</v>
      </c>
      <c r="K4" s="101">
        <f>'Previous History'!T7</f>
        <v>1980.4119370007099</v>
      </c>
      <c r="L4" s="102">
        <f>'Previous History'!U7</f>
        <v>5.8868538212128803</v>
      </c>
      <c r="M4" s="102">
        <f>'Previous History'!W7</f>
        <v>8.3816783988960104</v>
      </c>
      <c r="N4" s="120">
        <f>'Previous History'!X7</f>
        <v>3.66402904608178E-2</v>
      </c>
      <c r="O4" s="121">
        <f>Report!L9</f>
        <v>1980.50791035166</v>
      </c>
      <c r="P4" s="122">
        <f>Report!M9</f>
        <v>0.121555532613995</v>
      </c>
      <c r="Q4" s="122">
        <f>Report!O9</f>
        <v>8.3614741573688391</v>
      </c>
      <c r="R4" s="123">
        <f>Report!P9</f>
        <v>3.6146851937968197E-2</v>
      </c>
      <c r="S4" s="101">
        <f>Report!D9</f>
        <v>1980.7774623034068</v>
      </c>
      <c r="T4" s="102">
        <f>Report!E9</f>
        <v>0.126814506205574</v>
      </c>
      <c r="U4" s="102">
        <f>Report!G9</f>
        <v>8.3824613285417247</v>
      </c>
      <c r="V4" s="120">
        <f>Report!H9</f>
        <v>3.62899179652547E-2</v>
      </c>
      <c r="W4" s="124">
        <f>Report!AI9</f>
        <v>1980.52</v>
      </c>
      <c r="X4" s="125">
        <f>Report!AJ9</f>
        <v>0.1</v>
      </c>
      <c r="Y4" s="125">
        <f>Report!AL9</f>
        <v>8.3740000000000006</v>
      </c>
      <c r="Z4" s="126">
        <f>Report!AM9</f>
        <v>0.05</v>
      </c>
      <c r="AA4" s="101">
        <f>Report!AQ10</f>
        <v>1980.1783236840199</v>
      </c>
      <c r="AB4" s="102">
        <f>Report!AR10</f>
        <v>9.8608216748073199E-2</v>
      </c>
      <c r="AC4" s="103">
        <f>Report!AT10</f>
        <v>8.4486406672406904</v>
      </c>
      <c r="AD4" s="104">
        <f>Report!AU10</f>
        <v>4.9860012358355701E-2</v>
      </c>
    </row>
    <row r="5" spans="2:30">
      <c r="B5" s="100" t="s">
        <v>57</v>
      </c>
      <c r="C5" s="101">
        <f>'Previous History'!J62</f>
        <v>2968.99793172</v>
      </c>
      <c r="D5" s="102">
        <f>'Previous History'!K62</f>
        <v>0.154070630829652</v>
      </c>
      <c r="E5" s="103">
        <f>'Previous History'!M62</f>
        <v>10.712052020650001</v>
      </c>
      <c r="F5" s="104">
        <f>'Previous History'!N62</f>
        <v>4.6309553334266902E-2</v>
      </c>
      <c r="G5" s="105">
        <f>'Previous History'!S91</f>
        <v>2973.7887029100002</v>
      </c>
      <c r="H5" s="106">
        <f>'Previous History'!T91</f>
        <v>0.15431972084697801</v>
      </c>
      <c r="I5" s="107">
        <f>'Previous History'!V91</f>
        <v>10.732352934150001</v>
      </c>
      <c r="J5" s="108">
        <f>'Previous History'!W91</f>
        <v>4.6397316746417103E-2</v>
      </c>
      <c r="K5" s="101">
        <f>'Previous History'!T8</f>
        <v>2968.8225955236899</v>
      </c>
      <c r="L5" s="102">
        <f>'Previous History'!U8</f>
        <v>2.0201527351532</v>
      </c>
      <c r="M5" s="102">
        <f>'Previous History'!W8</f>
        <v>10.661008495632</v>
      </c>
      <c r="N5" s="120">
        <f>'Previous History'!X8</f>
        <v>4.61648198704806E-2</v>
      </c>
      <c r="O5" s="121">
        <f>Report!L10</f>
        <v>2969.28160549429</v>
      </c>
      <c r="P5" s="122">
        <f>Report!M10</f>
        <v>0.179725977275461</v>
      </c>
      <c r="Q5" s="122">
        <f>Report!O10</f>
        <v>10.6351158088383</v>
      </c>
      <c r="R5" s="123">
        <f>Report!P10</f>
        <v>4.5975788498306802E-2</v>
      </c>
      <c r="S5" s="101">
        <f>Report!D10</f>
        <v>2969.7059004330827</v>
      </c>
      <c r="T5" s="102">
        <f>Report!E10</f>
        <v>0.186216114908305</v>
      </c>
      <c r="U5" s="102">
        <f>Report!G10</f>
        <v>10.661872126260937</v>
      </c>
      <c r="V5" s="120">
        <f>Report!H10</f>
        <v>4.6159650304868301E-2</v>
      </c>
      <c r="W5" s="124">
        <f>Report!AI10</f>
        <v>2969.42</v>
      </c>
      <c r="X5" s="125">
        <f>Report!AJ10</f>
        <v>0.14000000000000001</v>
      </c>
      <c r="Y5" s="125">
        <f>Report!AL10</f>
        <v>10.653</v>
      </c>
      <c r="Z5" s="126">
        <f>Report!AM10</f>
        <v>6.3E-2</v>
      </c>
      <c r="AA5" s="101">
        <f>Report!AQ11</f>
        <v>2968.82911467645</v>
      </c>
      <c r="AB5" s="102">
        <f>Report!AR11</f>
        <v>0.13834134221368999</v>
      </c>
      <c r="AC5" s="103">
        <f>Report!AT11</f>
        <v>10.732790535867201</v>
      </c>
      <c r="AD5" s="104">
        <f>Report!AU11</f>
        <v>6.3325694032716595E-2</v>
      </c>
    </row>
    <row r="6" spans="2:30">
      <c r="B6" s="100" t="s">
        <v>58</v>
      </c>
      <c r="C6" s="101">
        <f>'Previous History'!J63</f>
        <v>3948.4355958000001</v>
      </c>
      <c r="D6" s="102">
        <f>'Previous History'!K63</f>
        <v>0.204233789864495</v>
      </c>
      <c r="E6" s="102">
        <f>'Previous History'!M63</f>
        <v>12.70634175965</v>
      </c>
      <c r="F6" s="120">
        <f>'Previous History'!N63</f>
        <v>5.49311196648044E-2</v>
      </c>
      <c r="G6" s="105">
        <f>'Previous History'!S92</f>
        <v>3948.9356763000001</v>
      </c>
      <c r="H6" s="106">
        <f>'Previous History'!T92</f>
        <v>0.20425389265182101</v>
      </c>
      <c r="I6" s="106">
        <f>'Previous History'!V92</f>
        <v>12.666339959649999</v>
      </c>
      <c r="J6" s="127">
        <f>'Previous History'!W92</f>
        <v>5.4758186832981399E-2</v>
      </c>
      <c r="K6" s="101">
        <f>'Previous History'!T9</f>
        <v>3948.7117827334</v>
      </c>
      <c r="L6" s="102">
        <f>'Previous History'!U9</f>
        <v>0.178995545000142</v>
      </c>
      <c r="M6" s="102">
        <f>'Previous History'!W9</f>
        <v>12.64622180514</v>
      </c>
      <c r="N6" s="120">
        <f>'Previous History'!X9</f>
        <v>5.4673058381042902E-2</v>
      </c>
      <c r="O6" s="121">
        <f>Report!L11</f>
        <v>3948.8536842143999</v>
      </c>
      <c r="P6" s="122">
        <f>Report!M11</f>
        <v>0.23784992233010299</v>
      </c>
      <c r="Q6" s="122">
        <f>Report!O11</f>
        <v>12.615190461794899</v>
      </c>
      <c r="R6" s="123">
        <f>Report!P11</f>
        <v>5.4535761317777501E-2</v>
      </c>
      <c r="S6" s="101">
        <f>Report!D11</f>
        <v>3949.4224901155844</v>
      </c>
      <c r="T6" s="102">
        <f>Report!E11</f>
        <v>0.24566311735745999</v>
      </c>
      <c r="U6" s="102">
        <f>Report!G11</f>
        <v>12.646962161550064</v>
      </c>
      <c r="V6" s="120">
        <f>Report!H11</f>
        <v>5.4755824587075903E-2</v>
      </c>
      <c r="W6" s="124">
        <f>Report!AI11</f>
        <v>3949.15</v>
      </c>
      <c r="X6" s="125">
        <f>Report!AJ11</f>
        <v>0.18</v>
      </c>
      <c r="Y6" s="125">
        <f>Report!AL11</f>
        <v>12.638</v>
      </c>
      <c r="Z6" s="126">
        <f>Report!AM11</f>
        <v>7.4999999999999997E-2</v>
      </c>
      <c r="AA6" s="101">
        <f>Report!AQ12</f>
        <v>3948.3253608232799</v>
      </c>
      <c r="AB6" s="102">
        <f>Report!AR12</f>
        <v>0.17909506288341501</v>
      </c>
      <c r="AC6" s="103">
        <f>Report!AT12</f>
        <v>12.739136118217001</v>
      </c>
      <c r="AD6" s="104">
        <f>Report!AU12</f>
        <v>7.5136262197400702E-2</v>
      </c>
    </row>
    <row r="7" spans="2:30">
      <c r="B7" s="100" t="s">
        <v>59</v>
      </c>
      <c r="C7" s="101">
        <f>'Previous History'!J64</f>
        <v>4931.9739199799997</v>
      </c>
      <c r="D7" s="102">
        <f>'Previous History'!K64</f>
        <v>0.25468228969874401</v>
      </c>
      <c r="E7" s="102">
        <f>'Previous History'!M64</f>
        <v>14.48182165265</v>
      </c>
      <c r="F7" s="120">
        <f>'Previous History'!N64</f>
        <v>6.2606743405269796E-2</v>
      </c>
      <c r="G7" s="105">
        <f>'Previous History'!S93</f>
        <v>4932.7240407299996</v>
      </c>
      <c r="H7" s="106">
        <f>'Previous History'!T93</f>
        <v>0.25471523702584298</v>
      </c>
      <c r="I7" s="106">
        <f>'Previous History'!V93</f>
        <v>14.43751965915</v>
      </c>
      <c r="J7" s="127">
        <f>'Previous History'!W93</f>
        <v>6.2415220294025797E-2</v>
      </c>
      <c r="K7" s="101">
        <f>'Previous History'!T10</f>
        <v>4932.4416330702197</v>
      </c>
      <c r="L7" s="102">
        <f>'Previous History'!U10</f>
        <v>0.216475819745264</v>
      </c>
      <c r="M7" s="102">
        <f>'Previous History'!W10</f>
        <v>14.413922699747999</v>
      </c>
      <c r="N7" s="120">
        <f>'Previous History'!X10</f>
        <v>6.2314743472247899E-2</v>
      </c>
      <c r="O7" s="121">
        <f>Report!L12</f>
        <v>4932.5964955955897</v>
      </c>
      <c r="P7" s="122">
        <f>Report!M12</f>
        <v>0.29641068199148102</v>
      </c>
      <c r="Q7" s="122">
        <f>Report!O12</f>
        <v>14.378432559420199</v>
      </c>
      <c r="R7" s="123">
        <f>Report!P12</f>
        <v>6.2158452734892101E-2</v>
      </c>
      <c r="S7" s="101">
        <f>Report!D12</f>
        <v>4933.3499247451664</v>
      </c>
      <c r="T7" s="102">
        <f>Report!E12</f>
        <v>0.30556721734767101</v>
      </c>
      <c r="U7" s="102">
        <f>Report!G12</f>
        <v>14.414976883576967</v>
      </c>
      <c r="V7" s="120">
        <f>Report!H12</f>
        <v>6.2412783356981201E-2</v>
      </c>
      <c r="W7" s="124">
        <f>Report!AI12</f>
        <v>4933.13</v>
      </c>
      <c r="X7" s="125">
        <f>Report!AJ12</f>
        <v>0.22</v>
      </c>
      <c r="Y7" s="125">
        <f>Report!AL12</f>
        <v>14.407999999999999</v>
      </c>
      <c r="Z7" s="126">
        <f>Report!AM12</f>
        <v>8.5000000000000006E-2</v>
      </c>
      <c r="AA7" s="101">
        <f>Report!AQ13</f>
        <v>4932.0819063299696</v>
      </c>
      <c r="AB7" s="102">
        <f>Report!AR13</f>
        <v>0.22055478728747999</v>
      </c>
      <c r="AC7" s="103">
        <f>Report!AT13</f>
        <v>14.525530394532501</v>
      </c>
      <c r="AD7" s="104">
        <f>Report!AU13</f>
        <v>8.5657789354384506E-2</v>
      </c>
    </row>
    <row r="8" spans="2:30">
      <c r="B8" s="100" t="s">
        <v>60</v>
      </c>
      <c r="C8" s="101">
        <f>'Previous History'!J65</f>
        <v>5914.2020332499997</v>
      </c>
      <c r="D8" s="102">
        <f>'Previous History'!K65</f>
        <v>0.30510597042793802</v>
      </c>
      <c r="E8" s="102">
        <f>'Previous History'!M65</f>
        <v>16.174397815150002</v>
      </c>
      <c r="F8" s="120">
        <f>'Previous History'!N65</f>
        <v>6.9923963851782095E-2</v>
      </c>
      <c r="G8" s="105">
        <f>'Previous History'!S94</f>
        <v>5915.1821910299996</v>
      </c>
      <c r="H8" s="106">
        <f>'Previous History'!T94</f>
        <v>0.305150300226189</v>
      </c>
      <c r="I8" s="106">
        <f>'Previous History'!V94</f>
        <v>16.122765491799999</v>
      </c>
      <c r="J8" s="127">
        <f>'Previous History'!W94</f>
        <v>6.9700750799106495E-2</v>
      </c>
      <c r="K8" s="101">
        <f>'Previous History'!T11</f>
        <v>5914.8612571839903</v>
      </c>
      <c r="L8" s="102">
        <f>'Previous History'!U11</f>
        <v>0.25412328163134501</v>
      </c>
      <c r="M8" s="102">
        <f>'Previous History'!W11</f>
        <v>16.099118885256001</v>
      </c>
      <c r="N8" s="120">
        <f>'Previous History'!X11</f>
        <v>6.9599105048537294E-2</v>
      </c>
      <c r="O8" s="121">
        <f>Report!L13</f>
        <v>5915.0490803262301</v>
      </c>
      <c r="P8" s="122">
        <f>Report!M13</f>
        <v>0.354990642446186</v>
      </c>
      <c r="Q8" s="122">
        <f>Report!O13</f>
        <v>16.058829860054001</v>
      </c>
      <c r="R8" s="123">
        <f>Report!P13</f>
        <v>6.9423051736596006E-2</v>
      </c>
      <c r="S8" s="101">
        <f>Report!D13</f>
        <v>5915.9670964577226</v>
      </c>
      <c r="T8" s="102">
        <f>Report!E13</f>
        <v>0.36551399421712299</v>
      </c>
      <c r="U8" s="102">
        <f>Report!G13</f>
        <v>16.100455783234331</v>
      </c>
      <c r="V8" s="120">
        <f>Report!H13</f>
        <v>6.9712738005878502E-2</v>
      </c>
      <c r="W8" s="124">
        <f>Report!AI13</f>
        <v>5915.88</v>
      </c>
      <c r="X8" s="125">
        <f>Report!AJ13</f>
        <v>0.26</v>
      </c>
      <c r="Y8" s="125">
        <f>Report!AL13</f>
        <v>16.09</v>
      </c>
      <c r="Z8" s="126">
        <f>Report!AM13</f>
        <v>0.1</v>
      </c>
      <c r="AA8" s="101">
        <f>Report!AQ14</f>
        <v>5914.5845226582796</v>
      </c>
      <c r="AB8" s="102">
        <f>Report!AR14</f>
        <v>0.26221220354438302</v>
      </c>
      <c r="AC8" s="103">
        <f>Report!AT14</f>
        <v>16.217946257901701</v>
      </c>
      <c r="AD8" s="104">
        <f>Report!AU14</f>
        <v>9.5650588526697E-2</v>
      </c>
    </row>
    <row r="9" spans="2:30">
      <c r="B9" s="100" t="s">
        <v>61</v>
      </c>
      <c r="C9" s="101">
        <f>'Previous History'!J66</f>
        <v>6890.9692674600001</v>
      </c>
      <c r="D9" s="102">
        <f>'Previous History'!K66</f>
        <v>0.35527449141811002</v>
      </c>
      <c r="E9" s="102">
        <f>'Previous History'!M66</f>
        <v>17.82237197065</v>
      </c>
      <c r="F9" s="120">
        <f>'Previous History'!N66</f>
        <v>7.7048364190811597E-2</v>
      </c>
      <c r="G9" s="105">
        <f>'Previous History'!S95</f>
        <v>6892.0394397299997</v>
      </c>
      <c r="H9" s="106">
        <f>'Previous History'!T95</f>
        <v>0.35532326451607699</v>
      </c>
      <c r="I9" s="106">
        <f>'Previous History'!V95</f>
        <v>17.765799425000001</v>
      </c>
      <c r="J9" s="127">
        <f>'Previous History'!W95</f>
        <v>7.6803793933405903E-2</v>
      </c>
      <c r="K9" s="101">
        <f>'Previous History'!T12</f>
        <v>6891.6899159642999</v>
      </c>
      <c r="L9" s="102">
        <f>'Previous History'!U12</f>
        <v>0.29240336894860602</v>
      </c>
      <c r="M9" s="102">
        <f>'Previous History'!W12</f>
        <v>17.741712639155999</v>
      </c>
      <c r="N9" s="120">
        <f>'Previous History'!X12</f>
        <v>7.66997235749136E-2</v>
      </c>
      <c r="O9" s="121">
        <f>Report!L14</f>
        <v>6891.8206670916597</v>
      </c>
      <c r="P9" s="122">
        <f>Report!M14</f>
        <v>0.413286688235871</v>
      </c>
      <c r="Q9" s="122">
        <f>Report!O14</f>
        <v>17.696424682280998</v>
      </c>
      <c r="R9" s="123">
        <f>Report!P14</f>
        <v>7.65026432167729E-2</v>
      </c>
      <c r="S9" s="101">
        <f>Report!D14</f>
        <v>6892.8931261871721</v>
      </c>
      <c r="T9" s="102">
        <f>Report!E14</f>
        <v>0.42518958312958799</v>
      </c>
      <c r="U9" s="102">
        <f>Report!G14</f>
        <v>17.743071659182036</v>
      </c>
      <c r="V9" s="120">
        <f>Report!H14</f>
        <v>7.6827316914593505E-2</v>
      </c>
      <c r="W9" s="124">
        <f>Report!AI14</f>
        <v>6892.98</v>
      </c>
      <c r="X9" s="125">
        <f>Report!AJ14</f>
        <v>0.3</v>
      </c>
      <c r="Y9" s="125">
        <f>Report!AL14</f>
        <v>17.739999999999998</v>
      </c>
      <c r="Z9" s="126">
        <f>Report!AM14</f>
        <v>0.1</v>
      </c>
      <c r="AA9" s="101">
        <f>Report!AQ15</f>
        <v>6891.3861969392701</v>
      </c>
      <c r="AB9" s="102">
        <f>Report!AR15</f>
        <v>0.30385652711754302</v>
      </c>
      <c r="AC9" s="103">
        <f>Report!AT15</f>
        <v>17.8707518553067</v>
      </c>
      <c r="AD9" s="104">
        <f>Report!AU15</f>
        <v>0.105400815607816</v>
      </c>
    </row>
    <row r="10" spans="2:30">
      <c r="B10" s="100" t="s">
        <v>62</v>
      </c>
      <c r="C10" s="101">
        <f>'Previous History'!J67</f>
        <v>7863.1257594600002</v>
      </c>
      <c r="D10" s="102">
        <f>'Previous History'!K67</f>
        <v>0.40521193920860998</v>
      </c>
      <c r="E10" s="102">
        <f>'Previous History'!M67</f>
        <v>19.342140357150001</v>
      </c>
      <c r="F10" s="120">
        <f>'Previous History'!N67</f>
        <v>8.3618514803848298E-2</v>
      </c>
      <c r="G10" s="105">
        <f>'Previous History'!S96</f>
        <v>7864.4059655399997</v>
      </c>
      <c r="H10" s="106">
        <f>'Previous History'!T96</f>
        <v>0.40527138033421001</v>
      </c>
      <c r="I10" s="106">
        <f>'Previous History'!V96</f>
        <v>19.28131762025</v>
      </c>
      <c r="J10" s="127">
        <f>'Previous History'!W96</f>
        <v>8.3355570433061299E-2</v>
      </c>
      <c r="K10" s="101">
        <f>'Previous History'!T13</f>
        <v>7864.0478028232101</v>
      </c>
      <c r="L10" s="102">
        <f>'Previous History'!U13</f>
        <v>0.330833250975066</v>
      </c>
      <c r="M10" s="102">
        <f>'Previous History'!W13</f>
        <v>19.256869119351599</v>
      </c>
      <c r="N10" s="120">
        <f>'Previous History'!X13</f>
        <v>8.3249655026290906E-2</v>
      </c>
      <c r="O10" s="121">
        <f>Report!L15</f>
        <v>7864.1514737575199</v>
      </c>
      <c r="P10" s="122">
        <f>Report!M15</f>
        <v>0.47134831784994102</v>
      </c>
      <c r="Q10" s="122">
        <f>Report!O15</f>
        <v>19.206342111559099</v>
      </c>
      <c r="R10" s="123">
        <f>Report!P15</f>
        <v>8.3030326697468598E-2</v>
      </c>
      <c r="S10" s="101">
        <f>Report!D15</f>
        <v>7865.3282547735362</v>
      </c>
      <c r="T10" s="102">
        <f>Report!E15</f>
        <v>0.48460715328842402</v>
      </c>
      <c r="U10" s="102">
        <f>Report!G15</f>
        <v>19.257578497864046</v>
      </c>
      <c r="V10" s="120">
        <f>Report!H15</f>
        <v>8.3387610319554106E-2</v>
      </c>
      <c r="W10" s="124">
        <f>Report!AI15</f>
        <v>7865.64</v>
      </c>
      <c r="X10" s="125">
        <f>Report!AJ15</f>
        <v>0.35</v>
      </c>
      <c r="Y10" s="125">
        <f>Report!AL15</f>
        <v>19.25</v>
      </c>
      <c r="Z10" s="126">
        <f>Report!AM15</f>
        <v>0.11</v>
      </c>
      <c r="AA10" s="101">
        <f>Report!AQ16</f>
        <v>7863.7410965386798</v>
      </c>
      <c r="AB10" s="102">
        <f>Report!AR16</f>
        <v>0.34541627428163402</v>
      </c>
      <c r="AC10" s="103">
        <f>Report!AT16</f>
        <v>19.4016320176104</v>
      </c>
      <c r="AD10" s="104">
        <f>Report!AU16</f>
        <v>0.11441635157446001</v>
      </c>
    </row>
    <row r="11" spans="2:30">
      <c r="B11" s="100" t="s">
        <v>63</v>
      </c>
      <c r="C11" s="101">
        <f>'Previous History'!J68</f>
        <v>8832.1617491399993</v>
      </c>
      <c r="D11" s="102">
        <f>'Previous History'!K68</f>
        <v>0.45499665544648199</v>
      </c>
      <c r="E11" s="102">
        <f>'Previous History'!M68</f>
        <v>20.801806039150001</v>
      </c>
      <c r="F11" s="120">
        <f>'Previous History'!N68</f>
        <v>8.9928833837070801E-2</v>
      </c>
      <c r="G11" s="105">
        <f>'Previous History'!S97</f>
        <v>8833.7019970799993</v>
      </c>
      <c r="H11" s="106">
        <f>'Previous History'!T97</f>
        <v>0.45506938940064501</v>
      </c>
      <c r="I11" s="106">
        <f>'Previous History'!V97</f>
        <v>20.737543147450001</v>
      </c>
      <c r="J11" s="127">
        <f>'Previous History'!W97</f>
        <v>8.96510172427471E-2</v>
      </c>
      <c r="K11" s="101">
        <f>'Previous History'!T14</f>
        <v>8833.3751664333904</v>
      </c>
      <c r="L11" s="102">
        <f>'Previous History'!U14</f>
        <v>0.36924187058692898</v>
      </c>
      <c r="M11" s="102">
        <f>'Previous History'!W14</f>
        <v>20.713282246668001</v>
      </c>
      <c r="N11" s="120">
        <f>'Previous History'!X14</f>
        <v>8.9545714147612601E-2</v>
      </c>
      <c r="O11" s="121">
        <f>Report!L16</f>
        <v>8833.2017041336003</v>
      </c>
      <c r="P11" s="122">
        <f>Report!M16</f>
        <v>0.52923558486057298</v>
      </c>
      <c r="Q11" s="122">
        <f>Report!O16</f>
        <v>20.657266124920799</v>
      </c>
      <c r="R11" s="123">
        <f>Report!P16</f>
        <v>8.9303007460961897E-2</v>
      </c>
      <c r="S11" s="101">
        <f>Report!D16</f>
        <v>8834.5327350988391</v>
      </c>
      <c r="T11" s="102">
        <f>Report!E16</f>
        <v>0.54384988417887403</v>
      </c>
      <c r="U11" s="102">
        <f>Report!G16</f>
        <v>20.713051172066791</v>
      </c>
      <c r="V11" s="120">
        <f>Report!H16</f>
        <v>8.9692541470112894E-2</v>
      </c>
      <c r="W11" s="124">
        <f>Report!AI16</f>
        <v>8835.4599999999991</v>
      </c>
      <c r="X11" s="125">
        <f>Report!AJ16</f>
        <v>0.39</v>
      </c>
      <c r="Y11" s="125">
        <f>Report!AL16</f>
        <v>20.71</v>
      </c>
      <c r="Z11" s="126">
        <f>Report!AM16</f>
        <v>0.12</v>
      </c>
      <c r="AA11" s="101">
        <f>Report!AQ17</f>
        <v>8833.1541681006693</v>
      </c>
      <c r="AB11" s="102">
        <f>Report!AR17</f>
        <v>0.38691710945638902</v>
      </c>
      <c r="AC11" s="103">
        <f>Report!AT17</f>
        <v>20.873332539816602</v>
      </c>
      <c r="AD11" s="104">
        <f>Report!AU17</f>
        <v>0.123086766253624</v>
      </c>
    </row>
    <row r="12" spans="2:30">
      <c r="B12" s="100" t="s">
        <v>64</v>
      </c>
      <c r="C12" s="101">
        <f>'Previous History'!J69</f>
        <v>9802.5679593900004</v>
      </c>
      <c r="D12" s="102">
        <f>'Previous History'!K69</f>
        <v>0.50486320341276103</v>
      </c>
      <c r="E12" s="102">
        <f>'Previous History'!M69</f>
        <v>22.283172697649999</v>
      </c>
      <c r="F12" s="120">
        <f>'Previous History'!N69</f>
        <v>9.6332968931557406E-2</v>
      </c>
      <c r="G12" s="105">
        <f>'Previous History'!S98</f>
        <v>9804.3182411399994</v>
      </c>
      <c r="H12" s="106">
        <f>'Previous History'!T98</f>
        <v>0.50494660757426302</v>
      </c>
      <c r="I12" s="106">
        <f>'Previous History'!V98</f>
        <v>22.215259641700001</v>
      </c>
      <c r="J12" s="127">
        <f>'Previous History'!W98</f>
        <v>9.6039372216329896E-2</v>
      </c>
      <c r="K12" s="101">
        <f>'Previous History'!T15</f>
        <v>9803.9927528128301</v>
      </c>
      <c r="L12" s="102">
        <f>'Previous History'!U15</f>
        <v>0.40859064034550902</v>
      </c>
      <c r="M12" s="102">
        <f>'Previous History'!W15</f>
        <v>22.195966873475999</v>
      </c>
      <c r="N12" s="120">
        <f>'Previous History'!X15</f>
        <v>9.5955077158408897E-2</v>
      </c>
      <c r="O12" s="121">
        <f>Report!L17</f>
        <v>9803.6321769730694</v>
      </c>
      <c r="P12" s="122">
        <f>Report!M17</f>
        <v>0.58722235116920596</v>
      </c>
      <c r="Q12" s="122">
        <f>Report!O17</f>
        <v>22.129571376327799</v>
      </c>
      <c r="R12" s="123">
        <f>Report!P17</f>
        <v>9.5668127962578606E-2</v>
      </c>
      <c r="S12" s="101">
        <f>Report!D17</f>
        <v>9805.067482355169</v>
      </c>
      <c r="T12" s="102">
        <f>Report!E17</f>
        <v>0.60320871691341094</v>
      </c>
      <c r="U12" s="102">
        <f>Report!G17</f>
        <v>22.189995360946309</v>
      </c>
      <c r="V12" s="120">
        <f>Report!H17</f>
        <v>9.6090494144193295E-2</v>
      </c>
      <c r="W12" s="124">
        <f>Report!AI17</f>
        <v>9806.59</v>
      </c>
      <c r="X12" s="125">
        <f>Report!AJ17</f>
        <v>0.43</v>
      </c>
      <c r="Y12" s="125">
        <f>Report!AL17</f>
        <v>22.22</v>
      </c>
      <c r="Z12" s="126">
        <f>Report!AM17</f>
        <v>0.13</v>
      </c>
      <c r="AA12" s="101">
        <f>Report!AQ18</f>
        <v>9803.7531633721101</v>
      </c>
      <c r="AB12" s="102">
        <f>Report!AR18</f>
        <v>0.428537218374069</v>
      </c>
      <c r="AC12" s="103">
        <f>Report!AT18</f>
        <v>22.363178804122299</v>
      </c>
      <c r="AD12" s="104">
        <f>Report!AU18</f>
        <v>0.13186920250124301</v>
      </c>
    </row>
    <row r="13" spans="2:30">
      <c r="B13" s="100" t="s">
        <v>66</v>
      </c>
      <c r="C13" s="101">
        <f>'Previous History'!J77</f>
        <v>99.161962505999995</v>
      </c>
      <c r="D13" s="102">
        <f>'Previous History'!K77</f>
        <v>5.72788266205463E-3</v>
      </c>
      <c r="E13" s="103">
        <f>'Previous History'!M77</f>
        <v>1.17062267565</v>
      </c>
      <c r="F13" s="104">
        <f>'Previous History'!N77</f>
        <v>5.0607496236772798E-3</v>
      </c>
      <c r="G13" s="105">
        <f>'Previous History'!S103</f>
        <v>99.157961861999993</v>
      </c>
      <c r="H13" s="106">
        <f>'Previous History'!T103</f>
        <v>5.7256553518006299E-3</v>
      </c>
      <c r="I13" s="107">
        <f>'Previous History'!V103</f>
        <v>1.1674995351149999</v>
      </c>
      <c r="J13" s="108">
        <f>'Previous History'!W103</f>
        <v>5.0472478928326996E-3</v>
      </c>
      <c r="K13" s="101">
        <f>'Previous History'!T22</f>
        <v>99.161121112889404</v>
      </c>
      <c r="L13" s="102">
        <f>'Previous History'!U22</f>
        <v>6.1381350745899803E-3</v>
      </c>
      <c r="M13" s="103">
        <f>'Previous History'!W22</f>
        <v>1.1671766186388</v>
      </c>
      <c r="N13" s="104">
        <f>'Previous History'!X22</f>
        <v>5.0456073616774403E-3</v>
      </c>
      <c r="O13" s="121">
        <f>Report!L24</f>
        <v>99.156418534034003</v>
      </c>
      <c r="P13" s="122">
        <f>Report!M24</f>
        <v>6.6229737132988001E-3</v>
      </c>
      <c r="Q13" s="128">
        <f>Report!O24</f>
        <v>1.16352737213325</v>
      </c>
      <c r="R13" s="129">
        <f>Report!P24</f>
        <v>5.0298841054613099E-3</v>
      </c>
      <c r="S13" s="101">
        <f>Report!D24</f>
        <v>99.1588971991726</v>
      </c>
      <c r="T13" s="102">
        <f>Report!E24</f>
        <v>7.6874384070307299E-3</v>
      </c>
      <c r="U13" s="103">
        <f>Report!G24</f>
        <v>1.1660992607762031</v>
      </c>
      <c r="V13" s="104">
        <f>Report!H24</f>
        <v>5.0478153500966997E-3</v>
      </c>
      <c r="W13" s="124">
        <f>Report!AI24</f>
        <v>99.1417</v>
      </c>
      <c r="X13" s="125">
        <f>Report!AJ24</f>
        <v>7.1999999999999998E-3</v>
      </c>
      <c r="Y13" s="125">
        <f>Report!AL24</f>
        <v>1.1659999999999999</v>
      </c>
      <c r="Z13" s="126">
        <f>Report!AM24</f>
        <v>7.0000000000000001E-3</v>
      </c>
      <c r="AA13" s="101">
        <f>Report!AQ24</f>
        <v>99.133086213194701</v>
      </c>
      <c r="AB13" s="102">
        <f>Report!AR24</f>
        <v>7.2189733681477198E-3</v>
      </c>
      <c r="AC13" s="102">
        <f>Report!AT24</f>
        <v>1.17202252700159</v>
      </c>
      <c r="AD13" s="120">
        <f>Report!AU24</f>
        <v>6.9132554558785902E-3</v>
      </c>
    </row>
    <row r="14" spans="2:30">
      <c r="B14" s="100" t="s">
        <v>67</v>
      </c>
      <c r="C14" s="101">
        <f>'Previous History'!J78</f>
        <v>199.028038356</v>
      </c>
      <c r="D14" s="102">
        <f>'Previous History'!K78</f>
        <v>1.07085520170825E-2</v>
      </c>
      <c r="E14" s="103">
        <f>'Previous History'!M78</f>
        <v>1.7456885524500001</v>
      </c>
      <c r="F14" s="104">
        <f>'Previous History'!N78</f>
        <v>7.5468320139652498E-3</v>
      </c>
      <c r="G14" s="105">
        <f>'Previous History'!S104</f>
        <v>199.028038356</v>
      </c>
      <c r="H14" s="106">
        <f>'Previous History'!T104</f>
        <v>1.0706437831241001E-2</v>
      </c>
      <c r="I14" s="107">
        <f>'Previous History'!V104</f>
        <v>1.7410403432899999</v>
      </c>
      <c r="J14" s="108">
        <f>'Previous History'!W104</f>
        <v>7.5267372189074099E-3</v>
      </c>
      <c r="K14" s="101">
        <f>'Previous History'!T23</f>
        <v>199.026363799081</v>
      </c>
      <c r="L14" s="102">
        <f>'Previous History'!U23</f>
        <v>9.9933281432231392E-3</v>
      </c>
      <c r="M14" s="103">
        <f>'Previous History'!W23</f>
        <v>1.7402493277619999</v>
      </c>
      <c r="N14" s="104">
        <f>'Previous History'!X23</f>
        <v>7.5229625770695798E-3</v>
      </c>
      <c r="O14" s="121">
        <f>Report!L25</f>
        <v>199.02896286790801</v>
      </c>
      <c r="P14" s="122">
        <f>Report!M25</f>
        <v>1.2292446827193401E-2</v>
      </c>
      <c r="Q14" s="128">
        <f>Report!O25</f>
        <v>1.7351054684200899</v>
      </c>
      <c r="R14" s="129">
        <f>Report!P25</f>
        <v>7.5007738717937696E-3</v>
      </c>
      <c r="S14" s="101">
        <f>Report!D25</f>
        <v>199.03293789885871</v>
      </c>
      <c r="T14" s="102">
        <f>Report!E25</f>
        <v>1.35289017448626E-2</v>
      </c>
      <c r="U14" s="103">
        <f>Report!G25</f>
        <v>1.7389426711813616</v>
      </c>
      <c r="V14" s="104">
        <f>Report!H25</f>
        <v>7.5275999506981299E-3</v>
      </c>
      <c r="W14" s="124">
        <f>Report!AI25</f>
        <v>199.001</v>
      </c>
      <c r="X14" s="125">
        <f>Report!AJ25</f>
        <v>1.0999999999999999E-2</v>
      </c>
      <c r="Y14" s="125">
        <f>Report!AL25</f>
        <v>1.738</v>
      </c>
      <c r="Z14" s="126">
        <f>Report!AM25</f>
        <v>0.01</v>
      </c>
      <c r="AA14" s="101">
        <f>Report!AQ25</f>
        <v>198.98244418402001</v>
      </c>
      <c r="AB14" s="102">
        <f>Report!AR25</f>
        <v>1.11740289100297E-2</v>
      </c>
      <c r="AC14" s="102">
        <f>Report!AT25</f>
        <v>1.7485011155530501</v>
      </c>
      <c r="AD14" s="120">
        <f>Report!AU25</f>
        <v>1.0309353141354999E-2</v>
      </c>
    </row>
    <row r="15" spans="2:30">
      <c r="B15" s="100" t="s">
        <v>68</v>
      </c>
      <c r="C15" s="101">
        <f>'Previous History'!J79</f>
        <v>298.29401760600001</v>
      </c>
      <c r="D15" s="102">
        <f>'Previous History'!K79</f>
        <v>1.5774483799450401E-2</v>
      </c>
      <c r="E15" s="103">
        <f>'Previous History'!M79</f>
        <v>2.2146596552000002</v>
      </c>
      <c r="F15" s="104">
        <f>'Previous History'!N79</f>
        <v>9.5742533010505608E-3</v>
      </c>
      <c r="G15" s="105">
        <f>'Previous History'!S105</f>
        <v>298.27801503000001</v>
      </c>
      <c r="H15" s="106">
        <f>'Previous History'!T105</f>
        <v>1.5771525056987801E-2</v>
      </c>
      <c r="I15" s="107">
        <f>'Previous History'!V105</f>
        <v>2.2087603897450001</v>
      </c>
      <c r="J15" s="108">
        <f>'Previous History'!W105</f>
        <v>9.5487500316774592E-3</v>
      </c>
      <c r="K15" s="101">
        <f>'Previous History'!T24</f>
        <v>298.29350321704101</v>
      </c>
      <c r="L15" s="102">
        <f>'Previous History'!U24</f>
        <v>1.4440465662377999E-2</v>
      </c>
      <c r="M15" s="103">
        <f>'Previous History'!W24</f>
        <v>2.2077960138036001</v>
      </c>
      <c r="N15" s="104">
        <f>'Previous History'!X24</f>
        <v>9.5441297944560792E-3</v>
      </c>
      <c r="O15" s="121">
        <f>Report!L26</f>
        <v>298.29440055303502</v>
      </c>
      <c r="P15" s="122">
        <f>Report!M26</f>
        <v>1.81393064441784E-2</v>
      </c>
      <c r="Q15" s="128">
        <f>Report!O26</f>
        <v>2.20122245815553</v>
      </c>
      <c r="R15" s="129">
        <f>Report!P26</f>
        <v>9.5157748716248707E-3</v>
      </c>
      <c r="S15" s="101">
        <f>Report!D26</f>
        <v>298.30085697433333</v>
      </c>
      <c r="T15" s="102">
        <f>Report!E26</f>
        <v>1.95447639105591E-2</v>
      </c>
      <c r="U15" s="103">
        <f>Report!G26</f>
        <v>2.2060766244666268</v>
      </c>
      <c r="V15" s="104">
        <f>Report!H26</f>
        <v>9.5498358431930393E-3</v>
      </c>
      <c r="W15" s="124">
        <f>Report!AI26</f>
        <v>298.24900000000002</v>
      </c>
      <c r="X15" s="125">
        <f>Report!AJ26</f>
        <v>1.4999999999999999E-2</v>
      </c>
      <c r="Y15" s="125">
        <f>Report!AL26</f>
        <v>2.2050000000000001</v>
      </c>
      <c r="Z15" s="126">
        <f>Report!AM26</f>
        <v>1.2999999999999999E-2</v>
      </c>
      <c r="AA15" s="101">
        <f>Report!AQ26</f>
        <v>298.20466854543599</v>
      </c>
      <c r="AB15" s="102">
        <f>Report!AR26</f>
        <v>1.53422943099832E-2</v>
      </c>
      <c r="AC15" s="102">
        <f>Report!AT26</f>
        <v>2.2201829740978498</v>
      </c>
      <c r="AD15" s="120">
        <f>Report!AU26</f>
        <v>1.3088803541389299E-2</v>
      </c>
    </row>
    <row r="16" spans="2:30">
      <c r="B16" s="100" t="s">
        <v>69</v>
      </c>
      <c r="C16" s="101">
        <f>'Previous History'!J80</f>
        <v>396.55283472899998</v>
      </c>
      <c r="D16" s="102">
        <f>'Previous History'!K80</f>
        <v>2.08721497287555E-2</v>
      </c>
      <c r="E16" s="103">
        <f>'Previous History'!M80</f>
        <v>2.8021960931500001</v>
      </c>
      <c r="F16" s="104">
        <f>'Previous History'!N80</f>
        <v>1.21142475016594E-2</v>
      </c>
      <c r="G16" s="105">
        <f>'Previous History'!S106</f>
        <v>396.55083440700002</v>
      </c>
      <c r="H16" s="106">
        <f>'Previous History'!T106</f>
        <v>2.0870503957503402E-2</v>
      </c>
      <c r="I16" s="107">
        <f>'Previous History'!V106</f>
        <v>2.7976668893449999</v>
      </c>
      <c r="J16" s="108">
        <f>'Previous History'!W106</f>
        <v>1.20946671817762E-2</v>
      </c>
      <c r="K16" s="101">
        <f>'Previous History'!T25</f>
        <v>396.56347046372002</v>
      </c>
      <c r="L16" s="102">
        <f>'Previous History'!U25</f>
        <v>1.82525317851647E-2</v>
      </c>
      <c r="M16" s="103">
        <f>'Previous History'!W25</f>
        <v>2.7933094330019999</v>
      </c>
      <c r="N16" s="104">
        <f>'Previous History'!X25</f>
        <v>1.2075408404378801E-2</v>
      </c>
      <c r="O16" s="121">
        <f>Report!L27</f>
        <v>396.57566535123101</v>
      </c>
      <c r="P16" s="122">
        <f>Report!M27</f>
        <v>2.3992791211905298E-2</v>
      </c>
      <c r="Q16" s="128">
        <f>Report!O27</f>
        <v>2.7851062669843598</v>
      </c>
      <c r="R16" s="129">
        <f>Report!P27</f>
        <v>1.20398749688216E-2</v>
      </c>
      <c r="S16" s="101">
        <f>Report!D27</f>
        <v>396.58657896238947</v>
      </c>
      <c r="T16" s="102">
        <f>Report!E27</f>
        <v>2.5713881679430999E-2</v>
      </c>
      <c r="U16" s="103">
        <f>Report!G27</f>
        <v>2.7911949007843466</v>
      </c>
      <c r="V16" s="104">
        <f>Report!H27</f>
        <v>1.2082784529023101E-2</v>
      </c>
      <c r="W16" s="124">
        <f>Report!AI27</f>
        <v>396.524</v>
      </c>
      <c r="X16" s="125">
        <f>Report!AJ27</f>
        <v>0.02</v>
      </c>
      <c r="Y16" s="125">
        <f>Report!AL27</f>
        <v>2.79</v>
      </c>
      <c r="Z16" s="126">
        <f>Report!AM27</f>
        <v>1.6E-2</v>
      </c>
      <c r="AA16" s="101">
        <f>Report!AQ27</f>
        <v>396.48125483208997</v>
      </c>
      <c r="AB16" s="102">
        <f>Report!AR27</f>
        <v>1.9829174335962998E-2</v>
      </c>
      <c r="AC16" s="102">
        <f>Report!AT27</f>
        <v>2.8113080858313699</v>
      </c>
      <c r="AD16" s="120">
        <f>Report!AU27</f>
        <v>1.6573666326096501E-2</v>
      </c>
    </row>
    <row r="17" spans="1:30">
      <c r="B17" s="100" t="s">
        <v>70</v>
      </c>
      <c r="C17" s="101">
        <f>'Previous History'!J81</f>
        <v>494.49160033200002</v>
      </c>
      <c r="D17" s="102">
        <f>'Previous History'!K81</f>
        <v>2.59009633251116E-2</v>
      </c>
      <c r="E17" s="103">
        <f>'Previous History'!M81</f>
        <v>3.1871034132</v>
      </c>
      <c r="F17" s="104">
        <f>'Previous History'!N81</f>
        <v>1.37782504426686E-2</v>
      </c>
      <c r="G17" s="105">
        <f>'Previous History'!S107</f>
        <v>494.49360065399998</v>
      </c>
      <c r="H17" s="106">
        <f>'Previous History'!T107</f>
        <v>2.5899450295097701E-2</v>
      </c>
      <c r="I17" s="107">
        <f>'Previous History'!V107</f>
        <v>3.1817881740249998</v>
      </c>
      <c r="J17" s="108">
        <f>'Previous History'!W107</f>
        <v>1.37552719926401E-2</v>
      </c>
      <c r="K17" s="101">
        <f>'Previous History'!T26</f>
        <v>494.51438262249599</v>
      </c>
      <c r="L17" s="102">
        <f>'Previous History'!U26</f>
        <v>2.2373049606594801E-2</v>
      </c>
      <c r="M17" s="103">
        <f>'Previous History'!W26</f>
        <v>3.1765213054872001</v>
      </c>
      <c r="N17" s="104">
        <f>'Previous History'!X26</f>
        <v>1.37320137615345E-2</v>
      </c>
      <c r="O17" s="121">
        <f>Report!L28</f>
        <v>494.53587375033601</v>
      </c>
      <c r="P17" s="122">
        <f>Report!M28</f>
        <v>2.9828296571378501E-2</v>
      </c>
      <c r="Q17" s="128">
        <f>Report!O28</f>
        <v>3.1675614124187002</v>
      </c>
      <c r="R17" s="129">
        <f>Report!P28</f>
        <v>1.36932186693759E-2</v>
      </c>
      <c r="S17" s="101">
        <f>Report!D28</f>
        <v>494.54123451873937</v>
      </c>
      <c r="T17" s="102">
        <f>Report!E28</f>
        <v>3.1708300887431699E-2</v>
      </c>
      <c r="U17" s="103">
        <f>Report!G28</f>
        <v>3.1743629308156889</v>
      </c>
      <c r="V17" s="104">
        <f>Report!H28</f>
        <v>1.37415864073199E-2</v>
      </c>
      <c r="W17" s="124">
        <f>Report!AI28</f>
        <v>494.47300000000001</v>
      </c>
      <c r="X17" s="125">
        <f>Report!AJ28</f>
        <v>0.36399999999999999</v>
      </c>
      <c r="Y17" s="125">
        <f>Report!AL28</f>
        <v>3.173</v>
      </c>
      <c r="Z17" s="126">
        <f>Report!AM28</f>
        <v>1.9E-2</v>
      </c>
      <c r="AA17" s="101">
        <f>Report!AQ28</f>
        <v>494.431256207915</v>
      </c>
      <c r="AB17" s="102">
        <f>Report!AR28</f>
        <v>2.4043377782103501E-2</v>
      </c>
      <c r="AC17" s="102">
        <f>Report!AT28</f>
        <v>3.1989650525973001</v>
      </c>
      <c r="AD17" s="120">
        <f>Report!AU28</f>
        <v>1.8855830887928301E-2</v>
      </c>
    </row>
    <row r="18" spans="1:30">
      <c r="B18" s="100" t="s">
        <v>71</v>
      </c>
      <c r="C18" s="101">
        <f>'Previous History'!J82</f>
        <v>593.52154158600001</v>
      </c>
      <c r="D18" s="102">
        <f>'Previous History'!K82</f>
        <v>3.0990853143765401E-2</v>
      </c>
      <c r="E18" s="103">
        <f>'Previous History'!M82</f>
        <v>3.54966972795</v>
      </c>
      <c r="F18" s="104">
        <f>'Previous History'!N82</f>
        <v>1.53456703971046E-2</v>
      </c>
      <c r="G18" s="105">
        <f>'Previous History'!S108</f>
        <v>593.52554223000004</v>
      </c>
      <c r="H18" s="106">
        <f>'Previous History'!T108</f>
        <v>3.09893503936957E-2</v>
      </c>
      <c r="I18" s="107">
        <f>'Previous History'!V108</f>
        <v>3.5435064506149998</v>
      </c>
      <c r="J18" s="108">
        <f>'Previous History'!W108</f>
        <v>1.53190257710415E-2</v>
      </c>
      <c r="K18" s="101">
        <f>'Previous History'!T27</f>
        <v>594.14458472669105</v>
      </c>
      <c r="L18" s="102">
        <f>'Previous History'!U27</f>
        <v>0.12517757023635101</v>
      </c>
      <c r="M18" s="103">
        <f>'Previous History'!W27</f>
        <v>3.5335416830472002</v>
      </c>
      <c r="N18" s="104">
        <f>'Previous History'!X27</f>
        <v>1.5275653934598499E-2</v>
      </c>
      <c r="O18" s="121">
        <f>Report!L29</f>
        <v>593.62027963410696</v>
      </c>
      <c r="P18" s="122">
        <f>Report!M29</f>
        <v>3.5740115061982103E-2</v>
      </c>
      <c r="Q18" s="128">
        <f>Report!O29</f>
        <v>3.5303874212602602</v>
      </c>
      <c r="R18" s="129">
        <f>Report!P29</f>
        <v>1.52617090500138E-2</v>
      </c>
      <c r="S18" s="101">
        <f>Report!D29</f>
        <v>593.59611084510993</v>
      </c>
      <c r="T18" s="102">
        <f>Report!E29</f>
        <v>3.7780852055259502E-2</v>
      </c>
      <c r="U18" s="103">
        <f>Report!G29</f>
        <v>3.5374895470546459</v>
      </c>
      <c r="V18" s="104">
        <f>Report!H29</f>
        <v>1.5313650577604801E-2</v>
      </c>
      <c r="W18" s="124">
        <f>Report!AI29</f>
        <v>593.51199999999994</v>
      </c>
      <c r="X18" s="125">
        <f>Report!AJ29</f>
        <v>2.8000000000000001E-2</v>
      </c>
      <c r="Y18" s="125">
        <f>Report!AL29</f>
        <v>3.5350000000000001</v>
      </c>
      <c r="Z18" s="126">
        <f>Report!AM29</f>
        <v>2.1000000000000001E-2</v>
      </c>
      <c r="AA18" s="101">
        <f>Report!AQ29</f>
        <v>594.85152876205404</v>
      </c>
      <c r="AB18" s="102">
        <f>Report!AR29</f>
        <v>2.8354887405978399E-2</v>
      </c>
      <c r="AC18" s="102">
        <f>Report!AT29</f>
        <v>3.5530616018677099</v>
      </c>
      <c r="AD18" s="120">
        <f>Report!AU29</f>
        <v>2.0945548163543E-2</v>
      </c>
    </row>
    <row r="19" spans="1:30">
      <c r="B19" s="100" t="s">
        <v>72</v>
      </c>
      <c r="C19" s="101">
        <f>'Previous History'!J83</f>
        <v>691.35529028400003</v>
      </c>
      <c r="D19" s="102">
        <f>'Previous History'!K83</f>
        <v>3.6026377145224601E-2</v>
      </c>
      <c r="E19" s="103">
        <f>'Previous History'!M83</f>
        <v>3.9065457866500002</v>
      </c>
      <c r="F19" s="104">
        <f>'Previous History'!N83</f>
        <v>1.6888490656213801E-2</v>
      </c>
      <c r="G19" s="105">
        <f>'Previous History'!S109</f>
        <v>691.35429012300006</v>
      </c>
      <c r="H19" s="106">
        <f>'Previous History'!T109</f>
        <v>3.6024535110045497E-2</v>
      </c>
      <c r="I19" s="107">
        <f>'Previous History'!V109</f>
        <v>3.8996024742149999</v>
      </c>
      <c r="J19" s="108">
        <f>'Previous History'!W109</f>
        <v>1.68584738399301E-2</v>
      </c>
      <c r="K19" s="101">
        <f>'Previous History'!T28</f>
        <v>691.38737462140705</v>
      </c>
      <c r="L19" s="102">
        <f>'Previous History'!U28</f>
        <v>3.0514135058359201E-2</v>
      </c>
      <c r="M19" s="103">
        <f>'Previous History'!W28</f>
        <v>3.8930622033072</v>
      </c>
      <c r="N19" s="104">
        <f>'Previous History'!X28</f>
        <v>1.6829566170225501E-2</v>
      </c>
      <c r="O19" s="121">
        <f>Report!L30</f>
        <v>691.43446238128899</v>
      </c>
      <c r="P19" s="122">
        <f>Report!M30</f>
        <v>4.1582222112376999E-2</v>
      </c>
      <c r="Q19" s="128">
        <f>Report!O30</f>
        <v>3.8822527954443502</v>
      </c>
      <c r="R19" s="129">
        <f>Report!P30</f>
        <v>1.6782818315103198E-2</v>
      </c>
      <c r="S19" s="101">
        <f>Report!D30</f>
        <v>691.43474312025762</v>
      </c>
      <c r="T19" s="102">
        <f>Report!E30</f>
        <v>4.3793554025836297E-2</v>
      </c>
      <c r="U19" s="103">
        <f>Report!G30</f>
        <v>3.8900894206998582</v>
      </c>
      <c r="V19" s="104">
        <f>Report!H30</f>
        <v>1.68401538178178E-2</v>
      </c>
      <c r="W19" s="124">
        <f>Report!AI30</f>
        <v>691.34299999999996</v>
      </c>
      <c r="X19" s="125">
        <f>Report!AJ30</f>
        <v>3.3000000000000002E-2</v>
      </c>
      <c r="Y19" s="125">
        <f>Report!AL30</f>
        <v>3.8929999999999998</v>
      </c>
      <c r="Z19" s="126">
        <f>Report!AM30</f>
        <v>2.3E-2</v>
      </c>
      <c r="AA19" s="101">
        <f>Report!AQ30</f>
        <v>691.30087353587896</v>
      </c>
      <c r="AB19" s="102">
        <f>Report!AR30</f>
        <v>3.2572905486254397E-2</v>
      </c>
      <c r="AC19" s="102">
        <f>Report!AT30</f>
        <v>3.9212505331790601</v>
      </c>
      <c r="AD19" s="120">
        <f>Report!AU30</f>
        <v>2.3114012791496798E-2</v>
      </c>
    </row>
    <row r="20" spans="1:30">
      <c r="B20" s="100" t="s">
        <v>73</v>
      </c>
      <c r="C20" s="101">
        <f>'Previous History'!J84</f>
        <v>789.14603205900005</v>
      </c>
      <c r="D20" s="102">
        <f>'Previous History'!K84</f>
        <v>4.1051582488194599E-2</v>
      </c>
      <c r="E20" s="103">
        <f>'Previous History'!M84</f>
        <v>4.2106494707</v>
      </c>
      <c r="F20" s="104">
        <f>'Previous History'!N84</f>
        <v>1.82031692769405E-2</v>
      </c>
      <c r="G20" s="105">
        <f>'Previous History'!S110</f>
        <v>789.14203141500002</v>
      </c>
      <c r="H20" s="106">
        <f>'Previous History'!T110</f>
        <v>4.1049472069006297E-2</v>
      </c>
      <c r="I20" s="107">
        <f>'Previous History'!V110</f>
        <v>4.2027261141650003</v>
      </c>
      <c r="J20" s="108">
        <f>'Previous History'!W110</f>
        <v>1.8168915606277199E-2</v>
      </c>
      <c r="K20" s="101">
        <f>'Previous History'!T29</f>
        <v>789.17825914988805</v>
      </c>
      <c r="L20" s="102">
        <f>'Previous History'!U29</f>
        <v>3.44883117308886E-2</v>
      </c>
      <c r="M20" s="103">
        <f>'Previous History'!W29</f>
        <v>4.1957494797108001</v>
      </c>
      <c r="N20" s="104">
        <f>'Previous History'!X29</f>
        <v>1.8138064605077699E-2</v>
      </c>
      <c r="O20" s="121">
        <f>Report!L31</f>
        <v>789.23464266869803</v>
      </c>
      <c r="P20" s="122">
        <f>Report!M31</f>
        <v>4.7423930962208503E-2</v>
      </c>
      <c r="Q20" s="128">
        <f>Report!O31</f>
        <v>4.1843012850639099</v>
      </c>
      <c r="R20" s="129">
        <f>Report!P31</f>
        <v>1.80885746837679E-2</v>
      </c>
      <c r="S20" s="101">
        <f>Report!D31</f>
        <v>789.22936656460445</v>
      </c>
      <c r="T20" s="102">
        <f>Report!E31</f>
        <v>4.9780146226325699E-2</v>
      </c>
      <c r="U20" s="103">
        <f>Report!G31</f>
        <v>4.1925207552784549</v>
      </c>
      <c r="V20" s="104">
        <f>Report!H31</f>
        <v>1.8149510860698801E-2</v>
      </c>
      <c r="W20" s="124">
        <f>Report!AI31</f>
        <v>789.13099999999997</v>
      </c>
      <c r="X20" s="125">
        <f>Report!AJ31</f>
        <v>3.6999999999999998E-2</v>
      </c>
      <c r="Y20" s="125">
        <f>Report!AL31</f>
        <v>4.1970000000000001</v>
      </c>
      <c r="Z20" s="126">
        <f>Report!AM31</f>
        <v>2.5000000000000001E-2</v>
      </c>
      <c r="AA20" s="101">
        <f>Report!AQ31</f>
        <v>789.07784196681303</v>
      </c>
      <c r="AB20" s="102">
        <f>Report!AR31</f>
        <v>3.6778843640019203E-2</v>
      </c>
      <c r="AC20" s="102">
        <f>Report!AT31</f>
        <v>4.22552144399417</v>
      </c>
      <c r="AD20" s="120">
        <f>Report!AU31</f>
        <v>2.4909422496540101E-2</v>
      </c>
    </row>
    <row r="21" spans="1:30">
      <c r="B21" s="100" t="s">
        <v>74</v>
      </c>
      <c r="C21" s="101">
        <f>'Previous History'!J85</f>
        <v>887.36284241999999</v>
      </c>
      <c r="D21" s="102">
        <f>'Previous History'!K85</f>
        <v>4.6106047718343E-2</v>
      </c>
      <c r="E21" s="103">
        <f>'Previous History'!M85</f>
        <v>4.5292938090500003</v>
      </c>
      <c r="F21" s="104">
        <f>'Previous History'!N85</f>
        <v>1.9580708982034799E-2</v>
      </c>
      <c r="G21" s="105">
        <f>'Previous History'!S111</f>
        <v>887.36984354699996</v>
      </c>
      <c r="H21" s="106">
        <f>'Previous History'!T111</f>
        <v>4.6104400421217898E-2</v>
      </c>
      <c r="I21" s="107">
        <f>'Previous History'!V111</f>
        <v>4.5205204142650004</v>
      </c>
      <c r="J21" s="108">
        <f>'Previous History'!W111</f>
        <v>1.9542780488695299E-2</v>
      </c>
      <c r="K21" s="101">
        <f>'Previous History'!T30</f>
        <v>887.39621741671999</v>
      </c>
      <c r="L21" s="102">
        <f>'Previous History'!U30</f>
        <v>3.8437383842652099E-2</v>
      </c>
      <c r="M21" s="103">
        <f>'Previous History'!W30</f>
        <v>4.5130275889115996</v>
      </c>
      <c r="N21" s="104">
        <f>'Previous History'!X30</f>
        <v>1.9509641616049199E-2</v>
      </c>
      <c r="O21" s="121">
        <f>Report!L32</f>
        <v>887.48890272304504</v>
      </c>
      <c r="P21" s="122">
        <f>Report!M32</f>
        <v>5.3296748849945903E-2</v>
      </c>
      <c r="Q21" s="128">
        <f>Report!O32</f>
        <v>4.5008786159520602</v>
      </c>
      <c r="R21" s="129">
        <f>Report!P32</f>
        <v>1.9457138777032201E-2</v>
      </c>
      <c r="S21" s="101">
        <f>Report!D32</f>
        <v>887.49408433796009</v>
      </c>
      <c r="T21" s="102">
        <f>Report!E32</f>
        <v>5.5815984679189398E-2</v>
      </c>
      <c r="U21" s="103">
        <f>Report!G32</f>
        <v>4.5095331184545051</v>
      </c>
      <c r="V21" s="104">
        <f>Report!H32</f>
        <v>1.95219889907014E-2</v>
      </c>
      <c r="W21" s="124">
        <f>Report!AI32</f>
        <v>887.36300000000006</v>
      </c>
      <c r="X21" s="125">
        <f>Report!AJ32</f>
        <v>4.1000000000000002E-2</v>
      </c>
      <c r="Y21" s="125">
        <f>Report!AL32</f>
        <v>4.5149999999999997</v>
      </c>
      <c r="Z21" s="126">
        <f>Report!AM32</f>
        <v>2.7E-2</v>
      </c>
      <c r="AA21" s="101">
        <f>Report!AQ32</f>
        <v>887.30279957383402</v>
      </c>
      <c r="AB21" s="102">
        <f>Report!AR32</f>
        <v>4.1046635992108498E-2</v>
      </c>
      <c r="AC21" s="102">
        <f>Report!AT32</f>
        <v>4.5463784473697002</v>
      </c>
      <c r="AD21" s="120">
        <f>Report!AU32</f>
        <v>2.6798686880045299E-2</v>
      </c>
    </row>
    <row r="22" spans="1:30">
      <c r="B22" s="100" t="s">
        <v>75</v>
      </c>
      <c r="C22" s="130">
        <f>'Previous History'!J86</f>
        <v>984.77052253199997</v>
      </c>
      <c r="D22" s="131">
        <f>'Previous History'!K86</f>
        <v>5.1119815729893998E-2</v>
      </c>
      <c r="E22" s="132">
        <f>'Previous History'!M86</f>
        <v>4.8375776812</v>
      </c>
      <c r="F22" s="133">
        <f>'Previous History'!N86</f>
        <v>2.0913459083687001E-2</v>
      </c>
      <c r="G22" s="134">
        <f>'Previous History'!S112</f>
        <v>984.77752365900005</v>
      </c>
      <c r="H22" s="135">
        <f>'Previous History'!T112</f>
        <v>5.1118057396939497E-2</v>
      </c>
      <c r="I22" s="136">
        <f>'Previous History'!V112</f>
        <v>4.8278862451049998</v>
      </c>
      <c r="J22" s="137">
        <f>'Previous History'!W112</f>
        <v>2.08715617818571E-2</v>
      </c>
      <c r="K22" s="130">
        <f>'Previous History'!T31</f>
        <v>984.81803822282995</v>
      </c>
      <c r="L22" s="131">
        <f>'Previous History'!U31</f>
        <v>4.2525009892841199E-2</v>
      </c>
      <c r="M22" s="132">
        <f>'Previous History'!W31</f>
        <v>4.8219112189828799</v>
      </c>
      <c r="N22" s="133">
        <f>'Previous History'!X31</f>
        <v>2.0844885511304499E-2</v>
      </c>
      <c r="O22" s="138">
        <f>Report!L33</f>
        <v>984.942022043213</v>
      </c>
      <c r="P22" s="139">
        <f>Report!M33</f>
        <v>5.9123218161199198E-2</v>
      </c>
      <c r="Q22" s="140">
        <f>Report!O33</f>
        <v>4.8071563504590697</v>
      </c>
      <c r="R22" s="141">
        <f>Report!P33</f>
        <v>2.0781179076623201E-2</v>
      </c>
      <c r="S22" s="130">
        <f>Report!D33</f>
        <v>984.95063994570069</v>
      </c>
      <c r="T22" s="131">
        <f>Report!E33</f>
        <v>6.1804450847096203E-2</v>
      </c>
      <c r="U22" s="132">
        <f>Report!G33</f>
        <v>4.8162647563917478</v>
      </c>
      <c r="V22" s="133">
        <f>Report!H33</f>
        <v>2.0849970335959301E-2</v>
      </c>
      <c r="W22" s="142">
        <f>Report!AI33</f>
        <v>984.79399999999998</v>
      </c>
      <c r="X22" s="143">
        <f>Report!AJ33</f>
        <v>4.4999999999999998E-2</v>
      </c>
      <c r="Y22" s="143">
        <f>Report!AL33</f>
        <v>4.8230000000000004</v>
      </c>
      <c r="Z22" s="144">
        <f>Report!AM33</f>
        <v>2.9000000000000001E-2</v>
      </c>
      <c r="AA22" s="130">
        <f>Report!AQ33</f>
        <v>984.77974675410201</v>
      </c>
      <c r="AB22" s="131">
        <f>Report!AR33</f>
        <v>4.5246444808536103E-2</v>
      </c>
      <c r="AC22" s="131">
        <f>Report!AT33</f>
        <v>4.8225632579422504</v>
      </c>
      <c r="AD22" s="145">
        <f>Report!AU33</f>
        <v>2.8508400304402499E-2</v>
      </c>
    </row>
    <row r="23" spans="1:30">
      <c r="A23" s="146" t="s">
        <v>1149</v>
      </c>
    </row>
    <row r="24" spans="1:30" ht="31.9" customHeight="1">
      <c r="A24" s="147">
        <v>45805</v>
      </c>
      <c r="C24" s="146" t="s">
        <v>1150</v>
      </c>
      <c r="D24" s="146" t="s">
        <v>1151</v>
      </c>
      <c r="E24" s="146" t="s">
        <v>1150</v>
      </c>
      <c r="F24" s="146" t="s">
        <v>1152</v>
      </c>
      <c r="G24" s="146"/>
    </row>
    <row r="26" spans="1:30">
      <c r="B26" s="148" t="s">
        <v>1153</v>
      </c>
    </row>
    <row r="28" spans="1:30">
      <c r="C28" s="99" t="s">
        <v>105</v>
      </c>
      <c r="D28" s="99" t="s">
        <v>106</v>
      </c>
      <c r="E28" s="99" t="s">
        <v>101</v>
      </c>
      <c r="F28" s="99" t="s">
        <v>102</v>
      </c>
    </row>
    <row r="29" spans="1:30">
      <c r="B29" s="149">
        <v>34971</v>
      </c>
      <c r="C29" s="150">
        <f>VLOOKUP($B$26,previous,2,FALSE())</f>
        <v>984.77052253199997</v>
      </c>
      <c r="D29" s="150">
        <f>VLOOKUP($B$26,previous,3,FALSE())</f>
        <v>5.1119815729893998E-2</v>
      </c>
      <c r="E29" s="150">
        <f>VLOOKUP($B$26,previous,4,FALSE())</f>
        <v>4.8375776812</v>
      </c>
      <c r="F29" s="150">
        <f>VLOOKUP($B$26,previous,5,FALSE())</f>
        <v>2.0913459083687001E-2</v>
      </c>
    </row>
    <row r="30" spans="1:30">
      <c r="B30" s="149">
        <v>36749</v>
      </c>
      <c r="C30" s="150">
        <f>VLOOKUP($B$26,previous,6,FALSE())</f>
        <v>984.77752365900005</v>
      </c>
      <c r="D30" s="150">
        <f>VLOOKUP($B$26,previous,7,FALSE())</f>
        <v>5.1118057396939497E-2</v>
      </c>
      <c r="E30" s="150">
        <f>VLOOKUP($B$26,previous,8,FALSE())</f>
        <v>4.8278862451049998</v>
      </c>
      <c r="F30" s="150">
        <f>VLOOKUP($B$26,previous,9,FALSE())</f>
        <v>2.08715617818571E-2</v>
      </c>
    </row>
    <row r="31" spans="1:30">
      <c r="B31" s="149">
        <v>38408</v>
      </c>
      <c r="C31" s="150">
        <f>VLOOKUP($B$26,previous,10,FALSE())</f>
        <v>984.81803822282995</v>
      </c>
      <c r="D31" s="150">
        <f>VLOOKUP($B$26,previous,11,FALSE())</f>
        <v>4.2525009892841199E-2</v>
      </c>
      <c r="E31" s="150">
        <f>VLOOKUP($B$26,previous,12,FALSE())</f>
        <v>4.8219112189828799</v>
      </c>
      <c r="F31" s="150">
        <f>VLOOKUP($B$26,previous,13,FALSE())</f>
        <v>2.0844885511304499E-2</v>
      </c>
    </row>
    <row r="32" spans="1:30">
      <c r="B32" s="149">
        <v>39997</v>
      </c>
      <c r="C32" s="150">
        <f>VLOOKUP($B$26,previous,14,FALSE())</f>
        <v>984.942022043213</v>
      </c>
      <c r="D32" s="150">
        <f>VLOOKUP($B$26,previous,15,FALSE())</f>
        <v>5.9123218161199198E-2</v>
      </c>
      <c r="E32" s="150">
        <f>VLOOKUP($B$26,previous,16,FALSE())</f>
        <v>4.8071563504590697</v>
      </c>
      <c r="F32" s="150">
        <f>VLOOKUP($B$26,previous,17,FALSE())</f>
        <v>2.0781179076623201E-2</v>
      </c>
    </row>
    <row r="33" spans="2:6">
      <c r="B33" s="149">
        <v>41921</v>
      </c>
      <c r="C33" s="150">
        <f>VLOOKUP($B$26,previous,18,FALSE())</f>
        <v>984.95063994570069</v>
      </c>
      <c r="D33" s="150">
        <f>VLOOKUP($B$26,previous,19,FALSE())</f>
        <v>6.1804450847096203E-2</v>
      </c>
      <c r="E33" s="150">
        <f>VLOOKUP($B$26,previous,20,FALSE())</f>
        <v>4.8162647563917478</v>
      </c>
      <c r="F33" s="150">
        <f>VLOOKUP($B$26,previous,21,FALSE())</f>
        <v>2.0849970335959301E-2</v>
      </c>
    </row>
    <row r="34" spans="2:6">
      <c r="B34" s="149">
        <f>W1</f>
        <v>44146</v>
      </c>
      <c r="C34" s="150">
        <f>VLOOKUP($B$26,previous,22,FALSE())</f>
        <v>984.79399999999998</v>
      </c>
      <c r="D34" s="150">
        <f>VLOOKUP($B$26,previous,23,FALSE())</f>
        <v>4.4999999999999998E-2</v>
      </c>
      <c r="E34" s="150">
        <f>VLOOKUP($B$26,previous,24,FALSE())</f>
        <v>4.8230000000000004</v>
      </c>
      <c r="F34" s="150">
        <f>VLOOKUP($B$26,previous,25,FALSE())</f>
        <v>2.9000000000000001E-2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FD095"/>
    <pageSetUpPr fitToPage="1"/>
  </sheetPr>
  <dimension ref="A1:AV34"/>
  <sheetViews>
    <sheetView showGridLines="0" topLeftCell="T1" zoomScale="110" zoomScaleNormal="110" workbookViewId="0">
      <selection activeCell="AL8" sqref="AL8"/>
    </sheetView>
  </sheetViews>
  <sheetFormatPr defaultColWidth="8.6328125" defaultRowHeight="12.5"/>
  <cols>
    <col min="1" max="1" width="10.81640625" customWidth="1"/>
    <col min="3" max="3" width="10.26953125" style="151" customWidth="1"/>
    <col min="4" max="4" width="14.54296875" customWidth="1"/>
    <col min="5" max="5" width="12.26953125" customWidth="1"/>
    <col min="6" max="6" width="10.08984375" customWidth="1"/>
    <col min="7" max="7" width="12.81640625" customWidth="1"/>
    <col min="8" max="8" width="12.54296875" customWidth="1"/>
    <col min="9" max="9" width="10.453125" customWidth="1"/>
    <col min="10" max="10" width="7.453125" customWidth="1"/>
    <col min="11" max="11" width="12.26953125" customWidth="1"/>
    <col min="12" max="12" width="14.26953125" customWidth="1"/>
    <col min="13" max="14" width="10.08984375" customWidth="1"/>
    <col min="17" max="17" width="11" customWidth="1"/>
    <col min="18" max="19" width="11.08984375" customWidth="1"/>
    <col min="26" max="26" width="10.26953125" customWidth="1"/>
    <col min="34" max="34" width="13.26953125" customWidth="1"/>
  </cols>
  <sheetData>
    <row r="1" spans="1:48">
      <c r="A1" s="9" t="s">
        <v>1154</v>
      </c>
      <c r="D1" t="s">
        <v>1155</v>
      </c>
      <c r="E1" s="152">
        <f>'Room data logger'!C55</f>
        <v>43.073469387755118</v>
      </c>
      <c r="F1" t="s">
        <v>1156</v>
      </c>
    </row>
    <row r="2" spans="1:48" ht="15.5">
      <c r="D2" t="s">
        <v>80</v>
      </c>
      <c r="E2" s="153">
        <f>H3</f>
        <v>19.484999999999996</v>
      </c>
      <c r="K2" s="154">
        <v>39997</v>
      </c>
      <c r="Z2" s="149">
        <v>41921</v>
      </c>
      <c r="AP2" s="75">
        <v>45793</v>
      </c>
    </row>
    <row r="3" spans="1:48" ht="13">
      <c r="G3" s="155" t="s">
        <v>80</v>
      </c>
      <c r="H3">
        <f>AVERAGE(Results!L12:L31)</f>
        <v>19.484999999999996</v>
      </c>
      <c r="K3" s="100" t="s">
        <v>1145</v>
      </c>
      <c r="L3" s="100">
        <v>2009</v>
      </c>
      <c r="M3" s="100"/>
      <c r="N3" s="100"/>
      <c r="O3" s="100"/>
      <c r="P3" s="100"/>
      <c r="Q3" s="100"/>
      <c r="AH3" s="75" t="s">
        <v>1157</v>
      </c>
    </row>
    <row r="4" spans="1:48" ht="13">
      <c r="C4"/>
      <c r="I4" s="156"/>
      <c r="K4" s="100"/>
      <c r="L4" s="100"/>
      <c r="M4" s="100"/>
      <c r="N4" s="100"/>
      <c r="O4" s="100"/>
      <c r="P4" s="100"/>
      <c r="Q4" s="100"/>
    </row>
    <row r="5" spans="1:48" ht="13">
      <c r="B5" s="62" t="s">
        <v>1158</v>
      </c>
      <c r="C5" s="157" t="s">
        <v>108</v>
      </c>
      <c r="D5" s="158" t="s">
        <v>1159</v>
      </c>
      <c r="E5" s="159" t="s">
        <v>1160</v>
      </c>
      <c r="F5" s="160" t="s">
        <v>1161</v>
      </c>
      <c r="G5" s="159" t="s">
        <v>1162</v>
      </c>
      <c r="H5" s="158" t="s">
        <v>1160</v>
      </c>
      <c r="I5" s="161" t="s">
        <v>1163</v>
      </c>
      <c r="K5" s="162" t="s">
        <v>108</v>
      </c>
      <c r="L5" s="163" t="s">
        <v>1159</v>
      </c>
      <c r="M5" s="164" t="s">
        <v>1160</v>
      </c>
      <c r="N5" s="165" t="s">
        <v>1161</v>
      </c>
      <c r="O5" s="164" t="s">
        <v>1162</v>
      </c>
      <c r="P5" s="163" t="s">
        <v>1160</v>
      </c>
      <c r="Q5" s="166" t="s">
        <v>1163</v>
      </c>
      <c r="Z5" s="157" t="s">
        <v>108</v>
      </c>
      <c r="AA5" s="158" t="s">
        <v>1159</v>
      </c>
      <c r="AB5" s="159" t="s">
        <v>1160</v>
      </c>
      <c r="AC5" s="160" t="s">
        <v>1161</v>
      </c>
      <c r="AD5" s="159" t="s">
        <v>1162</v>
      </c>
      <c r="AE5" s="158" t="s">
        <v>1160</v>
      </c>
      <c r="AF5" s="161" t="s">
        <v>1163</v>
      </c>
    </row>
    <row r="6" spans="1:48" ht="13">
      <c r="B6" s="62"/>
      <c r="C6" s="167"/>
      <c r="D6" s="168"/>
      <c r="E6" s="64" t="s">
        <v>1164</v>
      </c>
      <c r="F6" s="169" t="s">
        <v>1165</v>
      </c>
      <c r="G6" s="64"/>
      <c r="H6" s="168" t="s">
        <v>1164</v>
      </c>
      <c r="I6" s="170" t="s">
        <v>1165</v>
      </c>
      <c r="K6" s="171"/>
      <c r="L6" s="172"/>
      <c r="M6" s="173" t="s">
        <v>1164</v>
      </c>
      <c r="N6" s="174" t="s">
        <v>1165</v>
      </c>
      <c r="O6" s="173"/>
      <c r="P6" s="172" t="s">
        <v>1164</v>
      </c>
      <c r="Q6" s="175" t="s">
        <v>1165</v>
      </c>
      <c r="Z6" s="167"/>
      <c r="AA6" s="168"/>
      <c r="AB6" s="64" t="s">
        <v>1164</v>
      </c>
      <c r="AC6" s="169" t="s">
        <v>1165</v>
      </c>
      <c r="AD6" s="64"/>
      <c r="AE6" s="168" t="s">
        <v>1164</v>
      </c>
      <c r="AF6" s="170" t="s">
        <v>1165</v>
      </c>
      <c r="AH6" s="443"/>
      <c r="AI6" s="443"/>
    </row>
    <row r="7" spans="1:48" ht="15" customHeight="1">
      <c r="B7" s="62"/>
      <c r="C7" s="176"/>
      <c r="D7" s="177" t="s">
        <v>1166</v>
      </c>
      <c r="E7" s="178" t="s">
        <v>1166</v>
      </c>
      <c r="F7" s="179"/>
      <c r="G7" s="178" t="s">
        <v>1167</v>
      </c>
      <c r="H7" s="177" t="s">
        <v>1167</v>
      </c>
      <c r="I7" s="180"/>
      <c r="K7" s="181"/>
      <c r="L7" s="182" t="s">
        <v>1168</v>
      </c>
      <c r="M7" s="183" t="s">
        <v>1168</v>
      </c>
      <c r="N7" s="184"/>
      <c r="O7" s="183" t="s">
        <v>1169</v>
      </c>
      <c r="P7" s="182" t="s">
        <v>1169</v>
      </c>
      <c r="Q7" s="185"/>
      <c r="Z7" s="176"/>
      <c r="AA7" s="186" t="s">
        <v>1168</v>
      </c>
      <c r="AB7" s="187" t="s">
        <v>1168</v>
      </c>
      <c r="AC7" s="188"/>
      <c r="AD7" s="187" t="s">
        <v>1169</v>
      </c>
      <c r="AE7" s="186" t="s">
        <v>1169</v>
      </c>
      <c r="AF7" s="189"/>
      <c r="AH7" s="190" t="s">
        <v>108</v>
      </c>
      <c r="AI7" s="190" t="s">
        <v>114</v>
      </c>
      <c r="AJ7" s="190" t="s">
        <v>1170</v>
      </c>
      <c r="AK7" s="190" t="s">
        <v>111</v>
      </c>
      <c r="AL7" s="190" t="s">
        <v>112</v>
      </c>
      <c r="AM7" s="190" t="s">
        <v>113</v>
      </c>
      <c r="AN7" s="190" t="s">
        <v>111</v>
      </c>
      <c r="AQ7" s="168"/>
      <c r="AR7" s="64" t="s">
        <v>1164</v>
      </c>
      <c r="AS7" s="169" t="s">
        <v>1165</v>
      </c>
      <c r="AT7" s="64"/>
      <c r="AU7" s="168" t="s">
        <v>1164</v>
      </c>
      <c r="AV7" s="170" t="s">
        <v>1165</v>
      </c>
    </row>
    <row r="8" spans="1:48" ht="13">
      <c r="B8" s="62" t="s">
        <v>55</v>
      </c>
      <c r="C8" s="167">
        <v>1</v>
      </c>
      <c r="D8" s="191">
        <f t="shared" ref="D8:D17" si="0">VLOOKUP(B8,Rangex,5,FALSE())*1000</f>
        <v>994.1994958187754</v>
      </c>
      <c r="E8" s="192">
        <f t="shared" ref="E8:E17" si="1">VLOOKUP($B8,ub_uncertainty,2,FALSE())*1000</f>
        <v>7.0354848512116611E-2</v>
      </c>
      <c r="F8" s="169">
        <f t="shared" ref="F8:F17" si="2">VLOOKUP($B8,ub_uncertainty,3,FALSE())</f>
        <v>2.0689921097547899</v>
      </c>
      <c r="G8" s="193">
        <f t="shared" ref="G8:G17" si="3">VLOOKUP(B8,Rangex,7,FALSE())</f>
        <v>5.6914914979891744</v>
      </c>
      <c r="H8" s="194">
        <f t="shared" ref="H8:H17" si="4">VLOOKUP($B8,ub_uncertainty,4,FALSE())</f>
        <v>2.46394474029266E-2</v>
      </c>
      <c r="I8" s="195">
        <f t="shared" ref="I8:I17" si="5">VLOOKUP($B8,ub_uncertainty,5,FALSE())</f>
        <v>2.1611893636399602</v>
      </c>
      <c r="J8" s="156"/>
      <c r="K8" s="171">
        <v>1</v>
      </c>
      <c r="L8" s="196">
        <v>994.06462458559201</v>
      </c>
      <c r="M8" s="197">
        <v>6.5681418142592804E-2</v>
      </c>
      <c r="N8" s="174">
        <v>2.0503423179903102</v>
      </c>
      <c r="O8" s="198">
        <v>5.6775487490952097</v>
      </c>
      <c r="P8" s="199">
        <v>2.4544537160157701E-2</v>
      </c>
      <c r="Q8" s="175">
        <v>2.1614364667031398</v>
      </c>
      <c r="Z8" s="167">
        <v>1</v>
      </c>
      <c r="AA8" s="200">
        <v>994.06462458559201</v>
      </c>
      <c r="AB8" s="201">
        <v>6.5681418142592804E-2</v>
      </c>
      <c r="AC8" s="202">
        <v>2.0503423179903102</v>
      </c>
      <c r="AD8" s="203">
        <v>5.6775487490952097</v>
      </c>
      <c r="AE8" s="204">
        <v>2.4544537160157701E-2</v>
      </c>
      <c r="AF8" s="205">
        <v>2.1614364667031398</v>
      </c>
      <c r="AH8" s="190">
        <v>1</v>
      </c>
      <c r="AI8" s="190">
        <v>994.01700000000005</v>
      </c>
      <c r="AJ8" s="190">
        <v>6.3E-2</v>
      </c>
      <c r="AK8" s="190">
        <v>2</v>
      </c>
      <c r="AL8" s="190">
        <v>5.6859999999999999</v>
      </c>
      <c r="AM8" s="190">
        <v>3.4000000000000002E-2</v>
      </c>
      <c r="AN8" s="190">
        <v>2.1</v>
      </c>
      <c r="AP8" s="167">
        <v>1</v>
      </c>
      <c r="AQ8" s="186" t="s">
        <v>1168</v>
      </c>
      <c r="AR8" s="187" t="s">
        <v>1168</v>
      </c>
      <c r="AS8" s="188"/>
      <c r="AT8" s="187" t="s">
        <v>1169</v>
      </c>
      <c r="AU8" s="186" t="s">
        <v>1169</v>
      </c>
      <c r="AV8" s="189"/>
    </row>
    <row r="9" spans="1:48" ht="13">
      <c r="B9" s="62" t="s">
        <v>56</v>
      </c>
      <c r="C9" s="167">
        <v>2</v>
      </c>
      <c r="D9" s="191">
        <f t="shared" si="0"/>
        <v>1980.7774623034068</v>
      </c>
      <c r="E9" s="192">
        <f t="shared" si="1"/>
        <v>0.126814506205574</v>
      </c>
      <c r="F9" s="169">
        <f t="shared" si="2"/>
        <v>2.0918646476835798</v>
      </c>
      <c r="G9" s="192">
        <f t="shared" si="3"/>
        <v>8.3824613285417247</v>
      </c>
      <c r="H9" s="206">
        <f t="shared" si="4"/>
        <v>3.62899179652547E-2</v>
      </c>
      <c r="I9" s="195">
        <f t="shared" si="5"/>
        <v>2.16116573166937</v>
      </c>
      <c r="J9" s="156"/>
      <c r="K9" s="171">
        <v>2</v>
      </c>
      <c r="L9" s="196">
        <v>1980.50791035166</v>
      </c>
      <c r="M9" s="197">
        <v>0.121555532613995</v>
      </c>
      <c r="N9" s="174">
        <v>2.0650027804738298</v>
      </c>
      <c r="O9" s="197">
        <v>8.3614741573688391</v>
      </c>
      <c r="P9" s="196">
        <v>3.6146851937968197E-2</v>
      </c>
      <c r="Q9" s="175">
        <v>2.1614658175970498</v>
      </c>
      <c r="Z9" s="167">
        <v>2</v>
      </c>
      <c r="AA9" s="200">
        <v>1980.50791035166</v>
      </c>
      <c r="AB9" s="201">
        <v>0.121555532613995</v>
      </c>
      <c r="AC9" s="202">
        <v>2.0650027804738298</v>
      </c>
      <c r="AD9" s="201">
        <v>8.3614741573688391</v>
      </c>
      <c r="AE9" s="200">
        <v>3.6146851937968197E-2</v>
      </c>
      <c r="AF9" s="205">
        <v>2.1614658175970498</v>
      </c>
      <c r="AH9" s="190">
        <v>2</v>
      </c>
      <c r="AI9" s="190">
        <v>1980.52</v>
      </c>
      <c r="AJ9" s="190">
        <v>0.1</v>
      </c>
      <c r="AK9" s="190">
        <v>2</v>
      </c>
      <c r="AL9" s="190">
        <v>8.3740000000000006</v>
      </c>
      <c r="AM9" s="190">
        <v>0.05</v>
      </c>
      <c r="AN9" s="190">
        <v>2.1</v>
      </c>
      <c r="AP9" s="167">
        <v>2</v>
      </c>
      <c r="AQ9">
        <v>993.865177253208</v>
      </c>
      <c r="AR9">
        <v>6.3258210403947995E-2</v>
      </c>
      <c r="AS9">
        <v>1.9889168728004101</v>
      </c>
      <c r="AT9">
        <v>5.7357592962286397</v>
      </c>
      <c r="AU9">
        <v>3.3901538922032202E-2</v>
      </c>
      <c r="AV9">
        <v>2.0825444242276601</v>
      </c>
    </row>
    <row r="10" spans="1:48" ht="13">
      <c r="B10" s="62" t="s">
        <v>57</v>
      </c>
      <c r="C10" s="167">
        <v>3</v>
      </c>
      <c r="D10" s="206">
        <f t="shared" si="0"/>
        <v>2969.7059004330827</v>
      </c>
      <c r="E10" s="192">
        <f t="shared" si="1"/>
        <v>0.186216114908305</v>
      </c>
      <c r="F10" s="169">
        <f t="shared" si="2"/>
        <v>2.1049841430547498</v>
      </c>
      <c r="G10" s="192">
        <f t="shared" si="3"/>
        <v>10.661872126260937</v>
      </c>
      <c r="H10" s="206">
        <f t="shared" si="4"/>
        <v>4.6159650304868301E-2</v>
      </c>
      <c r="I10" s="170">
        <f t="shared" si="5"/>
        <v>2.1611208380101701</v>
      </c>
      <c r="J10" s="156"/>
      <c r="K10" s="171">
        <v>3</v>
      </c>
      <c r="L10" s="196">
        <v>2969.28160549429</v>
      </c>
      <c r="M10" s="197">
        <v>0.179725977275461</v>
      </c>
      <c r="N10" s="174">
        <v>2.0714289956524898</v>
      </c>
      <c r="O10" s="197">
        <v>10.6351158088383</v>
      </c>
      <c r="P10" s="196">
        <v>4.5975788498306802E-2</v>
      </c>
      <c r="Q10" s="175">
        <v>2.1614717413605402</v>
      </c>
      <c r="Z10" s="167">
        <v>3</v>
      </c>
      <c r="AA10" s="206">
        <v>2969.28160549429</v>
      </c>
      <c r="AB10" s="192">
        <v>0.179725977275461</v>
      </c>
      <c r="AC10" s="169">
        <v>2.0714289956524898</v>
      </c>
      <c r="AD10" s="192">
        <v>10.6351158088383</v>
      </c>
      <c r="AE10" s="206">
        <v>4.5975788498306802E-2</v>
      </c>
      <c r="AF10" s="170">
        <v>2.1614717413605402</v>
      </c>
      <c r="AH10" s="190">
        <v>3</v>
      </c>
      <c r="AI10" s="190">
        <v>2969.42</v>
      </c>
      <c r="AJ10" s="190">
        <v>0.14000000000000001</v>
      </c>
      <c r="AK10" s="190">
        <v>2</v>
      </c>
      <c r="AL10" s="190">
        <v>10.653</v>
      </c>
      <c r="AM10" s="190">
        <v>6.3E-2</v>
      </c>
      <c r="AN10" s="190">
        <v>2.1</v>
      </c>
      <c r="AP10" s="167">
        <v>3</v>
      </c>
      <c r="AQ10">
        <v>1980.1783236840199</v>
      </c>
      <c r="AR10">
        <v>9.8608216748073199E-2</v>
      </c>
      <c r="AS10">
        <v>2.00017784643549</v>
      </c>
      <c r="AT10">
        <v>8.4486406672406904</v>
      </c>
      <c r="AU10">
        <v>4.9860012358355701E-2</v>
      </c>
      <c r="AV10">
        <v>2.0836310582316599</v>
      </c>
    </row>
    <row r="11" spans="1:48" ht="13">
      <c r="B11" s="62" t="s">
        <v>58</v>
      </c>
      <c r="C11" s="167">
        <v>4</v>
      </c>
      <c r="D11" s="206">
        <f t="shared" si="0"/>
        <v>3949.4224901155844</v>
      </c>
      <c r="E11" s="192">
        <f t="shared" si="1"/>
        <v>0.24566311735745999</v>
      </c>
      <c r="F11" s="169">
        <f t="shared" si="2"/>
        <v>2.1113631382486999</v>
      </c>
      <c r="G11" s="192">
        <f t="shared" si="3"/>
        <v>12.646962161550064</v>
      </c>
      <c r="H11" s="206">
        <f t="shared" si="4"/>
        <v>5.4755824587075903E-2</v>
      </c>
      <c r="I11" s="170">
        <f t="shared" si="5"/>
        <v>2.1610729144666498</v>
      </c>
      <c r="J11" s="156"/>
      <c r="K11" s="171">
        <v>4</v>
      </c>
      <c r="L11" s="196">
        <v>3948.8536842143999</v>
      </c>
      <c r="M11" s="197">
        <v>0.23784992233010299</v>
      </c>
      <c r="N11" s="174">
        <v>2.0741144708594401</v>
      </c>
      <c r="O11" s="197">
        <v>12.615190461794899</v>
      </c>
      <c r="P11" s="196">
        <v>5.4535761317777501E-2</v>
      </c>
      <c r="Q11" s="175">
        <v>2.1614718591427402</v>
      </c>
      <c r="Z11" s="167">
        <v>4</v>
      </c>
      <c r="AA11" s="206">
        <v>3948.8536842143999</v>
      </c>
      <c r="AB11" s="192">
        <v>0.23784992233010299</v>
      </c>
      <c r="AC11" s="169">
        <v>2.0741144708594401</v>
      </c>
      <c r="AD11" s="192">
        <v>12.615190461794899</v>
      </c>
      <c r="AE11" s="206">
        <v>5.4535761317777501E-2</v>
      </c>
      <c r="AF11" s="170">
        <v>2.1614718591427402</v>
      </c>
      <c r="AH11" s="190">
        <v>4</v>
      </c>
      <c r="AI11" s="190">
        <v>3949.15</v>
      </c>
      <c r="AJ11" s="190">
        <v>0.18</v>
      </c>
      <c r="AK11" s="190">
        <v>2</v>
      </c>
      <c r="AL11" s="190">
        <v>12.638</v>
      </c>
      <c r="AM11" s="190">
        <v>7.4999999999999997E-2</v>
      </c>
      <c r="AN11" s="190">
        <v>2.1</v>
      </c>
      <c r="AP11" s="167">
        <v>4</v>
      </c>
      <c r="AQ11">
        <v>2968.82911467645</v>
      </c>
      <c r="AR11">
        <v>0.13834134221368999</v>
      </c>
      <c r="AS11">
        <v>2.0100638008092302</v>
      </c>
      <c r="AT11">
        <v>10.732790535867201</v>
      </c>
      <c r="AU11">
        <v>6.3325694032716595E-2</v>
      </c>
      <c r="AV11">
        <v>2.0844034470989299</v>
      </c>
    </row>
    <row r="12" spans="1:48" ht="13">
      <c r="B12" s="62" t="s">
        <v>59</v>
      </c>
      <c r="C12" s="167">
        <v>5</v>
      </c>
      <c r="D12" s="206">
        <f t="shared" si="0"/>
        <v>4933.3499247451664</v>
      </c>
      <c r="E12" s="192">
        <f t="shared" si="1"/>
        <v>0.30556721734767101</v>
      </c>
      <c r="F12" s="169">
        <f t="shared" si="2"/>
        <v>2.1150498162178599</v>
      </c>
      <c r="G12" s="192">
        <f t="shared" si="3"/>
        <v>14.414976883576967</v>
      </c>
      <c r="H12" s="206">
        <f t="shared" si="4"/>
        <v>6.2412783356981201E-2</v>
      </c>
      <c r="I12" s="170">
        <f t="shared" si="5"/>
        <v>2.1610228592569301</v>
      </c>
      <c r="J12" s="156"/>
      <c r="K12" s="171">
        <v>5</v>
      </c>
      <c r="L12" s="196">
        <v>4932.5964955955897</v>
      </c>
      <c r="M12" s="197">
        <v>0.29641068199148102</v>
      </c>
      <c r="N12" s="174">
        <v>2.0754801111289898</v>
      </c>
      <c r="O12" s="197">
        <v>14.378432559420199</v>
      </c>
      <c r="P12" s="196">
        <v>6.2158452734892101E-2</v>
      </c>
      <c r="Q12" s="175">
        <v>2.16146965737543</v>
      </c>
      <c r="Z12" s="167">
        <v>5</v>
      </c>
      <c r="AA12" s="206">
        <v>4932.5964955955897</v>
      </c>
      <c r="AB12" s="192">
        <v>0.29641068199148102</v>
      </c>
      <c r="AC12" s="169">
        <v>2.0754801111289898</v>
      </c>
      <c r="AD12" s="192">
        <v>14.378432559420199</v>
      </c>
      <c r="AE12" s="206">
        <v>6.2158452734892101E-2</v>
      </c>
      <c r="AF12" s="170">
        <v>2.16146965737543</v>
      </c>
      <c r="AH12" s="190">
        <v>5</v>
      </c>
      <c r="AI12" s="190">
        <v>4933.13</v>
      </c>
      <c r="AJ12" s="190">
        <v>0.22</v>
      </c>
      <c r="AK12" s="190">
        <v>2</v>
      </c>
      <c r="AL12" s="190">
        <v>14.407999999999999</v>
      </c>
      <c r="AM12" s="190">
        <v>8.5000000000000006E-2</v>
      </c>
      <c r="AN12" s="190">
        <v>2.1</v>
      </c>
      <c r="AP12" s="167">
        <v>5</v>
      </c>
      <c r="AQ12">
        <v>3948.3253608232799</v>
      </c>
      <c r="AR12">
        <v>0.17909506288341501</v>
      </c>
      <c r="AS12">
        <v>2.01555713854464</v>
      </c>
      <c r="AT12">
        <v>12.739136118217001</v>
      </c>
      <c r="AU12">
        <v>7.5136262197400702E-2</v>
      </c>
      <c r="AV12">
        <v>2.08435261009308</v>
      </c>
    </row>
    <row r="13" spans="1:48" ht="13">
      <c r="B13" s="62" t="s">
        <v>60</v>
      </c>
      <c r="C13" s="167">
        <v>6</v>
      </c>
      <c r="D13" s="206">
        <f t="shared" si="0"/>
        <v>5915.9670964577226</v>
      </c>
      <c r="E13" s="192">
        <f t="shared" si="1"/>
        <v>0.36551399421712299</v>
      </c>
      <c r="F13" s="169">
        <f t="shared" si="2"/>
        <v>2.1173333526086302</v>
      </c>
      <c r="G13" s="192">
        <f t="shared" si="3"/>
        <v>16.100455783234331</v>
      </c>
      <c r="H13" s="206">
        <f t="shared" si="4"/>
        <v>6.9712738005878502E-2</v>
      </c>
      <c r="I13" s="170">
        <f t="shared" si="5"/>
        <v>2.1609762229494098</v>
      </c>
      <c r="J13" s="156"/>
      <c r="K13" s="171">
        <v>6</v>
      </c>
      <c r="L13" s="196">
        <v>5915.0490803262301</v>
      </c>
      <c r="M13" s="197">
        <v>0.354990642446186</v>
      </c>
      <c r="N13" s="174">
        <v>2.0762585686041599</v>
      </c>
      <c r="O13" s="197">
        <v>16.058829860054001</v>
      </c>
      <c r="P13" s="196">
        <v>6.9423051736596006E-2</v>
      </c>
      <c r="Q13" s="175">
        <v>2.1614668645824202</v>
      </c>
      <c r="Z13" s="167">
        <v>6</v>
      </c>
      <c r="AA13" s="206">
        <v>5915.0490803262301</v>
      </c>
      <c r="AB13" s="192">
        <v>0.354990642446186</v>
      </c>
      <c r="AC13" s="169">
        <v>2.0762585686041599</v>
      </c>
      <c r="AD13" s="192">
        <v>16.058829860054001</v>
      </c>
      <c r="AE13" s="206">
        <v>6.9423051736596006E-2</v>
      </c>
      <c r="AF13" s="170">
        <v>2.1614668645824202</v>
      </c>
      <c r="AH13" s="190">
        <v>6</v>
      </c>
      <c r="AI13" s="190">
        <v>5915.88</v>
      </c>
      <c r="AJ13" s="190">
        <v>0.26</v>
      </c>
      <c r="AK13" s="190">
        <v>2</v>
      </c>
      <c r="AL13" s="190">
        <v>16.09</v>
      </c>
      <c r="AM13" s="190">
        <v>0.1</v>
      </c>
      <c r="AN13" s="190">
        <v>2.1</v>
      </c>
      <c r="AP13" s="167">
        <v>6</v>
      </c>
      <c r="AQ13">
        <v>4932.0819063299696</v>
      </c>
      <c r="AR13">
        <v>0.22055478728747999</v>
      </c>
      <c r="AS13">
        <v>2.0188845595545599</v>
      </c>
      <c r="AT13">
        <v>14.525530394532501</v>
      </c>
      <c r="AU13">
        <v>8.5657789354384506E-2</v>
      </c>
      <c r="AV13">
        <v>2.0843071464018101</v>
      </c>
    </row>
    <row r="14" spans="1:48" ht="13">
      <c r="B14" s="62" t="s">
        <v>61</v>
      </c>
      <c r="C14" s="167">
        <v>7</v>
      </c>
      <c r="D14" s="206">
        <f t="shared" si="0"/>
        <v>6892.8931261871721</v>
      </c>
      <c r="E14" s="192">
        <f t="shared" si="1"/>
        <v>0.42518958312958799</v>
      </c>
      <c r="F14" s="169">
        <f t="shared" si="2"/>
        <v>2.1188414032160798</v>
      </c>
      <c r="G14" s="192">
        <f t="shared" si="3"/>
        <v>17.743071659182036</v>
      </c>
      <c r="H14" s="206">
        <f t="shared" si="4"/>
        <v>7.6827316914593505E-2</v>
      </c>
      <c r="I14" s="170">
        <f t="shared" si="5"/>
        <v>2.1609343001944898</v>
      </c>
      <c r="J14" s="156"/>
      <c r="K14" s="171">
        <v>7</v>
      </c>
      <c r="L14" s="196">
        <v>6891.8206670916597</v>
      </c>
      <c r="M14" s="197">
        <v>0.413286688235871</v>
      </c>
      <c r="N14" s="174">
        <v>2.0767415945862999</v>
      </c>
      <c r="O14" s="197">
        <v>17.696424682280998</v>
      </c>
      <c r="P14" s="196">
        <v>7.65026432167729E-2</v>
      </c>
      <c r="Q14" s="175">
        <v>2.1614640143246402</v>
      </c>
      <c r="Z14" s="167">
        <v>7</v>
      </c>
      <c r="AA14" s="206">
        <v>6891.8206670916597</v>
      </c>
      <c r="AB14" s="192">
        <v>0.413286688235871</v>
      </c>
      <c r="AC14" s="169">
        <v>2.0767415945862999</v>
      </c>
      <c r="AD14" s="192">
        <v>17.696424682280998</v>
      </c>
      <c r="AE14" s="206">
        <v>7.65026432167729E-2</v>
      </c>
      <c r="AF14" s="170">
        <v>2.1614640143246402</v>
      </c>
      <c r="AH14" s="190">
        <v>7</v>
      </c>
      <c r="AI14" s="190">
        <v>6892.98</v>
      </c>
      <c r="AJ14" s="190">
        <v>0.3</v>
      </c>
      <c r="AK14" s="190">
        <v>2</v>
      </c>
      <c r="AL14" s="190">
        <v>17.739999999999998</v>
      </c>
      <c r="AM14" s="190">
        <v>0.1</v>
      </c>
      <c r="AN14" s="190">
        <v>2.1</v>
      </c>
      <c r="AP14" s="167">
        <v>7</v>
      </c>
      <c r="AQ14">
        <v>5914.5845226582796</v>
      </c>
      <c r="AR14">
        <v>0.26221220354438302</v>
      </c>
      <c r="AS14">
        <v>2.0210772699439898</v>
      </c>
      <c r="AT14">
        <v>16.217946257901701</v>
      </c>
      <c r="AU14">
        <v>9.5650588526697E-2</v>
      </c>
      <c r="AV14">
        <v>2.0846630824856001</v>
      </c>
    </row>
    <row r="15" spans="1:48" ht="13">
      <c r="B15" s="62" t="s">
        <v>62</v>
      </c>
      <c r="C15" s="167">
        <v>8</v>
      </c>
      <c r="D15" s="206">
        <f t="shared" si="0"/>
        <v>7865.3282547735362</v>
      </c>
      <c r="E15" s="192">
        <f t="shared" si="1"/>
        <v>0.48460715328842402</v>
      </c>
      <c r="F15" s="169">
        <f t="shared" si="2"/>
        <v>2.1199614108329099</v>
      </c>
      <c r="G15" s="192">
        <f t="shared" si="3"/>
        <v>19.257578497864046</v>
      </c>
      <c r="H15" s="206">
        <f t="shared" si="4"/>
        <v>8.3387610319554106E-2</v>
      </c>
      <c r="I15" s="170">
        <f t="shared" si="5"/>
        <v>2.1608918728915998</v>
      </c>
      <c r="J15" s="156"/>
      <c r="K15" s="171">
        <v>8</v>
      </c>
      <c r="L15" s="196">
        <v>7864.1514737575199</v>
      </c>
      <c r="M15" s="197">
        <v>0.47134831784994102</v>
      </c>
      <c r="N15" s="174">
        <v>2.07706723607882</v>
      </c>
      <c r="O15" s="197">
        <v>19.206342111559099</v>
      </c>
      <c r="P15" s="196">
        <v>8.3030326697468598E-2</v>
      </c>
      <c r="Q15" s="175">
        <v>2.1614607292046899</v>
      </c>
      <c r="Z15" s="167">
        <v>8</v>
      </c>
      <c r="AA15" s="206">
        <v>7864.1514737575199</v>
      </c>
      <c r="AB15" s="192">
        <v>0.47134831784994102</v>
      </c>
      <c r="AC15" s="169">
        <v>2.07706723607882</v>
      </c>
      <c r="AD15" s="192">
        <v>19.206342111559099</v>
      </c>
      <c r="AE15" s="206">
        <v>8.3030326697468598E-2</v>
      </c>
      <c r="AF15" s="170">
        <v>2.1614607292046899</v>
      </c>
      <c r="AH15" s="190">
        <v>8</v>
      </c>
      <c r="AI15" s="190">
        <v>7865.64</v>
      </c>
      <c r="AJ15" s="190">
        <v>0.35</v>
      </c>
      <c r="AK15" s="190">
        <v>2</v>
      </c>
      <c r="AL15" s="190">
        <v>19.25</v>
      </c>
      <c r="AM15" s="190">
        <v>0.11</v>
      </c>
      <c r="AN15" s="190">
        <v>2.1</v>
      </c>
      <c r="AP15" s="167">
        <v>8</v>
      </c>
      <c r="AQ15">
        <v>6891.3861969392701</v>
      </c>
      <c r="AR15">
        <v>0.30385652711754302</v>
      </c>
      <c r="AS15">
        <v>2.0225240567490199</v>
      </c>
      <c r="AT15">
        <v>17.8707518553067</v>
      </c>
      <c r="AU15">
        <v>0.105400815607816</v>
      </c>
      <c r="AV15">
        <v>2.0847608070522998</v>
      </c>
    </row>
    <row r="16" spans="1:48" ht="13">
      <c r="B16" s="62" t="s">
        <v>63</v>
      </c>
      <c r="C16" s="167">
        <v>9</v>
      </c>
      <c r="D16" s="206">
        <f t="shared" si="0"/>
        <v>8834.5327350988391</v>
      </c>
      <c r="E16" s="192">
        <f t="shared" si="1"/>
        <v>0.54384988417887403</v>
      </c>
      <c r="F16" s="169">
        <f t="shared" si="2"/>
        <v>2.1208049087090401</v>
      </c>
      <c r="G16" s="192">
        <f t="shared" si="3"/>
        <v>20.713051172066791</v>
      </c>
      <c r="H16" s="206">
        <f t="shared" si="4"/>
        <v>8.9692541470112894E-2</v>
      </c>
      <c r="I16" s="170">
        <f t="shared" si="5"/>
        <v>2.16085131299829</v>
      </c>
      <c r="J16" s="156"/>
      <c r="K16" s="171">
        <v>9</v>
      </c>
      <c r="L16" s="196">
        <v>8833.2017041336003</v>
      </c>
      <c r="M16" s="197">
        <v>0.52923558486057298</v>
      </c>
      <c r="N16" s="174">
        <v>2.0772969764887801</v>
      </c>
      <c r="O16" s="197">
        <v>20.657266124920799</v>
      </c>
      <c r="P16" s="196">
        <v>8.9303007460961897E-2</v>
      </c>
      <c r="Q16" s="175">
        <v>2.1614574094292198</v>
      </c>
      <c r="Z16" s="167">
        <v>9</v>
      </c>
      <c r="AA16" s="206">
        <v>8833.2017041336003</v>
      </c>
      <c r="AB16" s="192">
        <v>0.52923558486057298</v>
      </c>
      <c r="AC16" s="169">
        <v>2.0772969764887801</v>
      </c>
      <c r="AD16" s="192">
        <v>20.657266124920799</v>
      </c>
      <c r="AE16" s="206">
        <v>8.9303007460961897E-2</v>
      </c>
      <c r="AF16" s="170">
        <v>2.1614574094292198</v>
      </c>
      <c r="AH16" s="190">
        <v>9</v>
      </c>
      <c r="AI16" s="190">
        <v>8835.4599999999991</v>
      </c>
      <c r="AJ16" s="190">
        <v>0.39</v>
      </c>
      <c r="AK16" s="190">
        <v>2</v>
      </c>
      <c r="AL16" s="190">
        <v>20.71</v>
      </c>
      <c r="AM16" s="190">
        <v>0.12</v>
      </c>
      <c r="AN16" s="190">
        <v>2.1</v>
      </c>
      <c r="AP16" s="167">
        <v>9</v>
      </c>
      <c r="AQ16">
        <v>7863.7410965386798</v>
      </c>
      <c r="AR16">
        <v>0.34541627428163402</v>
      </c>
      <c r="AS16">
        <v>2.0235576875730898</v>
      </c>
      <c r="AT16">
        <v>19.4016320176104</v>
      </c>
      <c r="AU16">
        <v>0.11441635157446001</v>
      </c>
      <c r="AV16">
        <v>2.0846760114822298</v>
      </c>
    </row>
    <row r="17" spans="2:48" ht="13">
      <c r="B17" s="62" t="s">
        <v>64</v>
      </c>
      <c r="C17" s="176">
        <v>10</v>
      </c>
      <c r="D17" s="207">
        <f t="shared" si="0"/>
        <v>9805.067482355169</v>
      </c>
      <c r="E17" s="208">
        <f t="shared" si="1"/>
        <v>0.60320871691341094</v>
      </c>
      <c r="F17" s="188">
        <f t="shared" si="2"/>
        <v>2.12143333288493</v>
      </c>
      <c r="G17" s="208">
        <f t="shared" si="3"/>
        <v>22.189995360946309</v>
      </c>
      <c r="H17" s="207">
        <f t="shared" si="4"/>
        <v>9.6090494144193295E-2</v>
      </c>
      <c r="I17" s="189">
        <f t="shared" si="5"/>
        <v>2.1608154693760699</v>
      </c>
      <c r="J17" s="156"/>
      <c r="K17" s="181">
        <v>10</v>
      </c>
      <c r="L17" s="209">
        <v>9803.6321769730694</v>
      </c>
      <c r="M17" s="210">
        <v>0.58722235116920596</v>
      </c>
      <c r="N17" s="184">
        <v>2.0774642558890299</v>
      </c>
      <c r="O17" s="210">
        <v>22.129571376327799</v>
      </c>
      <c r="P17" s="209">
        <v>9.5668127962578606E-2</v>
      </c>
      <c r="Q17" s="185">
        <v>2.1614544299729501</v>
      </c>
      <c r="Z17" s="176">
        <v>10</v>
      </c>
      <c r="AA17" s="207">
        <v>9803.6321769730694</v>
      </c>
      <c r="AB17" s="208">
        <v>0.58722235116920596</v>
      </c>
      <c r="AC17" s="188">
        <v>2.0774642558890299</v>
      </c>
      <c r="AD17" s="208">
        <v>22.129571376327799</v>
      </c>
      <c r="AE17" s="207">
        <v>9.5668127962578606E-2</v>
      </c>
      <c r="AF17" s="189">
        <v>2.1614544299729501</v>
      </c>
      <c r="AH17" s="190">
        <v>10</v>
      </c>
      <c r="AI17" s="190">
        <v>9806.59</v>
      </c>
      <c r="AJ17" s="190">
        <v>0.43</v>
      </c>
      <c r="AK17" s="190">
        <v>2</v>
      </c>
      <c r="AL17" s="190">
        <v>22.22</v>
      </c>
      <c r="AM17" s="190">
        <v>0.13</v>
      </c>
      <c r="AN17" s="190">
        <v>2.1</v>
      </c>
      <c r="AP17" s="176">
        <v>10</v>
      </c>
      <c r="AQ17">
        <v>8833.1541681006693</v>
      </c>
      <c r="AR17">
        <v>0.38691710945638902</v>
      </c>
      <c r="AS17">
        <v>2.0243344631682398</v>
      </c>
      <c r="AT17">
        <v>20.873332539816602</v>
      </c>
      <c r="AU17">
        <v>0.123086766253624</v>
      </c>
      <c r="AV17">
        <v>2.0846132777983799</v>
      </c>
    </row>
    <row r="18" spans="2:48" ht="13">
      <c r="B18" s="62"/>
      <c r="C18" s="211"/>
      <c r="D18" s="156"/>
      <c r="E18" s="156"/>
      <c r="F18" s="156"/>
      <c r="G18" s="212"/>
      <c r="H18" s="212"/>
      <c r="I18" s="156"/>
      <c r="K18" s="213"/>
      <c r="L18" s="214"/>
      <c r="M18" s="214"/>
      <c r="N18" s="100"/>
      <c r="O18" s="100"/>
      <c r="P18" s="100"/>
      <c r="Q18" s="100"/>
      <c r="Z18" s="211"/>
      <c r="AA18" s="156"/>
      <c r="AB18" s="156"/>
      <c r="AC18" s="156"/>
      <c r="AD18" s="212"/>
      <c r="AE18" s="212"/>
      <c r="AF18" s="156"/>
      <c r="AP18" s="211"/>
      <c r="AQ18">
        <v>9803.7531633721101</v>
      </c>
      <c r="AR18">
        <v>0.428537218374069</v>
      </c>
      <c r="AS18">
        <v>2.0249271419777202</v>
      </c>
      <c r="AT18">
        <v>22.363178804122299</v>
      </c>
      <c r="AU18">
        <v>0.13186920250124301</v>
      </c>
      <c r="AV18">
        <v>2.0846013154161298</v>
      </c>
    </row>
    <row r="19" spans="2:48" ht="13">
      <c r="B19" s="62"/>
      <c r="C19" s="211"/>
      <c r="D19" s="156"/>
      <c r="E19" s="156"/>
      <c r="F19" s="156"/>
      <c r="G19" s="212"/>
      <c r="H19" s="212"/>
      <c r="I19" s="156"/>
      <c r="K19" s="213"/>
      <c r="L19" s="214"/>
      <c r="M19" s="214"/>
      <c r="N19" s="100"/>
      <c r="O19" s="100"/>
      <c r="P19" s="100"/>
      <c r="Q19" s="100"/>
      <c r="Z19" s="211"/>
      <c r="AA19" s="156"/>
      <c r="AB19" s="156"/>
      <c r="AC19" s="156"/>
      <c r="AD19" s="212"/>
      <c r="AE19" s="212"/>
      <c r="AF19" s="156"/>
      <c r="AP19" s="211"/>
    </row>
    <row r="20" spans="2:48" ht="13">
      <c r="B20" s="62"/>
      <c r="C20" s="211"/>
      <c r="D20" s="62"/>
      <c r="E20" s="62"/>
      <c r="F20" s="215"/>
      <c r="G20" s="62"/>
      <c r="H20" s="62"/>
      <c r="I20" s="215"/>
      <c r="K20" s="100"/>
      <c r="L20" s="100"/>
      <c r="M20" s="100"/>
      <c r="N20" s="100"/>
      <c r="O20" s="100"/>
      <c r="P20" s="100"/>
      <c r="Q20" s="100"/>
      <c r="Z20" s="211"/>
      <c r="AA20" s="62"/>
      <c r="AB20" s="62"/>
      <c r="AC20" s="215"/>
      <c r="AD20" s="62"/>
      <c r="AE20" s="62"/>
      <c r="AF20" s="215"/>
      <c r="AP20" s="211"/>
    </row>
    <row r="21" spans="2:48" ht="13">
      <c r="B21" s="62"/>
      <c r="C21" s="157" t="s">
        <v>108</v>
      </c>
      <c r="D21" s="158" t="s">
        <v>1159</v>
      </c>
      <c r="E21" s="159" t="s">
        <v>1160</v>
      </c>
      <c r="F21" s="160" t="s">
        <v>1163</v>
      </c>
      <c r="G21" s="159" t="s">
        <v>1162</v>
      </c>
      <c r="H21" s="158" t="s">
        <v>1160</v>
      </c>
      <c r="I21" s="161" t="s">
        <v>1163</v>
      </c>
      <c r="J21" s="156"/>
      <c r="K21" s="162" t="s">
        <v>108</v>
      </c>
      <c r="L21" s="163" t="s">
        <v>1159</v>
      </c>
      <c r="M21" s="164" t="s">
        <v>1160</v>
      </c>
      <c r="N21" s="165" t="s">
        <v>1163</v>
      </c>
      <c r="O21" s="164" t="s">
        <v>1162</v>
      </c>
      <c r="P21" s="163" t="s">
        <v>1160</v>
      </c>
      <c r="Q21" s="166" t="s">
        <v>1163</v>
      </c>
      <c r="Z21" s="157" t="s">
        <v>108</v>
      </c>
      <c r="AA21" s="158" t="s">
        <v>1159</v>
      </c>
      <c r="AB21" s="159" t="s">
        <v>1160</v>
      </c>
      <c r="AC21" s="160" t="s">
        <v>1163</v>
      </c>
      <c r="AD21" s="159" t="s">
        <v>1162</v>
      </c>
      <c r="AE21" s="158" t="s">
        <v>1160</v>
      </c>
      <c r="AF21" s="161" t="s">
        <v>1163</v>
      </c>
      <c r="AP21" s="157" t="s">
        <v>108</v>
      </c>
      <c r="AQ21" s="158" t="s">
        <v>1159</v>
      </c>
      <c r="AR21" s="159" t="s">
        <v>1160</v>
      </c>
      <c r="AS21" s="160" t="s">
        <v>1163</v>
      </c>
      <c r="AT21" s="159" t="s">
        <v>1162</v>
      </c>
      <c r="AU21" s="158" t="s">
        <v>1160</v>
      </c>
      <c r="AV21" s="161" t="s">
        <v>1163</v>
      </c>
    </row>
    <row r="22" spans="2:48" ht="13">
      <c r="B22" s="62"/>
      <c r="C22" s="167"/>
      <c r="D22" s="168"/>
      <c r="E22" s="64" t="s">
        <v>1164</v>
      </c>
      <c r="F22" s="169" t="s">
        <v>1165</v>
      </c>
      <c r="G22" s="64"/>
      <c r="H22" s="168" t="s">
        <v>1164</v>
      </c>
      <c r="I22" s="170" t="s">
        <v>1165</v>
      </c>
      <c r="K22" s="171"/>
      <c r="L22" s="172"/>
      <c r="M22" s="173" t="s">
        <v>1164</v>
      </c>
      <c r="N22" s="174" t="s">
        <v>1165</v>
      </c>
      <c r="O22" s="173"/>
      <c r="P22" s="172" t="s">
        <v>1164</v>
      </c>
      <c r="Q22" s="175" t="s">
        <v>1165</v>
      </c>
      <c r="Z22" s="167"/>
      <c r="AA22" s="168"/>
      <c r="AB22" s="64" t="s">
        <v>1164</v>
      </c>
      <c r="AC22" s="169" t="s">
        <v>1165</v>
      </c>
      <c r="AD22" s="64"/>
      <c r="AE22" s="168" t="s">
        <v>1164</v>
      </c>
      <c r="AF22" s="170" t="s">
        <v>1165</v>
      </c>
      <c r="AH22" s="443"/>
      <c r="AI22" s="443"/>
      <c r="AP22" s="167"/>
      <c r="AQ22" s="168"/>
      <c r="AR22" s="64" t="s">
        <v>1164</v>
      </c>
      <c r="AS22" s="169" t="s">
        <v>1165</v>
      </c>
      <c r="AT22" s="64"/>
      <c r="AU22" s="168" t="s">
        <v>1164</v>
      </c>
      <c r="AV22" s="170" t="s">
        <v>1165</v>
      </c>
    </row>
    <row r="23" spans="2:48" ht="15" customHeight="1">
      <c r="B23" s="62"/>
      <c r="C23" s="176"/>
      <c r="D23" s="177" t="s">
        <v>1166</v>
      </c>
      <c r="E23" s="178" t="s">
        <v>1166</v>
      </c>
      <c r="F23" s="179"/>
      <c r="G23" s="178" t="s">
        <v>1167</v>
      </c>
      <c r="H23" s="177" t="s">
        <v>1167</v>
      </c>
      <c r="I23" s="180"/>
      <c r="K23" s="181"/>
      <c r="L23" s="182" t="s">
        <v>1168</v>
      </c>
      <c r="M23" s="183" t="s">
        <v>1168</v>
      </c>
      <c r="N23" s="184"/>
      <c r="O23" s="183" t="s">
        <v>1169</v>
      </c>
      <c r="P23" s="182" t="s">
        <v>1169</v>
      </c>
      <c r="Q23" s="185"/>
      <c r="Z23" s="176"/>
      <c r="AA23" s="186" t="s">
        <v>1168</v>
      </c>
      <c r="AB23" s="187" t="s">
        <v>1168</v>
      </c>
      <c r="AC23" s="188"/>
      <c r="AD23" s="187" t="s">
        <v>1169</v>
      </c>
      <c r="AE23" s="186" t="s">
        <v>1169</v>
      </c>
      <c r="AF23" s="189"/>
      <c r="AH23" s="216" t="s">
        <v>108</v>
      </c>
      <c r="AI23" s="216" t="s">
        <v>114</v>
      </c>
      <c r="AJ23" s="216" t="s">
        <v>1170</v>
      </c>
      <c r="AK23" s="216" t="s">
        <v>111</v>
      </c>
      <c r="AL23" s="216" t="s">
        <v>112</v>
      </c>
      <c r="AM23" s="216" t="s">
        <v>113</v>
      </c>
      <c r="AN23" s="216" t="s">
        <v>111</v>
      </c>
      <c r="AP23" s="176"/>
      <c r="AQ23" s="186" t="s">
        <v>1168</v>
      </c>
      <c r="AR23" s="187" t="s">
        <v>1168</v>
      </c>
      <c r="AS23" s="188"/>
      <c r="AT23" s="187" t="s">
        <v>1169</v>
      </c>
      <c r="AU23" s="186" t="s">
        <v>1169</v>
      </c>
      <c r="AV23" s="189"/>
    </row>
    <row r="24" spans="2:48" ht="13">
      <c r="B24" s="62" t="s">
        <v>66</v>
      </c>
      <c r="C24" s="167">
        <v>1</v>
      </c>
      <c r="D24" s="194">
        <f t="shared" ref="D24:D33" si="6">VLOOKUP(B24,Rangex,5,FALSE())</f>
        <v>99.1588971991726</v>
      </c>
      <c r="E24" s="193">
        <f t="shared" ref="E24:E33" si="7">VLOOKUP($B24,ub_uncertainty,2,FALSE())</f>
        <v>7.6874384070307299E-3</v>
      </c>
      <c r="F24" s="169">
        <f t="shared" ref="F24:F33" si="8">VLOOKUP($B24,ub_uncertainty,3,FALSE())</f>
        <v>2.04202071709059</v>
      </c>
      <c r="G24" s="193">
        <f t="shared" ref="G24:G33" si="9">VLOOKUP(B24,Rangex,7,FALSE())</f>
        <v>1.1660992607762031</v>
      </c>
      <c r="H24" s="194">
        <f t="shared" ref="H24:H33" si="10">VLOOKUP($B24,ub_uncertainty,4,FALSE())</f>
        <v>5.0478153500966997E-3</v>
      </c>
      <c r="I24" s="195">
        <f t="shared" ref="I24:I33" si="11">VLOOKUP($B24,ub_uncertainty,5,FALSE())</f>
        <v>2.16131914079264</v>
      </c>
      <c r="K24" s="171">
        <v>1</v>
      </c>
      <c r="L24" s="199">
        <v>99.156418534034003</v>
      </c>
      <c r="M24" s="198">
        <v>6.6229737132988001E-3</v>
      </c>
      <c r="N24" s="174">
        <v>2.0459994233715402</v>
      </c>
      <c r="O24" s="198">
        <v>1.16352737213325</v>
      </c>
      <c r="P24" s="199">
        <v>5.0298841054613099E-3</v>
      </c>
      <c r="Q24" s="175">
        <v>2.1614940531204501</v>
      </c>
      <c r="Z24" s="167">
        <v>1</v>
      </c>
      <c r="AA24" s="204">
        <v>99.156418534034003</v>
      </c>
      <c r="AB24" s="203">
        <v>6.6229737132988001E-3</v>
      </c>
      <c r="AC24" s="202">
        <v>2.0459994233715402</v>
      </c>
      <c r="AD24" s="203">
        <v>1.16352737213325</v>
      </c>
      <c r="AE24" s="204">
        <v>5.0298841054613099E-3</v>
      </c>
      <c r="AF24" s="205">
        <v>2.1614940531204501</v>
      </c>
      <c r="AH24" s="216">
        <v>1</v>
      </c>
      <c r="AI24" s="216">
        <v>99.1417</v>
      </c>
      <c r="AJ24" s="216">
        <v>7.1999999999999998E-3</v>
      </c>
      <c r="AK24" s="216">
        <v>2</v>
      </c>
      <c r="AL24" s="216">
        <v>1.1659999999999999</v>
      </c>
      <c r="AM24" s="216">
        <v>7.0000000000000001E-3</v>
      </c>
      <c r="AN24" s="216">
        <v>2.1</v>
      </c>
      <c r="AP24" s="167">
        <v>1</v>
      </c>
      <c r="AQ24">
        <v>99.133086213194701</v>
      </c>
      <c r="AR24">
        <v>7.2189733681477198E-3</v>
      </c>
      <c r="AS24">
        <v>1.99770975098818</v>
      </c>
      <c r="AT24">
        <v>1.17202252700159</v>
      </c>
      <c r="AU24">
        <v>6.9132554558785902E-3</v>
      </c>
      <c r="AV24">
        <v>2.0844940475617402</v>
      </c>
    </row>
    <row r="25" spans="2:48" ht="13">
      <c r="B25" s="62" t="s">
        <v>67</v>
      </c>
      <c r="C25" s="167">
        <v>2</v>
      </c>
      <c r="D25" s="194">
        <f t="shared" si="6"/>
        <v>199.03293789885871</v>
      </c>
      <c r="E25" s="193">
        <f t="shared" si="7"/>
        <v>1.35289017448626E-2</v>
      </c>
      <c r="F25" s="169">
        <f t="shared" si="8"/>
        <v>2.0629860540240199</v>
      </c>
      <c r="G25" s="193">
        <f t="shared" si="9"/>
        <v>1.7389426711813616</v>
      </c>
      <c r="H25" s="194">
        <f t="shared" si="10"/>
        <v>7.5275999506981299E-3</v>
      </c>
      <c r="I25" s="195">
        <f t="shared" si="11"/>
        <v>2.1613141908454598</v>
      </c>
      <c r="K25" s="171">
        <v>2</v>
      </c>
      <c r="L25" s="199">
        <v>199.02896286790801</v>
      </c>
      <c r="M25" s="198">
        <v>1.2292446827193401E-2</v>
      </c>
      <c r="N25" s="174">
        <v>2.0616927352487502</v>
      </c>
      <c r="O25" s="198">
        <v>1.7351054684200899</v>
      </c>
      <c r="P25" s="199">
        <v>7.5007738717937696E-3</v>
      </c>
      <c r="Q25" s="175">
        <v>2.1615012723473299</v>
      </c>
      <c r="Z25" s="167">
        <v>2</v>
      </c>
      <c r="AA25" s="204">
        <v>199.02896286790801</v>
      </c>
      <c r="AB25" s="203">
        <v>1.2292446827193401E-2</v>
      </c>
      <c r="AC25" s="202">
        <v>2.0616927352487502</v>
      </c>
      <c r="AD25" s="203">
        <v>1.7351054684200899</v>
      </c>
      <c r="AE25" s="204">
        <v>7.5007738717937696E-3</v>
      </c>
      <c r="AF25" s="205">
        <v>2.1615012723473299</v>
      </c>
      <c r="AH25" s="216">
        <v>2</v>
      </c>
      <c r="AI25" s="216">
        <v>199.001</v>
      </c>
      <c r="AJ25" s="216">
        <v>1.0999999999999999E-2</v>
      </c>
      <c r="AK25" s="216">
        <v>2</v>
      </c>
      <c r="AL25" s="216">
        <v>1.738</v>
      </c>
      <c r="AM25" s="216">
        <v>0.01</v>
      </c>
      <c r="AN25" s="216">
        <v>2.1</v>
      </c>
      <c r="AP25" s="167">
        <v>2</v>
      </c>
      <c r="AQ25">
        <v>198.98244418402001</v>
      </c>
      <c r="AR25">
        <v>1.11740289100297E-2</v>
      </c>
      <c r="AS25">
        <v>2.0028105154963098</v>
      </c>
      <c r="AT25">
        <v>1.7485011155530501</v>
      </c>
      <c r="AU25">
        <v>1.0309353141354999E-2</v>
      </c>
      <c r="AV25">
        <v>2.0847048539870601</v>
      </c>
    </row>
    <row r="26" spans="2:48" ht="13">
      <c r="B26" s="62" t="s">
        <v>68</v>
      </c>
      <c r="C26" s="167">
        <v>3</v>
      </c>
      <c r="D26" s="194">
        <f t="shared" si="6"/>
        <v>298.30085697433333</v>
      </c>
      <c r="E26" s="193">
        <f t="shared" si="7"/>
        <v>1.95447639105591E-2</v>
      </c>
      <c r="F26" s="169">
        <f t="shared" si="8"/>
        <v>2.07804392831429</v>
      </c>
      <c r="G26" s="193">
        <f t="shared" si="9"/>
        <v>2.2060766244666268</v>
      </c>
      <c r="H26" s="194">
        <f t="shared" si="10"/>
        <v>9.5498358431930393E-3</v>
      </c>
      <c r="I26" s="170">
        <f t="shared" si="11"/>
        <v>2.1613033508921</v>
      </c>
      <c r="K26" s="171">
        <v>3</v>
      </c>
      <c r="L26" s="199">
        <v>298.29440055303502</v>
      </c>
      <c r="M26" s="198">
        <v>1.81393064441784E-2</v>
      </c>
      <c r="N26" s="174">
        <v>2.068763204513</v>
      </c>
      <c r="O26" s="198">
        <v>2.20122245815553</v>
      </c>
      <c r="P26" s="199">
        <v>9.5157748716248707E-3</v>
      </c>
      <c r="Q26" s="175">
        <v>2.1615025895423199</v>
      </c>
      <c r="Z26" s="167">
        <v>3</v>
      </c>
      <c r="AA26" s="194">
        <v>298.29440055303502</v>
      </c>
      <c r="AB26" s="193">
        <v>1.81393064441784E-2</v>
      </c>
      <c r="AC26" s="169">
        <v>2.068763204513</v>
      </c>
      <c r="AD26" s="193">
        <v>2.20122245815553</v>
      </c>
      <c r="AE26" s="194">
        <v>9.5157748716248707E-3</v>
      </c>
      <c r="AF26" s="170">
        <v>2.1615025895423199</v>
      </c>
      <c r="AH26" s="216">
        <v>3</v>
      </c>
      <c r="AI26" s="216">
        <v>298.24900000000002</v>
      </c>
      <c r="AJ26" s="216">
        <v>1.4999999999999999E-2</v>
      </c>
      <c r="AK26" s="216">
        <v>2</v>
      </c>
      <c r="AL26" s="216">
        <v>2.2050000000000001</v>
      </c>
      <c r="AM26" s="216">
        <v>1.2999999999999999E-2</v>
      </c>
      <c r="AN26" s="216">
        <v>2.1</v>
      </c>
      <c r="AP26" s="167">
        <v>3</v>
      </c>
      <c r="AQ26">
        <v>298.20466854543599</v>
      </c>
      <c r="AR26">
        <v>1.53422943099832E-2</v>
      </c>
      <c r="AS26">
        <v>2.0065477669101801</v>
      </c>
      <c r="AT26">
        <v>2.2201829740978498</v>
      </c>
      <c r="AU26">
        <v>1.3088803541389299E-2</v>
      </c>
      <c r="AV26">
        <v>2.0847654285727999</v>
      </c>
    </row>
    <row r="27" spans="2:48" ht="13">
      <c r="B27" s="62" t="s">
        <v>69</v>
      </c>
      <c r="C27" s="167">
        <v>4</v>
      </c>
      <c r="D27" s="194">
        <f t="shared" si="6"/>
        <v>396.58657896238947</v>
      </c>
      <c r="E27" s="193">
        <f t="shared" si="7"/>
        <v>2.5713881679430999E-2</v>
      </c>
      <c r="F27" s="169">
        <f t="shared" si="8"/>
        <v>2.0836040751871598</v>
      </c>
      <c r="G27" s="193">
        <f t="shared" si="9"/>
        <v>2.7911949007843466</v>
      </c>
      <c r="H27" s="194">
        <f t="shared" si="10"/>
        <v>1.2082784529023101E-2</v>
      </c>
      <c r="I27" s="170">
        <f t="shared" si="11"/>
        <v>2.1613002358664</v>
      </c>
      <c r="K27" s="171">
        <v>4</v>
      </c>
      <c r="L27" s="199">
        <v>396.57566535123101</v>
      </c>
      <c r="M27" s="198">
        <v>2.3992791211905298E-2</v>
      </c>
      <c r="N27" s="174">
        <v>2.07148705255781</v>
      </c>
      <c r="O27" s="198">
        <v>2.7851062669843598</v>
      </c>
      <c r="P27" s="199">
        <v>1.20398749688216E-2</v>
      </c>
      <c r="Q27" s="175">
        <v>2.1615037517068698</v>
      </c>
      <c r="Z27" s="167">
        <v>4</v>
      </c>
      <c r="AA27" s="194">
        <v>396.57566535123101</v>
      </c>
      <c r="AB27" s="193">
        <v>2.3992791211905298E-2</v>
      </c>
      <c r="AC27" s="169">
        <v>2.07148705255781</v>
      </c>
      <c r="AD27" s="193">
        <v>2.7851062669843598</v>
      </c>
      <c r="AE27" s="194">
        <v>1.20398749688216E-2</v>
      </c>
      <c r="AF27" s="170">
        <v>2.1615037517068698</v>
      </c>
      <c r="AH27" s="216">
        <v>4</v>
      </c>
      <c r="AI27" s="216">
        <v>396.524</v>
      </c>
      <c r="AJ27" s="216">
        <v>0.02</v>
      </c>
      <c r="AK27" s="216">
        <v>2</v>
      </c>
      <c r="AL27" s="216">
        <v>2.79</v>
      </c>
      <c r="AM27" s="216">
        <v>1.6E-2</v>
      </c>
      <c r="AN27" s="216">
        <v>2.1</v>
      </c>
      <c r="AP27" s="167">
        <v>4</v>
      </c>
      <c r="AQ27">
        <v>396.48125483208997</v>
      </c>
      <c r="AR27">
        <v>1.9829174335962998E-2</v>
      </c>
      <c r="AS27">
        <v>2.0094073409925199</v>
      </c>
      <c r="AT27">
        <v>2.8113080858313699</v>
      </c>
      <c r="AU27">
        <v>1.6573666326096501E-2</v>
      </c>
      <c r="AV27">
        <v>2.0849078589875498</v>
      </c>
    </row>
    <row r="28" spans="2:48" ht="13">
      <c r="B28" s="62" t="s">
        <v>70</v>
      </c>
      <c r="C28" s="167">
        <v>5</v>
      </c>
      <c r="D28" s="194">
        <f t="shared" si="6"/>
        <v>494.54123451873937</v>
      </c>
      <c r="E28" s="193">
        <f t="shared" si="7"/>
        <v>3.1708300887431699E-2</v>
      </c>
      <c r="F28" s="169">
        <f t="shared" si="8"/>
        <v>2.0899605092736602</v>
      </c>
      <c r="G28" s="193">
        <f t="shared" si="9"/>
        <v>3.1743629308156889</v>
      </c>
      <c r="H28" s="194">
        <f t="shared" si="10"/>
        <v>1.37415864073199E-2</v>
      </c>
      <c r="I28" s="170">
        <f t="shared" si="11"/>
        <v>2.1612897621674598</v>
      </c>
      <c r="K28" s="171">
        <v>5</v>
      </c>
      <c r="L28" s="199">
        <v>494.53587375033601</v>
      </c>
      <c r="M28" s="198">
        <v>2.9828296571378501E-2</v>
      </c>
      <c r="N28" s="174">
        <v>2.0732299253652098</v>
      </c>
      <c r="O28" s="198">
        <v>3.1675614124187002</v>
      </c>
      <c r="P28" s="199">
        <v>1.36932186693759E-2</v>
      </c>
      <c r="Q28" s="175">
        <v>2.1615032750153702</v>
      </c>
      <c r="Z28" s="167">
        <v>5</v>
      </c>
      <c r="AA28" s="194">
        <v>494.53587375033601</v>
      </c>
      <c r="AB28" s="193">
        <v>2.9828296571378501E-2</v>
      </c>
      <c r="AC28" s="169">
        <v>2.0732299253652098</v>
      </c>
      <c r="AD28" s="193">
        <v>3.1675614124187002</v>
      </c>
      <c r="AE28" s="194">
        <v>1.36932186693759E-2</v>
      </c>
      <c r="AF28" s="170">
        <v>2.1615032750153702</v>
      </c>
      <c r="AH28" s="216">
        <v>5</v>
      </c>
      <c r="AI28" s="216">
        <v>494.47300000000001</v>
      </c>
      <c r="AJ28" s="216">
        <v>0.36399999999999999</v>
      </c>
      <c r="AK28" s="216">
        <v>2.2000000000000002</v>
      </c>
      <c r="AL28" s="216">
        <v>3.173</v>
      </c>
      <c r="AM28" s="216">
        <v>1.9E-2</v>
      </c>
      <c r="AN28" s="216">
        <v>2.1</v>
      </c>
      <c r="AP28" s="167">
        <v>5</v>
      </c>
      <c r="AQ28">
        <v>494.431256207915</v>
      </c>
      <c r="AR28">
        <v>2.4043377782103501E-2</v>
      </c>
      <c r="AS28">
        <v>2.0109098229167901</v>
      </c>
      <c r="AT28">
        <v>3.1989650525973001</v>
      </c>
      <c r="AU28">
        <v>1.8855830887928301E-2</v>
      </c>
      <c r="AV28">
        <v>2.0846914174573601</v>
      </c>
    </row>
    <row r="29" spans="2:48" ht="13">
      <c r="B29" s="62" t="s">
        <v>71</v>
      </c>
      <c r="C29" s="167">
        <v>6</v>
      </c>
      <c r="D29" s="194">
        <f t="shared" si="6"/>
        <v>593.59611084510993</v>
      </c>
      <c r="E29" s="193">
        <f t="shared" si="7"/>
        <v>3.7780852055259502E-2</v>
      </c>
      <c r="F29" s="169">
        <f t="shared" si="8"/>
        <v>2.09454146621135</v>
      </c>
      <c r="G29" s="193">
        <f t="shared" si="9"/>
        <v>3.5374895470546459</v>
      </c>
      <c r="H29" s="194">
        <f t="shared" si="10"/>
        <v>1.5313650577604801E-2</v>
      </c>
      <c r="I29" s="170">
        <f t="shared" si="11"/>
        <v>2.16127956060885</v>
      </c>
      <c r="K29" s="171">
        <v>6</v>
      </c>
      <c r="L29" s="199">
        <v>593.62027963410696</v>
      </c>
      <c r="M29" s="198">
        <v>3.5740115061982103E-2</v>
      </c>
      <c r="N29" s="174">
        <v>2.0742955050493199</v>
      </c>
      <c r="O29" s="198">
        <v>3.5303874212602602</v>
      </c>
      <c r="P29" s="199">
        <v>1.52617090500138E-2</v>
      </c>
      <c r="Q29" s="175">
        <v>2.1615026400066801</v>
      </c>
      <c r="Z29" s="167">
        <v>6</v>
      </c>
      <c r="AA29" s="194">
        <v>593.62027963410696</v>
      </c>
      <c r="AB29" s="193">
        <v>3.5740115061982103E-2</v>
      </c>
      <c r="AC29" s="169">
        <v>2.0742955050493199</v>
      </c>
      <c r="AD29" s="193">
        <v>3.5303874212602602</v>
      </c>
      <c r="AE29" s="194">
        <v>1.52617090500138E-2</v>
      </c>
      <c r="AF29" s="170">
        <v>2.1615026400066801</v>
      </c>
      <c r="AH29" s="216">
        <v>6</v>
      </c>
      <c r="AI29" s="216">
        <v>593.51199999999994</v>
      </c>
      <c r="AJ29" s="216">
        <v>2.8000000000000001E-2</v>
      </c>
      <c r="AK29" s="216">
        <v>2</v>
      </c>
      <c r="AL29" s="216">
        <v>3.5350000000000001</v>
      </c>
      <c r="AM29" s="216">
        <v>2.1000000000000001E-2</v>
      </c>
      <c r="AN29" s="216">
        <v>2.1</v>
      </c>
      <c r="AP29" s="167">
        <v>6</v>
      </c>
      <c r="AQ29">
        <v>594.85152876205404</v>
      </c>
      <c r="AR29">
        <v>2.8354887405978399E-2</v>
      </c>
      <c r="AS29">
        <v>2.0123189538467101</v>
      </c>
      <c r="AT29">
        <v>3.5530616018677099</v>
      </c>
      <c r="AU29">
        <v>2.0945548163543E-2</v>
      </c>
      <c r="AV29">
        <v>2.08491429226912</v>
      </c>
    </row>
    <row r="30" spans="2:48" ht="13">
      <c r="B30" s="62" t="s">
        <v>72</v>
      </c>
      <c r="C30" s="167">
        <v>7</v>
      </c>
      <c r="D30" s="194">
        <f t="shared" si="6"/>
        <v>691.43474312025762</v>
      </c>
      <c r="E30" s="193">
        <f t="shared" si="7"/>
        <v>4.3793554025836297E-2</v>
      </c>
      <c r="F30" s="169">
        <f t="shared" si="8"/>
        <v>2.0977926557420301</v>
      </c>
      <c r="G30" s="193">
        <f t="shared" si="9"/>
        <v>3.8900894206998582</v>
      </c>
      <c r="H30" s="194">
        <f t="shared" si="10"/>
        <v>1.68401538178178E-2</v>
      </c>
      <c r="I30" s="170">
        <f t="shared" si="11"/>
        <v>2.1612704547233199</v>
      </c>
      <c r="K30" s="171">
        <v>7</v>
      </c>
      <c r="L30" s="199">
        <v>691.43446238128899</v>
      </c>
      <c r="M30" s="198">
        <v>4.1582222112376999E-2</v>
      </c>
      <c r="N30" s="174">
        <v>2.07497545249857</v>
      </c>
      <c r="O30" s="198">
        <v>3.8822527954443502</v>
      </c>
      <c r="P30" s="199">
        <v>1.6782818315103198E-2</v>
      </c>
      <c r="Q30" s="175">
        <v>2.1615020068804802</v>
      </c>
      <c r="Z30" s="167">
        <v>7</v>
      </c>
      <c r="AA30" s="194">
        <v>691.43446238128899</v>
      </c>
      <c r="AB30" s="193">
        <v>4.1582222112376999E-2</v>
      </c>
      <c r="AC30" s="169">
        <v>2.07497545249857</v>
      </c>
      <c r="AD30" s="193">
        <v>3.8822527954443502</v>
      </c>
      <c r="AE30" s="194">
        <v>1.6782818315103198E-2</v>
      </c>
      <c r="AF30" s="170">
        <v>2.1615020068804802</v>
      </c>
      <c r="AH30" s="216">
        <v>7</v>
      </c>
      <c r="AI30" s="216">
        <v>691.34299999999996</v>
      </c>
      <c r="AJ30" s="216">
        <v>3.3000000000000002E-2</v>
      </c>
      <c r="AK30" s="216">
        <v>2</v>
      </c>
      <c r="AL30" s="216">
        <v>3.8929999999999998</v>
      </c>
      <c r="AM30" s="216">
        <v>2.3E-2</v>
      </c>
      <c r="AN30" s="216">
        <v>2.1</v>
      </c>
      <c r="AP30" s="167">
        <v>7</v>
      </c>
      <c r="AQ30">
        <v>691.30087353587896</v>
      </c>
      <c r="AR30">
        <v>3.2572905486254397E-2</v>
      </c>
      <c r="AS30">
        <v>2.0133586111853101</v>
      </c>
      <c r="AT30">
        <v>3.9212505331790601</v>
      </c>
      <c r="AU30">
        <v>2.3114012791496798E-2</v>
      </c>
      <c r="AV30">
        <v>2.0848079471788599</v>
      </c>
    </row>
    <row r="31" spans="2:48" ht="13">
      <c r="B31" s="62" t="s">
        <v>73</v>
      </c>
      <c r="C31" s="167">
        <v>8</v>
      </c>
      <c r="D31" s="194">
        <f t="shared" si="6"/>
        <v>789.22936656460445</v>
      </c>
      <c r="E31" s="193">
        <f t="shared" si="7"/>
        <v>4.9780146226325699E-2</v>
      </c>
      <c r="F31" s="169">
        <f t="shared" si="8"/>
        <v>2.1006904869237601</v>
      </c>
      <c r="G31" s="193">
        <f t="shared" si="9"/>
        <v>4.1925207552784549</v>
      </c>
      <c r="H31" s="194">
        <f t="shared" si="10"/>
        <v>1.8149510860698801E-2</v>
      </c>
      <c r="I31" s="170">
        <f t="shared" si="11"/>
        <v>2.1612600885625701</v>
      </c>
      <c r="J31" s="156"/>
      <c r="K31" s="171">
        <v>8</v>
      </c>
      <c r="L31" s="199">
        <v>789.23464266869803</v>
      </c>
      <c r="M31" s="198">
        <v>4.7423930962208503E-2</v>
      </c>
      <c r="N31" s="174">
        <v>2.0754880006616898</v>
      </c>
      <c r="O31" s="198">
        <v>4.1843012850639099</v>
      </c>
      <c r="P31" s="199">
        <v>1.80885746837679E-2</v>
      </c>
      <c r="Q31" s="175">
        <v>2.1615011618336801</v>
      </c>
      <c r="Z31" s="167">
        <v>8</v>
      </c>
      <c r="AA31" s="194">
        <v>789.23464266869803</v>
      </c>
      <c r="AB31" s="193">
        <v>4.7423930962208503E-2</v>
      </c>
      <c r="AC31" s="169">
        <v>2.0754880006616898</v>
      </c>
      <c r="AD31" s="193">
        <v>4.1843012850639099</v>
      </c>
      <c r="AE31" s="194">
        <v>1.80885746837679E-2</v>
      </c>
      <c r="AF31" s="170">
        <v>2.1615011618336801</v>
      </c>
      <c r="AH31" s="216">
        <v>8</v>
      </c>
      <c r="AI31" s="216">
        <v>789.13099999999997</v>
      </c>
      <c r="AJ31" s="216">
        <v>3.6999999999999998E-2</v>
      </c>
      <c r="AK31" s="216">
        <v>2</v>
      </c>
      <c r="AL31" s="216">
        <v>4.1970000000000001</v>
      </c>
      <c r="AM31" s="216">
        <v>2.5000000000000001E-2</v>
      </c>
      <c r="AN31" s="216">
        <v>2.1</v>
      </c>
      <c r="AP31" s="167">
        <v>8</v>
      </c>
      <c r="AQ31">
        <v>789.07784196681303</v>
      </c>
      <c r="AR31">
        <v>3.6778843640019203E-2</v>
      </c>
      <c r="AS31">
        <v>2.0144048261701499</v>
      </c>
      <c r="AT31">
        <v>4.22552144399417</v>
      </c>
      <c r="AU31">
        <v>2.4909422496540101E-2</v>
      </c>
      <c r="AV31">
        <v>2.0849235324289102</v>
      </c>
    </row>
    <row r="32" spans="2:48" ht="13">
      <c r="B32" s="62" t="s">
        <v>74</v>
      </c>
      <c r="C32" s="167">
        <v>9</v>
      </c>
      <c r="D32" s="194">
        <f t="shared" si="6"/>
        <v>887.49408433796009</v>
      </c>
      <c r="E32" s="193">
        <f t="shared" si="7"/>
        <v>5.5815984679189398E-2</v>
      </c>
      <c r="F32" s="169">
        <f t="shared" si="8"/>
        <v>2.1027967369018801</v>
      </c>
      <c r="G32" s="193">
        <f t="shared" si="9"/>
        <v>4.5095331184545051</v>
      </c>
      <c r="H32" s="194">
        <f t="shared" si="10"/>
        <v>1.95219889907014E-2</v>
      </c>
      <c r="I32" s="170">
        <f t="shared" si="11"/>
        <v>2.1612512007577598</v>
      </c>
      <c r="K32" s="171">
        <v>9</v>
      </c>
      <c r="L32" s="199">
        <v>887.48890272304504</v>
      </c>
      <c r="M32" s="198">
        <v>5.3296748849945903E-2</v>
      </c>
      <c r="N32" s="174">
        <v>2.0758469306312302</v>
      </c>
      <c r="O32" s="198">
        <v>4.5008786159520602</v>
      </c>
      <c r="P32" s="199">
        <v>1.9457138777032201E-2</v>
      </c>
      <c r="Q32" s="175">
        <v>2.1615004345477198</v>
      </c>
      <c r="Z32" s="167">
        <v>9</v>
      </c>
      <c r="AA32" s="194">
        <v>887.48890272304504</v>
      </c>
      <c r="AB32" s="193">
        <v>5.3296748849945903E-2</v>
      </c>
      <c r="AC32" s="169">
        <v>2.0758469306312302</v>
      </c>
      <c r="AD32" s="193">
        <v>4.5008786159520602</v>
      </c>
      <c r="AE32" s="194">
        <v>1.9457138777032201E-2</v>
      </c>
      <c r="AF32" s="170">
        <v>2.1615004345477198</v>
      </c>
      <c r="AH32" s="216">
        <v>9</v>
      </c>
      <c r="AI32" s="216">
        <v>887.36300000000006</v>
      </c>
      <c r="AJ32" s="216">
        <v>4.1000000000000002E-2</v>
      </c>
      <c r="AK32" s="216">
        <v>2</v>
      </c>
      <c r="AL32" s="216">
        <v>4.5149999999999997</v>
      </c>
      <c r="AM32" s="216">
        <v>2.7E-2</v>
      </c>
      <c r="AN32" s="216">
        <v>2.1</v>
      </c>
      <c r="AP32" s="167">
        <v>9</v>
      </c>
      <c r="AQ32">
        <v>887.30279957383402</v>
      </c>
      <c r="AR32">
        <v>4.1046635992108498E-2</v>
      </c>
      <c r="AS32">
        <v>2.0152307564621599</v>
      </c>
      <c r="AT32">
        <v>4.5463784473697002</v>
      </c>
      <c r="AU32">
        <v>2.6798686880045299E-2</v>
      </c>
      <c r="AV32">
        <v>2.0848125724572899</v>
      </c>
    </row>
    <row r="33" spans="2:48" ht="13">
      <c r="B33" t="s">
        <v>75</v>
      </c>
      <c r="C33" s="176">
        <v>10</v>
      </c>
      <c r="D33" s="217">
        <f t="shared" si="6"/>
        <v>984.95063994570069</v>
      </c>
      <c r="E33" s="218">
        <f t="shared" si="7"/>
        <v>6.1804450847096203E-2</v>
      </c>
      <c r="F33" s="188">
        <f t="shared" si="8"/>
        <v>2.10449747113248</v>
      </c>
      <c r="G33" s="218">
        <f t="shared" si="9"/>
        <v>4.8162647563917478</v>
      </c>
      <c r="H33" s="217">
        <f t="shared" si="10"/>
        <v>2.0849970335959301E-2</v>
      </c>
      <c r="I33" s="189">
        <f t="shared" si="11"/>
        <v>2.1612428322015198</v>
      </c>
      <c r="K33" s="181">
        <v>10</v>
      </c>
      <c r="L33" s="219">
        <v>984.942022043213</v>
      </c>
      <c r="M33" s="220">
        <v>5.9123218161199198E-2</v>
      </c>
      <c r="N33" s="184">
        <v>2.0761179855930001</v>
      </c>
      <c r="O33" s="220">
        <v>4.8071563504590697</v>
      </c>
      <c r="P33" s="219">
        <v>2.0781179076623201E-2</v>
      </c>
      <c r="Q33" s="185">
        <v>2.1614997264768698</v>
      </c>
      <c r="Z33" s="176">
        <v>10</v>
      </c>
      <c r="AA33" s="217">
        <v>984.942022043213</v>
      </c>
      <c r="AB33" s="218">
        <v>5.9123218161199198E-2</v>
      </c>
      <c r="AC33" s="188">
        <v>2.0761179855930001</v>
      </c>
      <c r="AD33" s="218">
        <v>4.8071563504590697</v>
      </c>
      <c r="AE33" s="217">
        <v>2.0781179076623201E-2</v>
      </c>
      <c r="AF33" s="189">
        <v>2.1614997264768698</v>
      </c>
      <c r="AH33" s="216">
        <v>10</v>
      </c>
      <c r="AI33" s="216">
        <v>984.79399999999998</v>
      </c>
      <c r="AJ33" s="216">
        <v>4.4999999999999998E-2</v>
      </c>
      <c r="AK33" s="216">
        <v>2</v>
      </c>
      <c r="AL33" s="216">
        <v>4.8230000000000004</v>
      </c>
      <c r="AM33" s="216">
        <v>2.9000000000000001E-2</v>
      </c>
      <c r="AN33" s="216">
        <v>2.1</v>
      </c>
      <c r="AP33" s="176">
        <v>10</v>
      </c>
      <c r="AQ33" s="221">
        <v>984.77974675410201</v>
      </c>
      <c r="AR33" s="221">
        <v>4.5246444808536103E-2</v>
      </c>
      <c r="AS33" s="221">
        <v>2.0161104521727502</v>
      </c>
      <c r="AT33" s="221">
        <v>4.8225632579422504</v>
      </c>
      <c r="AU33" s="221">
        <v>2.8508400304402499E-2</v>
      </c>
      <c r="AV33" s="221">
        <v>2.0854956124904001</v>
      </c>
    </row>
    <row r="34" spans="2:48" ht="13">
      <c r="C34" s="64"/>
      <c r="D34" s="155"/>
      <c r="E34" s="155"/>
      <c r="F34" s="155"/>
      <c r="G34" s="155"/>
      <c r="H34" s="155"/>
      <c r="I34" s="155"/>
      <c r="Z34" s="64"/>
      <c r="AA34" s="155"/>
      <c r="AB34" s="155"/>
      <c r="AC34" s="155"/>
      <c r="AD34" s="155"/>
      <c r="AE34" s="155"/>
      <c r="AF34" s="155"/>
    </row>
  </sheetData>
  <mergeCells count="2">
    <mergeCell ref="AH6:AI6"/>
    <mergeCell ref="AH22:AI22"/>
  </mergeCells>
  <pageMargins left="0.74791666666666701" right="0.74791666666666701" top="0.98402777777777795" bottom="0.98402777777777795" header="0.51180555555555596" footer="0.51180555555555596"/>
  <pageSetup paperSize="9"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FD095"/>
  </sheetPr>
  <dimension ref="A1"/>
  <sheetViews>
    <sheetView topLeftCell="AR1" zoomScale="110" zoomScaleNormal="110" workbookViewId="0">
      <selection activeCell="BE6" sqref="BE6"/>
    </sheetView>
  </sheetViews>
  <sheetFormatPr defaultColWidth="11.54296875" defaultRowHeight="12.5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27"/>
  <sheetViews>
    <sheetView topLeftCell="A7" zoomScale="110" zoomScaleNormal="110" workbookViewId="0">
      <selection activeCell="F11" sqref="F11"/>
    </sheetView>
  </sheetViews>
  <sheetFormatPr defaultColWidth="8.6328125" defaultRowHeight="12.5"/>
  <cols>
    <col min="1" max="1" width="18.08984375" style="151" customWidth="1"/>
    <col min="2" max="2" width="13.26953125" customWidth="1"/>
    <col min="5" max="5" width="12.453125" customWidth="1"/>
    <col min="6" max="6" width="12.1796875" customWidth="1"/>
    <col min="7" max="7" width="11.7265625" customWidth="1"/>
    <col min="8" max="8" width="9.81640625" customWidth="1"/>
    <col min="9" max="9" width="11.08984375" customWidth="1"/>
    <col min="10" max="12" width="13.54296875" customWidth="1"/>
    <col min="13" max="13" width="10.7265625" customWidth="1"/>
    <col min="14" max="14" width="11" customWidth="1"/>
    <col min="15" max="15" width="12.26953125" customWidth="1"/>
    <col min="16" max="16" width="10.26953125" customWidth="1"/>
    <col min="17" max="17" width="11" customWidth="1"/>
    <col min="18" max="18" width="10.26953125" customWidth="1"/>
    <col min="19" max="19" width="11.26953125" customWidth="1"/>
  </cols>
  <sheetData>
    <row r="1" spans="1:23" ht="15.5">
      <c r="A1" s="3" t="s">
        <v>1171</v>
      </c>
      <c r="B1" s="154">
        <v>41921</v>
      </c>
    </row>
    <row r="2" spans="1:23" ht="15.5">
      <c r="A2" s="3" t="s">
        <v>27</v>
      </c>
      <c r="B2" s="154" t="s">
        <v>1172</v>
      </c>
    </row>
    <row r="3" spans="1:23" ht="15.5">
      <c r="A3" s="3" t="s">
        <v>31</v>
      </c>
      <c r="B3" s="222">
        <v>96040221</v>
      </c>
    </row>
    <row r="4" spans="1:23" ht="15.5">
      <c r="A4" s="3" t="s">
        <v>1173</v>
      </c>
      <c r="B4" s="154" t="s">
        <v>1146</v>
      </c>
    </row>
    <row r="5" spans="1:23" ht="13">
      <c r="A5" s="223" t="s">
        <v>1174</v>
      </c>
      <c r="B5" s="224" t="s">
        <v>1175</v>
      </c>
    </row>
    <row r="6" spans="1:23">
      <c r="B6" s="149"/>
    </row>
    <row r="7" spans="1:23" ht="15.5">
      <c r="A7" s="3" t="s">
        <v>1176</v>
      </c>
    </row>
    <row r="8" spans="1:23" ht="13">
      <c r="A8" s="12"/>
      <c r="N8" s="13"/>
      <c r="V8" s="153"/>
    </row>
    <row r="9" spans="1:23">
      <c r="A9" s="225" t="s">
        <v>1177</v>
      </c>
      <c r="B9" s="25" t="s">
        <v>76</v>
      </c>
      <c r="C9" s="16" t="s">
        <v>41</v>
      </c>
      <c r="D9" s="226" t="s">
        <v>1178</v>
      </c>
      <c r="E9" s="226" t="s">
        <v>1179</v>
      </c>
      <c r="F9" s="227" t="s">
        <v>1159</v>
      </c>
      <c r="G9" s="227"/>
      <c r="H9" s="228" t="s">
        <v>1162</v>
      </c>
      <c r="I9" s="228"/>
      <c r="J9" t="s">
        <v>1180</v>
      </c>
      <c r="K9" t="s">
        <v>45</v>
      </c>
      <c r="L9" t="s">
        <v>1181</v>
      </c>
    </row>
    <row r="10" spans="1:23">
      <c r="A10" s="24"/>
      <c r="B10" s="25"/>
      <c r="C10" s="16"/>
      <c r="D10" s="229"/>
      <c r="E10" s="229"/>
      <c r="F10" s="230"/>
      <c r="G10" s="231"/>
      <c r="H10" s="232"/>
      <c r="I10" s="233"/>
      <c r="J10" s="151"/>
      <c r="K10" s="151"/>
      <c r="L10" s="151">
        <v>-0.03</v>
      </c>
      <c r="M10" t="s">
        <v>1182</v>
      </c>
    </row>
    <row r="11" spans="1:23">
      <c r="A11" s="234" t="s">
        <v>1183</v>
      </c>
      <c r="B11" s="235" t="s">
        <v>1184</v>
      </c>
      <c r="C11" s="235" t="s">
        <v>54</v>
      </c>
      <c r="D11" s="229">
        <v>-1</v>
      </c>
      <c r="E11" s="229">
        <v>-10</v>
      </c>
      <c r="F11" s="230">
        <f t="shared" ref="F11:F42" si="0">(alpha-VLOOKUP(Range,zeros,2,FALSE()))*(1+VLOOKUP(Range,corrections,2,FALSE())*0.000001)*VLOOKUP(Range,multiplier,2,FALSE())</f>
        <v>0</v>
      </c>
      <c r="G11" s="231" t="str">
        <f t="shared" ref="G11:G42" si="1">VLOOKUP(Range,multiplier,3,FALSE())</f>
        <v>milliH</v>
      </c>
      <c r="H11" s="232">
        <f t="shared" ref="H11:H42" si="2">(beta-VLOOKUP(Range,zeros,3,FALSE()))*(1+VLOOKUP(Range,corrections,3,FALSE())*0.000001)*VLOOKUP(Range,multiplier,5,FALSE())</f>
        <v>0</v>
      </c>
      <c r="I11" s="233" t="str">
        <f t="shared" ref="I11:I42" si="3">VLOOKUP(Range,multiplier,6,FALSE())</f>
        <v>ohm</v>
      </c>
      <c r="J11" s="151">
        <v>1.59212</v>
      </c>
      <c r="K11" s="18">
        <v>19.43</v>
      </c>
      <c r="M11" s="236"/>
      <c r="N11" s="237"/>
    </row>
    <row r="12" spans="1:23">
      <c r="A12" s="24" t="s">
        <v>1183</v>
      </c>
      <c r="B12" s="25" t="s">
        <v>55</v>
      </c>
      <c r="C12" s="16" t="s">
        <v>54</v>
      </c>
      <c r="D12" s="238">
        <v>99399</v>
      </c>
      <c r="E12" s="238">
        <f>569109-10</f>
        <v>569099</v>
      </c>
      <c r="F12" s="230">
        <f t="shared" si="0"/>
        <v>0.99419949581877542</v>
      </c>
      <c r="G12" s="231" t="str">
        <f t="shared" si="1"/>
        <v>milliH</v>
      </c>
      <c r="H12" s="232">
        <f t="shared" si="2"/>
        <v>5.6914914979891744</v>
      </c>
      <c r="I12" s="233" t="str">
        <f t="shared" si="3"/>
        <v>ohm</v>
      </c>
      <c r="J12" s="151">
        <v>1.59222</v>
      </c>
      <c r="K12" s="18">
        <v>19.440000000000001</v>
      </c>
      <c r="L12">
        <f t="shared" ref="L12:L32" si="4">K12+L$10</f>
        <v>19.41</v>
      </c>
      <c r="M12" s="236"/>
      <c r="N12" s="237"/>
      <c r="O12" s="150"/>
      <c r="Q12" s="239"/>
      <c r="R12" s="239"/>
      <c r="S12" s="240"/>
      <c r="T12" s="241"/>
      <c r="V12" s="242"/>
      <c r="W12" s="242"/>
    </row>
    <row r="13" spans="1:23">
      <c r="A13" s="24" t="s">
        <v>1183</v>
      </c>
      <c r="B13" s="25" t="s">
        <v>56</v>
      </c>
      <c r="C13" s="16" t="s">
        <v>54</v>
      </c>
      <c r="D13" s="238">
        <v>198037</v>
      </c>
      <c r="E13" s="238">
        <v>838177</v>
      </c>
      <c r="F13" s="230">
        <f t="shared" si="0"/>
        <v>1.9807774623034067</v>
      </c>
      <c r="G13" s="227" t="str">
        <f t="shared" si="1"/>
        <v>milliH</v>
      </c>
      <c r="H13" s="232">
        <f t="shared" si="2"/>
        <v>8.3824613285417247</v>
      </c>
      <c r="I13" s="243" t="str">
        <f t="shared" si="3"/>
        <v>ohm</v>
      </c>
      <c r="J13" s="151">
        <v>1.5923099999999999</v>
      </c>
      <c r="K13" s="18">
        <v>19.420000000000002</v>
      </c>
      <c r="L13">
        <f t="shared" si="4"/>
        <v>19.39</v>
      </c>
      <c r="M13" s="236"/>
      <c r="N13" s="237"/>
      <c r="O13" s="150"/>
      <c r="Q13" s="239"/>
      <c r="R13" s="239"/>
      <c r="S13" s="240"/>
      <c r="T13" s="241"/>
    </row>
    <row r="14" spans="1:23">
      <c r="A14" s="24" t="s">
        <v>1183</v>
      </c>
      <c r="B14" s="25" t="s">
        <v>57</v>
      </c>
      <c r="C14" s="16" t="s">
        <v>54</v>
      </c>
      <c r="D14" s="238">
        <v>296910</v>
      </c>
      <c r="E14" s="238">
        <v>1066102</v>
      </c>
      <c r="F14" s="230">
        <f t="shared" si="0"/>
        <v>2.9697059004330826</v>
      </c>
      <c r="G14" s="227" t="str">
        <f t="shared" si="1"/>
        <v>milliH</v>
      </c>
      <c r="H14" s="232">
        <f t="shared" si="2"/>
        <v>10.661872126260937</v>
      </c>
      <c r="I14" s="243" t="str">
        <f t="shared" si="3"/>
        <v>ohm</v>
      </c>
      <c r="J14" s="151">
        <v>1.5924100000000001</v>
      </c>
      <c r="K14" s="18">
        <v>19.46</v>
      </c>
      <c r="L14">
        <f t="shared" si="4"/>
        <v>19.43</v>
      </c>
      <c r="M14" s="236"/>
      <c r="N14" s="237"/>
      <c r="O14" s="150"/>
      <c r="Q14" s="239"/>
      <c r="R14" s="239"/>
      <c r="S14" s="240"/>
      <c r="T14" s="241"/>
    </row>
    <row r="15" spans="1:23">
      <c r="A15" s="24" t="s">
        <v>1183</v>
      </c>
      <c r="B15" s="25" t="s">
        <v>58</v>
      </c>
      <c r="C15" s="16" t="s">
        <v>54</v>
      </c>
      <c r="D15" s="238">
        <v>394862</v>
      </c>
      <c r="E15" s="238">
        <v>1264597</v>
      </c>
      <c r="F15" s="230">
        <f t="shared" si="0"/>
        <v>3.9494224901155843</v>
      </c>
      <c r="G15" s="227" t="str">
        <f t="shared" si="1"/>
        <v>milliH</v>
      </c>
      <c r="H15" s="232">
        <f t="shared" si="2"/>
        <v>12.646962161550064</v>
      </c>
      <c r="I15" s="243" t="str">
        <f t="shared" si="3"/>
        <v>ohm</v>
      </c>
      <c r="J15" s="151">
        <v>1.5925100000000001</v>
      </c>
      <c r="K15" s="18">
        <v>19.510000000000002</v>
      </c>
      <c r="L15">
        <f t="shared" si="4"/>
        <v>19.48</v>
      </c>
      <c r="M15" s="236"/>
      <c r="N15" s="237"/>
      <c r="O15" s="150"/>
      <c r="Q15" s="239"/>
      <c r="R15" s="239"/>
      <c r="S15" s="240"/>
      <c r="T15" s="241"/>
      <c r="V15" s="242"/>
      <c r="W15" s="242"/>
    </row>
    <row r="16" spans="1:23">
      <c r="A16" s="24" t="s">
        <v>1183</v>
      </c>
      <c r="B16" s="25" t="s">
        <v>59</v>
      </c>
      <c r="C16" s="16" t="s">
        <v>54</v>
      </c>
      <c r="D16" s="238">
        <v>493235</v>
      </c>
      <c r="E16" s="238">
        <v>1441386</v>
      </c>
      <c r="F16" s="230">
        <f t="shared" si="0"/>
        <v>4.9333499247451664</v>
      </c>
      <c r="G16" s="227" t="str">
        <f t="shared" si="1"/>
        <v>milliH</v>
      </c>
      <c r="H16" s="232">
        <f t="shared" si="2"/>
        <v>14.414976883576967</v>
      </c>
      <c r="I16" s="243" t="str">
        <f t="shared" si="3"/>
        <v>ohm</v>
      </c>
      <c r="J16" s="151">
        <v>1.5926</v>
      </c>
      <c r="K16" s="18">
        <v>19.52</v>
      </c>
      <c r="L16">
        <f t="shared" si="4"/>
        <v>19.489999999999998</v>
      </c>
      <c r="M16" s="236"/>
      <c r="N16" s="237"/>
      <c r="O16" s="150"/>
      <c r="Q16" s="239"/>
      <c r="R16" s="239"/>
      <c r="S16" s="240"/>
      <c r="T16" s="241"/>
    </row>
    <row r="17" spans="1:23">
      <c r="A17" s="24" t="s">
        <v>1183</v>
      </c>
      <c r="B17" s="25" t="s">
        <v>60</v>
      </c>
      <c r="C17" s="16" t="s">
        <v>54</v>
      </c>
      <c r="D17" s="238">
        <v>591477</v>
      </c>
      <c r="E17" s="238">
        <f>1610922-1000</f>
        <v>1609922</v>
      </c>
      <c r="F17" s="230">
        <f t="shared" si="0"/>
        <v>5.9159670964577229</v>
      </c>
      <c r="G17" s="227" t="str">
        <f t="shared" si="1"/>
        <v>milliH</v>
      </c>
      <c r="H17" s="232">
        <f t="shared" si="2"/>
        <v>16.100455783234331</v>
      </c>
      <c r="I17" s="243" t="str">
        <f t="shared" si="3"/>
        <v>ohm</v>
      </c>
      <c r="J17" s="151">
        <v>1.5926800000000001</v>
      </c>
      <c r="K17" s="18">
        <v>19.489999999999998</v>
      </c>
      <c r="L17">
        <f t="shared" si="4"/>
        <v>19.459999999999997</v>
      </c>
      <c r="M17" s="236"/>
      <c r="N17" s="237"/>
      <c r="O17" s="150"/>
      <c r="Q17" s="239"/>
      <c r="R17" s="239"/>
      <c r="S17" s="240"/>
      <c r="T17" s="241"/>
    </row>
    <row r="18" spans="1:23">
      <c r="A18" s="24" t="s">
        <v>1183</v>
      </c>
      <c r="B18" s="25" t="s">
        <v>61</v>
      </c>
      <c r="C18" s="16" t="s">
        <v>54</v>
      </c>
      <c r="D18" s="238">
        <v>689150</v>
      </c>
      <c r="E18" s="238">
        <v>1774172</v>
      </c>
      <c r="F18" s="230">
        <f t="shared" si="0"/>
        <v>6.8928931261871718</v>
      </c>
      <c r="G18" s="227" t="str">
        <f t="shared" si="1"/>
        <v>milliH</v>
      </c>
      <c r="H18" s="232">
        <f t="shared" si="2"/>
        <v>17.743071659182036</v>
      </c>
      <c r="I18" s="243" t="str">
        <f t="shared" si="3"/>
        <v>ohm</v>
      </c>
      <c r="J18" s="151">
        <v>1.5927500000000001</v>
      </c>
      <c r="K18" s="18">
        <v>19.46</v>
      </c>
      <c r="L18">
        <f t="shared" si="4"/>
        <v>19.43</v>
      </c>
      <c r="M18" s="236"/>
      <c r="N18" s="237"/>
      <c r="O18" s="150"/>
      <c r="Q18" s="239"/>
      <c r="R18" s="239"/>
      <c r="S18" s="240"/>
      <c r="T18" s="241"/>
      <c r="V18" s="242"/>
      <c r="W18" s="242"/>
    </row>
    <row r="19" spans="1:23">
      <c r="A19" s="24" t="s">
        <v>1183</v>
      </c>
      <c r="B19" s="25" t="s">
        <v>62</v>
      </c>
      <c r="C19" s="16" t="s">
        <v>54</v>
      </c>
      <c r="D19" s="238">
        <v>786374</v>
      </c>
      <c r="E19" s="238">
        <v>1925612</v>
      </c>
      <c r="F19" s="230">
        <f t="shared" si="0"/>
        <v>7.8653282547735364</v>
      </c>
      <c r="G19" s="227" t="str">
        <f t="shared" si="1"/>
        <v>milliH</v>
      </c>
      <c r="H19" s="232">
        <f t="shared" si="2"/>
        <v>19.257578497864046</v>
      </c>
      <c r="I19" s="243" t="str">
        <f t="shared" si="3"/>
        <v>ohm</v>
      </c>
      <c r="J19" s="151">
        <v>1.5928500000000001</v>
      </c>
      <c r="K19" s="18">
        <v>19.420000000000002</v>
      </c>
      <c r="L19">
        <f t="shared" si="4"/>
        <v>19.39</v>
      </c>
      <c r="M19" s="236"/>
      <c r="N19" s="237"/>
      <c r="O19" s="150"/>
      <c r="Q19" s="239"/>
      <c r="R19" s="239"/>
      <c r="S19" s="240"/>
      <c r="T19" s="241"/>
    </row>
    <row r="20" spans="1:23" ht="12" customHeight="1">
      <c r="A20" s="24" t="s">
        <v>1183</v>
      </c>
      <c r="B20" s="25" t="s">
        <v>63</v>
      </c>
      <c r="C20" s="16" t="s">
        <v>54</v>
      </c>
      <c r="D20" s="238">
        <v>883275</v>
      </c>
      <c r="E20" s="238">
        <f>2071150-1</f>
        <v>2071149</v>
      </c>
      <c r="F20" s="230">
        <f t="shared" si="0"/>
        <v>8.8345327350988399</v>
      </c>
      <c r="G20" s="227" t="str">
        <f t="shared" si="1"/>
        <v>milliH</v>
      </c>
      <c r="H20" s="232">
        <f t="shared" si="2"/>
        <v>20.713051172066791</v>
      </c>
      <c r="I20" s="243" t="str">
        <f t="shared" si="3"/>
        <v>ohm</v>
      </c>
      <c r="J20" s="151">
        <v>1.5929199999999999</v>
      </c>
      <c r="K20" s="18">
        <v>19.41</v>
      </c>
      <c r="L20">
        <f t="shared" si="4"/>
        <v>19.38</v>
      </c>
      <c r="M20" s="236"/>
      <c r="N20" s="237"/>
      <c r="O20" s="150"/>
      <c r="Q20" s="239"/>
      <c r="R20" s="239"/>
      <c r="S20" s="240"/>
      <c r="T20" s="241"/>
    </row>
    <row r="21" spans="1:23">
      <c r="A21" s="24" t="s">
        <v>1183</v>
      </c>
      <c r="B21" s="25" t="s">
        <v>64</v>
      </c>
      <c r="C21" s="16" t="s">
        <v>54</v>
      </c>
      <c r="D21" s="238">
        <v>980309</v>
      </c>
      <c r="E21" s="238">
        <v>2218833</v>
      </c>
      <c r="F21" s="230">
        <f t="shared" si="0"/>
        <v>9.8050674823551685</v>
      </c>
      <c r="G21" s="231" t="str">
        <f t="shared" si="1"/>
        <v>milliH</v>
      </c>
      <c r="H21" s="232">
        <f t="shared" si="2"/>
        <v>22.189995360946309</v>
      </c>
      <c r="I21" s="233" t="str">
        <f t="shared" si="3"/>
        <v>ohm</v>
      </c>
      <c r="J21" s="151">
        <v>1.5912900000000001</v>
      </c>
      <c r="K21" s="18">
        <v>19.440000000000001</v>
      </c>
      <c r="L21">
        <f t="shared" si="4"/>
        <v>19.41</v>
      </c>
      <c r="M21" s="236"/>
      <c r="N21" s="237"/>
      <c r="O21" s="150"/>
      <c r="Q21" s="239"/>
      <c r="R21" s="239"/>
      <c r="S21" s="240"/>
      <c r="T21" s="241"/>
      <c r="V21" s="242"/>
      <c r="W21" s="242"/>
    </row>
    <row r="22" spans="1:23">
      <c r="A22" s="24" t="s">
        <v>1185</v>
      </c>
      <c r="B22" s="25" t="s">
        <v>66</v>
      </c>
      <c r="C22" s="16" t="s">
        <v>65</v>
      </c>
      <c r="D22" s="238">
        <v>99137</v>
      </c>
      <c r="E22" s="238">
        <v>1166002</v>
      </c>
      <c r="F22" s="230">
        <f t="shared" si="0"/>
        <v>99.1588971991726</v>
      </c>
      <c r="G22" s="231" t="str">
        <f t="shared" si="1"/>
        <v>microH</v>
      </c>
      <c r="H22" s="232">
        <f t="shared" si="2"/>
        <v>1.1660992607762031</v>
      </c>
      <c r="I22" s="233" t="str">
        <f t="shared" si="3"/>
        <v>ohm</v>
      </c>
      <c r="J22" s="151">
        <v>1.5917300000000001</v>
      </c>
      <c r="K22" s="18">
        <v>19.670000000000002</v>
      </c>
      <c r="L22">
        <f t="shared" si="4"/>
        <v>19.64</v>
      </c>
      <c r="M22" s="237"/>
      <c r="N22" s="150"/>
      <c r="O22" s="150"/>
      <c r="Q22" s="239"/>
      <c r="R22" s="239"/>
      <c r="S22" s="240"/>
      <c r="T22" s="241"/>
      <c r="V22" s="242"/>
      <c r="W22" s="242"/>
    </row>
    <row r="23" spans="1:23">
      <c r="A23" s="24" t="s">
        <v>1185</v>
      </c>
      <c r="B23" s="25" t="s">
        <v>67</v>
      </c>
      <c r="C23" s="16" t="s">
        <v>65</v>
      </c>
      <c r="D23" s="238">
        <f>199001-10</f>
        <v>198991</v>
      </c>
      <c r="E23" s="238">
        <v>1738805</v>
      </c>
      <c r="F23" s="230">
        <f t="shared" si="0"/>
        <v>199.03293789885871</v>
      </c>
      <c r="G23" s="227" t="str">
        <f t="shared" si="1"/>
        <v>microH</v>
      </c>
      <c r="H23" s="232">
        <f t="shared" si="2"/>
        <v>1.7389426711813616</v>
      </c>
      <c r="I23" s="243" t="str">
        <f t="shared" si="3"/>
        <v>ohm</v>
      </c>
      <c r="J23" s="151">
        <v>1.59179</v>
      </c>
      <c r="K23" s="18">
        <v>19.649999999999999</v>
      </c>
      <c r="L23">
        <f t="shared" si="4"/>
        <v>19.619999999999997</v>
      </c>
      <c r="M23" s="237"/>
      <c r="N23" s="150"/>
      <c r="O23" s="150"/>
      <c r="Q23" s="239"/>
      <c r="R23" s="239"/>
      <c r="S23" s="240"/>
      <c r="T23" s="241"/>
    </row>
    <row r="24" spans="1:23">
      <c r="A24" s="24" t="s">
        <v>1185</v>
      </c>
      <c r="B24" s="25" t="s">
        <v>68</v>
      </c>
      <c r="C24" s="16" t="s">
        <v>65</v>
      </c>
      <c r="D24" s="238">
        <v>298239</v>
      </c>
      <c r="E24" s="238">
        <v>2205906</v>
      </c>
      <c r="F24" s="230">
        <f t="shared" si="0"/>
        <v>298.30085697433333</v>
      </c>
      <c r="G24" s="227" t="str">
        <f t="shared" si="1"/>
        <v>microH</v>
      </c>
      <c r="H24" s="232">
        <f t="shared" si="2"/>
        <v>2.2060766244666268</v>
      </c>
      <c r="I24" s="243" t="str">
        <f t="shared" si="3"/>
        <v>ohm</v>
      </c>
      <c r="J24" s="151">
        <v>1.5918399999999999</v>
      </c>
      <c r="K24" s="18">
        <v>19.600000000000001</v>
      </c>
      <c r="L24">
        <f t="shared" si="4"/>
        <v>19.57</v>
      </c>
      <c r="M24" s="237"/>
      <c r="N24" s="150"/>
      <c r="O24" s="150"/>
      <c r="Q24" s="239"/>
      <c r="R24" s="239"/>
      <c r="S24" s="240"/>
      <c r="T24" s="241"/>
    </row>
    <row r="25" spans="1:23">
      <c r="A25" s="24" t="s">
        <v>1185</v>
      </c>
      <c r="B25" s="25" t="s">
        <v>69</v>
      </c>
      <c r="C25" s="16" t="s">
        <v>65</v>
      </c>
      <c r="D25" s="238">
        <v>396505</v>
      </c>
      <c r="E25" s="238">
        <v>2790983</v>
      </c>
      <c r="F25" s="230">
        <f t="shared" si="0"/>
        <v>396.58657896238947</v>
      </c>
      <c r="G25" s="227" t="str">
        <f t="shared" si="1"/>
        <v>microH</v>
      </c>
      <c r="H25" s="232">
        <f t="shared" si="2"/>
        <v>2.7911949007843466</v>
      </c>
      <c r="I25" s="243" t="str">
        <f t="shared" si="3"/>
        <v>ohm</v>
      </c>
      <c r="J25" s="151">
        <v>1.5919099999999999</v>
      </c>
      <c r="K25" s="18">
        <v>19.559999999999999</v>
      </c>
      <c r="L25">
        <f t="shared" si="4"/>
        <v>19.529999999999998</v>
      </c>
      <c r="M25" s="237"/>
      <c r="N25" s="150"/>
      <c r="O25" s="150"/>
      <c r="Q25" s="239"/>
      <c r="R25" s="239"/>
      <c r="S25" s="240"/>
      <c r="T25" s="241"/>
      <c r="V25" s="242"/>
      <c r="W25" s="242"/>
    </row>
    <row r="26" spans="1:23">
      <c r="A26" s="24" t="s">
        <v>1185</v>
      </c>
      <c r="B26" s="25" t="s">
        <v>70</v>
      </c>
      <c r="C26" s="16" t="s">
        <v>65</v>
      </c>
      <c r="D26" s="238">
        <v>494440</v>
      </c>
      <c r="E26" s="238">
        <v>3174124</v>
      </c>
      <c r="F26" s="230">
        <f t="shared" si="0"/>
        <v>494.54123451873937</v>
      </c>
      <c r="G26" s="227" t="str">
        <f t="shared" si="1"/>
        <v>microH</v>
      </c>
      <c r="H26" s="232">
        <f t="shared" si="2"/>
        <v>3.1743629308156889</v>
      </c>
      <c r="I26" s="243" t="str">
        <f t="shared" si="3"/>
        <v>ohm</v>
      </c>
      <c r="J26" s="151">
        <v>1.59199</v>
      </c>
      <c r="K26" s="18">
        <v>19.5</v>
      </c>
      <c r="L26">
        <f t="shared" si="4"/>
        <v>19.47</v>
      </c>
      <c r="M26" s="237"/>
      <c r="N26" s="150"/>
      <c r="O26" s="150"/>
      <c r="Q26" s="239"/>
      <c r="R26" s="239"/>
      <c r="S26" s="240"/>
      <c r="T26" s="241"/>
    </row>
    <row r="27" spans="1:23">
      <c r="A27" s="24" t="s">
        <v>1185</v>
      </c>
      <c r="B27" s="25" t="s">
        <v>71</v>
      </c>
      <c r="C27" s="16" t="s">
        <v>65</v>
      </c>
      <c r="D27" s="238">
        <v>593475</v>
      </c>
      <c r="E27" s="238">
        <v>3537225</v>
      </c>
      <c r="F27" s="230">
        <f t="shared" si="0"/>
        <v>593.59611084510993</v>
      </c>
      <c r="G27" s="227" t="str">
        <f t="shared" si="1"/>
        <v>microH</v>
      </c>
      <c r="H27" s="232">
        <f t="shared" si="2"/>
        <v>3.5374895470546459</v>
      </c>
      <c r="I27" s="243" t="str">
        <f t="shared" si="3"/>
        <v>ohm</v>
      </c>
      <c r="J27" s="151">
        <v>1.5916399999999999</v>
      </c>
      <c r="K27" s="18">
        <v>19.66</v>
      </c>
      <c r="L27">
        <f t="shared" si="4"/>
        <v>19.63</v>
      </c>
      <c r="M27" s="237"/>
      <c r="N27" s="150"/>
      <c r="O27" s="150"/>
      <c r="Q27" s="239"/>
      <c r="R27" s="239"/>
      <c r="S27" s="240"/>
      <c r="T27" s="241"/>
    </row>
    <row r="28" spans="1:23">
      <c r="A28" s="24" t="s">
        <v>1185</v>
      </c>
      <c r="B28" s="25" t="s">
        <v>72</v>
      </c>
      <c r="C28" s="16" t="s">
        <v>65</v>
      </c>
      <c r="D28" s="238">
        <v>691294</v>
      </c>
      <c r="E28" s="238">
        <f>3890800-1000</f>
        <v>3889800</v>
      </c>
      <c r="F28" s="230">
        <f t="shared" si="0"/>
        <v>691.43474312025762</v>
      </c>
      <c r="G28" s="227" t="str">
        <f t="shared" si="1"/>
        <v>microH</v>
      </c>
      <c r="H28" s="232">
        <f t="shared" si="2"/>
        <v>3.8900894206998582</v>
      </c>
      <c r="I28" s="243" t="str">
        <f t="shared" si="3"/>
        <v>ohm</v>
      </c>
      <c r="J28" s="151">
        <v>1.5922099999999999</v>
      </c>
      <c r="K28" s="18">
        <v>19.59</v>
      </c>
      <c r="L28">
        <f t="shared" si="4"/>
        <v>19.559999999999999</v>
      </c>
      <c r="M28" s="237"/>
      <c r="N28" s="150"/>
      <c r="O28" s="150"/>
      <c r="Q28" s="239"/>
      <c r="R28" s="239"/>
      <c r="S28" s="240"/>
      <c r="T28" s="241"/>
      <c r="V28" s="242"/>
      <c r="W28" s="242"/>
    </row>
    <row r="29" spans="1:23">
      <c r="A29" s="24" t="s">
        <v>1185</v>
      </c>
      <c r="B29" s="25" t="s">
        <v>73</v>
      </c>
      <c r="C29" s="16" t="s">
        <v>65</v>
      </c>
      <c r="D29" s="238">
        <v>789069</v>
      </c>
      <c r="E29" s="238">
        <v>4192210</v>
      </c>
      <c r="F29" s="230">
        <f t="shared" si="0"/>
        <v>789.22936656460445</v>
      </c>
      <c r="G29" s="227" t="str">
        <f t="shared" si="1"/>
        <v>microH</v>
      </c>
      <c r="H29" s="232">
        <f t="shared" si="2"/>
        <v>4.1925207552784549</v>
      </c>
      <c r="I29" s="243" t="str">
        <f t="shared" si="3"/>
        <v>ohm</v>
      </c>
      <c r="J29" s="151">
        <v>1.5922799999999999</v>
      </c>
      <c r="K29" s="18">
        <v>19.579999999999998</v>
      </c>
      <c r="L29">
        <f t="shared" si="4"/>
        <v>19.549999999999997</v>
      </c>
      <c r="M29" s="237"/>
      <c r="N29" s="150"/>
      <c r="O29" s="150"/>
      <c r="Q29" s="239"/>
      <c r="R29" s="239"/>
      <c r="S29" s="240"/>
      <c r="T29" s="241"/>
    </row>
    <row r="30" spans="1:23">
      <c r="A30" s="24" t="s">
        <v>1185</v>
      </c>
      <c r="B30" s="25" t="s">
        <v>74</v>
      </c>
      <c r="C30" s="16" t="s">
        <v>65</v>
      </c>
      <c r="D30" s="238">
        <v>887314</v>
      </c>
      <c r="E30" s="238">
        <v>4509200</v>
      </c>
      <c r="F30" s="230">
        <f t="shared" si="0"/>
        <v>887.49408433796009</v>
      </c>
      <c r="G30" s="227" t="str">
        <f t="shared" si="1"/>
        <v>microH</v>
      </c>
      <c r="H30" s="232">
        <f t="shared" si="2"/>
        <v>4.5095331184545051</v>
      </c>
      <c r="I30" s="243" t="str">
        <f t="shared" si="3"/>
        <v>ohm</v>
      </c>
      <c r="J30" s="151">
        <v>1.5923400000000001</v>
      </c>
      <c r="K30" s="18">
        <v>19.5</v>
      </c>
      <c r="L30">
        <f t="shared" si="4"/>
        <v>19.47</v>
      </c>
      <c r="M30" s="237"/>
      <c r="N30" s="150"/>
      <c r="O30" s="150"/>
      <c r="Q30" s="239"/>
      <c r="R30" s="239"/>
      <c r="S30" s="240"/>
      <c r="T30" s="241"/>
    </row>
    <row r="31" spans="1:23">
      <c r="A31" s="24" t="s">
        <v>1185</v>
      </c>
      <c r="B31" s="25" t="s">
        <v>75</v>
      </c>
      <c r="C31" s="16" t="s">
        <v>65</v>
      </c>
      <c r="D31" s="238">
        <v>984751</v>
      </c>
      <c r="E31" s="238">
        <v>4815910</v>
      </c>
      <c r="F31" s="230">
        <f t="shared" si="0"/>
        <v>984.95063994570069</v>
      </c>
      <c r="G31" s="227" t="str">
        <f t="shared" si="1"/>
        <v>microH</v>
      </c>
      <c r="H31" s="232">
        <f t="shared" si="2"/>
        <v>4.8162647563917478</v>
      </c>
      <c r="I31" s="243" t="str">
        <f t="shared" si="3"/>
        <v>ohm</v>
      </c>
      <c r="J31" s="151">
        <v>1.5923799999999999</v>
      </c>
      <c r="K31" s="18">
        <v>19.420000000000002</v>
      </c>
      <c r="L31">
        <f t="shared" si="4"/>
        <v>19.39</v>
      </c>
      <c r="M31" s="237"/>
      <c r="N31" s="150"/>
      <c r="O31" s="150"/>
      <c r="Q31" s="239"/>
      <c r="R31" s="239"/>
      <c r="S31" s="240"/>
      <c r="T31" s="241"/>
      <c r="V31" s="242"/>
      <c r="W31" s="242"/>
    </row>
    <row r="32" spans="1:23" ht="13">
      <c r="A32" s="24" t="s">
        <v>1185</v>
      </c>
      <c r="B32" s="235" t="s">
        <v>1186</v>
      </c>
      <c r="C32" s="235" t="s">
        <v>65</v>
      </c>
      <c r="D32" s="229">
        <f>8-10</f>
        <v>-2</v>
      </c>
      <c r="E32" s="229">
        <f>85-100</f>
        <v>-15</v>
      </c>
      <c r="F32" s="244">
        <f t="shared" si="0"/>
        <v>0</v>
      </c>
      <c r="G32" s="227" t="str">
        <f t="shared" si="1"/>
        <v>microH</v>
      </c>
      <c r="H32" s="232">
        <f t="shared" si="2"/>
        <v>0</v>
      </c>
      <c r="I32" s="245" t="str">
        <f t="shared" si="3"/>
        <v>ohm</v>
      </c>
      <c r="J32" s="151">
        <v>1.5916699999999999</v>
      </c>
      <c r="K32" s="18">
        <v>19.690000000000001</v>
      </c>
      <c r="L32">
        <f t="shared" si="4"/>
        <v>19.66</v>
      </c>
      <c r="M32" s="237"/>
      <c r="N32" s="150"/>
      <c r="O32" s="150"/>
      <c r="Q32" s="239"/>
      <c r="R32" s="239"/>
    </row>
    <row r="33" spans="1:14">
      <c r="A33" s="246" t="s">
        <v>1187</v>
      </c>
      <c r="B33" s="25"/>
      <c r="C33" s="16"/>
      <c r="D33" s="229"/>
      <c r="E33" s="229"/>
      <c r="F33" s="244" t="e">
        <f t="shared" si="0"/>
        <v>#N/A</v>
      </c>
      <c r="G33" s="227" t="e">
        <f t="shared" si="1"/>
        <v>#N/A</v>
      </c>
      <c r="H33" s="232" t="e">
        <f t="shared" si="2"/>
        <v>#N/A</v>
      </c>
      <c r="I33" s="243" t="e">
        <f t="shared" si="3"/>
        <v>#N/A</v>
      </c>
      <c r="J33" s="151"/>
      <c r="K33" s="18"/>
      <c r="M33" s="247"/>
      <c r="N33" s="247"/>
    </row>
    <row r="34" spans="1:14">
      <c r="A34" s="246" t="s">
        <v>1187</v>
      </c>
      <c r="B34" s="25"/>
      <c r="C34" s="16"/>
      <c r="D34" s="229"/>
      <c r="E34" s="229"/>
      <c r="F34" s="244" t="e">
        <f t="shared" si="0"/>
        <v>#N/A</v>
      </c>
      <c r="G34" s="227" t="e">
        <f t="shared" si="1"/>
        <v>#N/A</v>
      </c>
      <c r="H34" s="232" t="e">
        <f t="shared" si="2"/>
        <v>#N/A</v>
      </c>
      <c r="I34" s="243" t="e">
        <f t="shared" si="3"/>
        <v>#N/A</v>
      </c>
      <c r="J34" s="151"/>
      <c r="K34" s="18"/>
      <c r="M34" s="247"/>
      <c r="N34" s="247"/>
    </row>
    <row r="35" spans="1:14">
      <c r="A35" s="246" t="s">
        <v>1187</v>
      </c>
      <c r="B35" s="25"/>
      <c r="C35" s="16"/>
      <c r="D35" s="229"/>
      <c r="E35" s="229"/>
      <c r="F35" s="244" t="e">
        <f t="shared" si="0"/>
        <v>#N/A</v>
      </c>
      <c r="G35" s="227" t="e">
        <f t="shared" si="1"/>
        <v>#N/A</v>
      </c>
      <c r="H35" s="232" t="e">
        <f t="shared" si="2"/>
        <v>#N/A</v>
      </c>
      <c r="I35" s="243" t="e">
        <f t="shared" si="3"/>
        <v>#N/A</v>
      </c>
      <c r="J35" s="151"/>
      <c r="K35" s="18"/>
      <c r="M35" s="247"/>
      <c r="N35" s="247"/>
    </row>
    <row r="36" spans="1:14">
      <c r="A36" s="246" t="s">
        <v>1187</v>
      </c>
      <c r="B36" s="25"/>
      <c r="C36" s="16"/>
      <c r="D36" s="229"/>
      <c r="E36" s="229"/>
      <c r="F36" s="244" t="e">
        <f t="shared" si="0"/>
        <v>#N/A</v>
      </c>
      <c r="G36" s="227" t="e">
        <f t="shared" si="1"/>
        <v>#N/A</v>
      </c>
      <c r="H36" s="232" t="e">
        <f t="shared" si="2"/>
        <v>#N/A</v>
      </c>
      <c r="I36" s="243" t="e">
        <f t="shared" si="3"/>
        <v>#N/A</v>
      </c>
      <c r="J36" s="151"/>
      <c r="K36" s="18"/>
      <c r="M36" s="247"/>
      <c r="N36" s="247"/>
    </row>
    <row r="37" spans="1:14">
      <c r="A37" s="246" t="s">
        <v>1187</v>
      </c>
      <c r="B37" s="25"/>
      <c r="C37" s="16"/>
      <c r="D37" s="229"/>
      <c r="E37" s="229"/>
      <c r="F37" s="244" t="e">
        <f t="shared" si="0"/>
        <v>#N/A</v>
      </c>
      <c r="G37" s="227" t="e">
        <f t="shared" si="1"/>
        <v>#N/A</v>
      </c>
      <c r="H37" s="232" t="e">
        <f t="shared" si="2"/>
        <v>#N/A</v>
      </c>
      <c r="I37" s="243" t="e">
        <f t="shared" si="3"/>
        <v>#N/A</v>
      </c>
      <c r="J37" s="151"/>
      <c r="K37" s="18"/>
      <c r="M37" s="247"/>
      <c r="N37" s="247"/>
    </row>
    <row r="38" spans="1:14">
      <c r="A38" s="246" t="s">
        <v>1187</v>
      </c>
      <c r="B38" s="25"/>
      <c r="C38" s="16"/>
      <c r="D38" s="229"/>
      <c r="E38" s="229"/>
      <c r="F38" s="244" t="e">
        <f t="shared" si="0"/>
        <v>#N/A</v>
      </c>
      <c r="G38" s="227" t="e">
        <f t="shared" si="1"/>
        <v>#N/A</v>
      </c>
      <c r="H38" s="232" t="e">
        <f t="shared" si="2"/>
        <v>#N/A</v>
      </c>
      <c r="I38" s="243" t="e">
        <f t="shared" si="3"/>
        <v>#N/A</v>
      </c>
      <c r="J38" s="151"/>
      <c r="K38" s="18"/>
      <c r="M38" s="247"/>
      <c r="N38" s="247"/>
    </row>
    <row r="39" spans="1:14">
      <c r="A39" s="246" t="s">
        <v>1187</v>
      </c>
      <c r="B39" s="25"/>
      <c r="C39" s="16"/>
      <c r="D39" s="229"/>
      <c r="E39" s="229"/>
      <c r="F39" s="244" t="e">
        <f t="shared" si="0"/>
        <v>#N/A</v>
      </c>
      <c r="G39" s="227" t="e">
        <f t="shared" si="1"/>
        <v>#N/A</v>
      </c>
      <c r="H39" s="232" t="e">
        <f t="shared" si="2"/>
        <v>#N/A</v>
      </c>
      <c r="I39" s="243" t="e">
        <f t="shared" si="3"/>
        <v>#N/A</v>
      </c>
      <c r="J39" s="151"/>
      <c r="K39" s="18"/>
      <c r="M39" s="247"/>
      <c r="N39" s="247"/>
    </row>
    <row r="40" spans="1:14">
      <c r="A40" s="246" t="s">
        <v>1187</v>
      </c>
      <c r="B40" s="25"/>
      <c r="C40" s="16"/>
      <c r="D40" s="229"/>
      <c r="E40" s="229"/>
      <c r="F40" s="244" t="e">
        <f t="shared" si="0"/>
        <v>#N/A</v>
      </c>
      <c r="G40" s="227" t="e">
        <f t="shared" si="1"/>
        <v>#N/A</v>
      </c>
      <c r="H40" s="232" t="e">
        <f t="shared" si="2"/>
        <v>#N/A</v>
      </c>
      <c r="I40" s="243" t="e">
        <f t="shared" si="3"/>
        <v>#N/A</v>
      </c>
      <c r="J40" s="151"/>
      <c r="K40" s="18"/>
      <c r="M40" s="247"/>
      <c r="N40" s="247"/>
    </row>
    <row r="41" spans="1:14">
      <c r="A41" s="246" t="s">
        <v>1187</v>
      </c>
      <c r="B41" s="25"/>
      <c r="C41" s="16"/>
      <c r="D41" s="229"/>
      <c r="E41" s="229"/>
      <c r="F41" s="244" t="e">
        <f t="shared" si="0"/>
        <v>#N/A</v>
      </c>
      <c r="G41" s="227" t="e">
        <f t="shared" si="1"/>
        <v>#N/A</v>
      </c>
      <c r="H41" s="232" t="e">
        <f t="shared" si="2"/>
        <v>#N/A</v>
      </c>
      <c r="I41" s="243" t="e">
        <f t="shared" si="3"/>
        <v>#N/A</v>
      </c>
      <c r="J41" s="151"/>
      <c r="K41" s="18"/>
      <c r="M41" s="247"/>
      <c r="N41" s="247"/>
    </row>
    <row r="42" spans="1:14">
      <c r="A42" s="246" t="s">
        <v>1187</v>
      </c>
      <c r="B42" s="25"/>
      <c r="C42" s="16"/>
      <c r="D42" s="229"/>
      <c r="E42" s="229"/>
      <c r="F42" s="244" t="e">
        <f t="shared" si="0"/>
        <v>#N/A</v>
      </c>
      <c r="G42" s="227" t="e">
        <f t="shared" si="1"/>
        <v>#N/A</v>
      </c>
      <c r="H42" s="232" t="e">
        <f t="shared" si="2"/>
        <v>#N/A</v>
      </c>
      <c r="I42" s="243" t="e">
        <f t="shared" si="3"/>
        <v>#N/A</v>
      </c>
      <c r="J42" s="151"/>
      <c r="K42" s="18"/>
      <c r="M42" s="247"/>
      <c r="N42" s="247"/>
    </row>
    <row r="43" spans="1:14">
      <c r="A43" s="246" t="s">
        <v>1187</v>
      </c>
      <c r="B43" s="235"/>
      <c r="C43" s="235"/>
      <c r="D43" s="229"/>
      <c r="E43" s="229"/>
      <c r="F43" s="244" t="e">
        <f t="shared" ref="F43:F74" si="5">(alpha-VLOOKUP(Range,zeros,2,FALSE()))*(1+VLOOKUP(Range,corrections,2,FALSE())*0.000001)*VLOOKUP(Range,multiplier,2,FALSE())</f>
        <v>#N/A</v>
      </c>
      <c r="G43" s="227" t="e">
        <f t="shared" ref="G43:G74" si="6">VLOOKUP(Range,multiplier,3,FALSE())</f>
        <v>#N/A</v>
      </c>
      <c r="H43" s="232" t="e">
        <f t="shared" ref="H43:H74" si="7">(beta-VLOOKUP(Range,zeros,3,FALSE()))*(1+VLOOKUP(Range,corrections,3,FALSE())*0.000001)*VLOOKUP(Range,multiplier,5,FALSE())</f>
        <v>#N/A</v>
      </c>
      <c r="I43" s="243" t="e">
        <f t="shared" ref="I43:I74" si="8">VLOOKUP(Range,multiplier,6,FALSE())</f>
        <v>#N/A</v>
      </c>
      <c r="J43" s="151"/>
      <c r="K43" s="18"/>
      <c r="M43" s="247"/>
      <c r="N43" s="247"/>
    </row>
    <row r="44" spans="1:14">
      <c r="A44" s="246" t="s">
        <v>1188</v>
      </c>
      <c r="B44" s="235"/>
      <c r="C44" s="235"/>
      <c r="D44" s="229"/>
      <c r="E44" s="229"/>
      <c r="F44" s="244" t="e">
        <f t="shared" si="5"/>
        <v>#N/A</v>
      </c>
      <c r="G44" s="227" t="e">
        <f t="shared" si="6"/>
        <v>#N/A</v>
      </c>
      <c r="H44" s="232" t="e">
        <f t="shared" si="7"/>
        <v>#N/A</v>
      </c>
      <c r="I44" s="243" t="e">
        <f t="shared" si="8"/>
        <v>#N/A</v>
      </c>
      <c r="J44" s="151"/>
      <c r="K44" s="18"/>
      <c r="M44" s="247"/>
      <c r="N44" s="247"/>
    </row>
    <row r="45" spans="1:14">
      <c r="A45" s="246" t="s">
        <v>1188</v>
      </c>
      <c r="B45" s="25"/>
      <c r="C45" s="16"/>
      <c r="D45" s="229"/>
      <c r="E45" s="229"/>
      <c r="F45" s="244" t="e">
        <f t="shared" si="5"/>
        <v>#N/A</v>
      </c>
      <c r="G45" s="227" t="e">
        <f t="shared" si="6"/>
        <v>#N/A</v>
      </c>
      <c r="H45" s="232" t="e">
        <f t="shared" si="7"/>
        <v>#N/A</v>
      </c>
      <c r="I45" s="243" t="e">
        <f t="shared" si="8"/>
        <v>#N/A</v>
      </c>
      <c r="J45" s="151"/>
      <c r="K45" s="18"/>
      <c r="M45" s="247"/>
      <c r="N45" s="247"/>
    </row>
    <row r="46" spans="1:14">
      <c r="A46" s="246" t="s">
        <v>1188</v>
      </c>
      <c r="B46" s="25"/>
      <c r="C46" s="16"/>
      <c r="D46" s="229"/>
      <c r="E46" s="229"/>
      <c r="F46" s="244" t="e">
        <f t="shared" si="5"/>
        <v>#N/A</v>
      </c>
      <c r="G46" s="227" t="e">
        <f t="shared" si="6"/>
        <v>#N/A</v>
      </c>
      <c r="H46" s="232" t="e">
        <f t="shared" si="7"/>
        <v>#N/A</v>
      </c>
      <c r="I46" s="227" t="e">
        <f t="shared" si="8"/>
        <v>#N/A</v>
      </c>
      <c r="J46" s="151"/>
      <c r="K46" s="18"/>
      <c r="M46" s="247"/>
      <c r="N46" s="247"/>
    </row>
    <row r="47" spans="1:14">
      <c r="A47" s="246" t="s">
        <v>1188</v>
      </c>
      <c r="B47" s="25"/>
      <c r="C47" s="16"/>
      <c r="D47" s="229"/>
      <c r="E47" s="229"/>
      <c r="F47" s="244" t="e">
        <f t="shared" si="5"/>
        <v>#N/A</v>
      </c>
      <c r="G47" s="227" t="e">
        <f t="shared" si="6"/>
        <v>#N/A</v>
      </c>
      <c r="H47" s="232" t="e">
        <f t="shared" si="7"/>
        <v>#N/A</v>
      </c>
      <c r="I47" s="243" t="e">
        <f t="shared" si="8"/>
        <v>#N/A</v>
      </c>
      <c r="J47" s="151"/>
      <c r="K47" s="18"/>
      <c r="M47" s="247"/>
      <c r="N47" s="247"/>
    </row>
    <row r="48" spans="1:14">
      <c r="A48" s="246" t="s">
        <v>1188</v>
      </c>
      <c r="B48" s="25"/>
      <c r="C48" s="16"/>
      <c r="D48" s="229"/>
      <c r="E48" s="229"/>
      <c r="F48" s="244" t="e">
        <f t="shared" si="5"/>
        <v>#N/A</v>
      </c>
      <c r="G48" s="227" t="e">
        <f t="shared" si="6"/>
        <v>#N/A</v>
      </c>
      <c r="H48" s="232" t="e">
        <f t="shared" si="7"/>
        <v>#N/A</v>
      </c>
      <c r="I48" s="243" t="e">
        <f t="shared" si="8"/>
        <v>#N/A</v>
      </c>
      <c r="J48" s="151"/>
      <c r="K48" s="18"/>
      <c r="M48" s="247"/>
      <c r="N48" s="247"/>
    </row>
    <row r="49" spans="1:20">
      <c r="A49" s="246" t="s">
        <v>1188</v>
      </c>
      <c r="B49" s="25"/>
      <c r="C49" s="16"/>
      <c r="D49" s="229"/>
      <c r="E49" s="229"/>
      <c r="F49" s="244" t="e">
        <f t="shared" si="5"/>
        <v>#N/A</v>
      </c>
      <c r="G49" s="227" t="e">
        <f t="shared" si="6"/>
        <v>#N/A</v>
      </c>
      <c r="H49" s="232" t="e">
        <f t="shared" si="7"/>
        <v>#N/A</v>
      </c>
      <c r="I49" s="243" t="e">
        <f t="shared" si="8"/>
        <v>#N/A</v>
      </c>
      <c r="J49" s="151"/>
      <c r="K49" s="18"/>
      <c r="M49" s="247"/>
      <c r="N49" s="247"/>
    </row>
    <row r="50" spans="1:20">
      <c r="A50" s="246" t="s">
        <v>1188</v>
      </c>
      <c r="B50" s="25"/>
      <c r="C50" s="16"/>
      <c r="D50" s="229"/>
      <c r="E50" s="229"/>
      <c r="F50" s="244" t="e">
        <f t="shared" si="5"/>
        <v>#N/A</v>
      </c>
      <c r="G50" s="227" t="e">
        <f t="shared" si="6"/>
        <v>#N/A</v>
      </c>
      <c r="H50" s="232" t="e">
        <f t="shared" si="7"/>
        <v>#N/A</v>
      </c>
      <c r="I50" s="227" t="e">
        <f t="shared" si="8"/>
        <v>#N/A</v>
      </c>
      <c r="J50" s="151"/>
      <c r="K50" s="18"/>
      <c r="M50" s="247"/>
      <c r="N50" s="247"/>
    </row>
    <row r="51" spans="1:20">
      <c r="A51" s="246" t="s">
        <v>1188</v>
      </c>
      <c r="B51" s="25"/>
      <c r="C51" s="16"/>
      <c r="D51" s="229"/>
      <c r="E51" s="229"/>
      <c r="F51" s="244" t="e">
        <f t="shared" si="5"/>
        <v>#N/A</v>
      </c>
      <c r="G51" s="227" t="e">
        <f t="shared" si="6"/>
        <v>#N/A</v>
      </c>
      <c r="H51" s="248" t="e">
        <f t="shared" si="7"/>
        <v>#N/A</v>
      </c>
      <c r="I51" s="243" t="e">
        <f t="shared" si="8"/>
        <v>#N/A</v>
      </c>
      <c r="J51" s="151"/>
      <c r="K51" s="18"/>
      <c r="M51" s="247"/>
      <c r="N51" s="247"/>
    </row>
    <row r="52" spans="1:20">
      <c r="A52" s="246" t="s">
        <v>1188</v>
      </c>
      <c r="B52" s="25"/>
      <c r="C52" s="16"/>
      <c r="D52" s="229"/>
      <c r="E52" s="229"/>
      <c r="F52" s="244" t="e">
        <f t="shared" si="5"/>
        <v>#N/A</v>
      </c>
      <c r="G52" s="227" t="e">
        <f t="shared" si="6"/>
        <v>#N/A</v>
      </c>
      <c r="H52" s="248" t="e">
        <f t="shared" si="7"/>
        <v>#N/A</v>
      </c>
      <c r="I52" s="243" t="e">
        <f t="shared" si="8"/>
        <v>#N/A</v>
      </c>
      <c r="J52" s="151"/>
      <c r="K52" s="18"/>
      <c r="M52" s="247"/>
      <c r="N52" s="247"/>
    </row>
    <row r="53" spans="1:20">
      <c r="A53" s="246" t="s">
        <v>1188</v>
      </c>
      <c r="B53" s="25"/>
      <c r="C53" s="16"/>
      <c r="D53" s="229"/>
      <c r="E53" s="229"/>
      <c r="F53" s="244" t="e">
        <f t="shared" si="5"/>
        <v>#N/A</v>
      </c>
      <c r="G53" s="227" t="e">
        <f t="shared" si="6"/>
        <v>#N/A</v>
      </c>
      <c r="H53" s="248" t="e">
        <f t="shared" si="7"/>
        <v>#N/A</v>
      </c>
      <c r="I53" s="243" t="e">
        <f t="shared" si="8"/>
        <v>#N/A</v>
      </c>
      <c r="J53" s="151"/>
      <c r="K53" s="18"/>
      <c r="M53" s="247"/>
      <c r="N53" s="247"/>
    </row>
    <row r="54" spans="1:20">
      <c r="A54" s="246" t="s">
        <v>1188</v>
      </c>
      <c r="B54" s="25"/>
      <c r="C54" s="16"/>
      <c r="D54" s="229"/>
      <c r="E54" s="229"/>
      <c r="F54" s="244" t="e">
        <f t="shared" si="5"/>
        <v>#N/A</v>
      </c>
      <c r="G54" s="227" t="e">
        <f t="shared" si="6"/>
        <v>#N/A</v>
      </c>
      <c r="H54" s="248" t="e">
        <f t="shared" si="7"/>
        <v>#N/A</v>
      </c>
      <c r="I54" s="243" t="e">
        <f t="shared" si="8"/>
        <v>#N/A</v>
      </c>
      <c r="J54" s="151"/>
      <c r="K54" s="18"/>
      <c r="M54" s="247"/>
      <c r="N54" s="247"/>
    </row>
    <row r="55" spans="1:20">
      <c r="A55" s="246"/>
      <c r="B55" s="235"/>
      <c r="C55" s="235"/>
      <c r="D55" s="229"/>
      <c r="E55" s="229"/>
      <c r="F55" s="244" t="e">
        <f t="shared" si="5"/>
        <v>#N/A</v>
      </c>
      <c r="G55" s="227" t="e">
        <f t="shared" si="6"/>
        <v>#N/A</v>
      </c>
      <c r="H55" s="248" t="e">
        <f t="shared" si="7"/>
        <v>#N/A</v>
      </c>
      <c r="I55" s="243" t="e">
        <f t="shared" si="8"/>
        <v>#N/A</v>
      </c>
      <c r="J55" s="151"/>
      <c r="K55" s="18"/>
    </row>
    <row r="56" spans="1:20">
      <c r="A56" s="246" t="s">
        <v>1189</v>
      </c>
      <c r="B56" s="25"/>
      <c r="C56" s="16"/>
      <c r="D56" s="229"/>
      <c r="E56" s="229"/>
      <c r="F56" s="244" t="e">
        <f t="shared" si="5"/>
        <v>#N/A</v>
      </c>
      <c r="G56" s="227" t="e">
        <f t="shared" si="6"/>
        <v>#N/A</v>
      </c>
      <c r="H56" s="248" t="e">
        <f t="shared" si="7"/>
        <v>#N/A</v>
      </c>
      <c r="I56" s="243" t="e">
        <f t="shared" si="8"/>
        <v>#N/A</v>
      </c>
      <c r="J56" s="151"/>
      <c r="K56" s="18"/>
      <c r="M56" s="237"/>
      <c r="N56" s="150"/>
      <c r="O56" s="150"/>
      <c r="P56" s="150"/>
      <c r="Q56" s="239"/>
      <c r="R56" s="239"/>
      <c r="S56" s="240"/>
      <c r="T56" s="241"/>
    </row>
    <row r="57" spans="1:20">
      <c r="A57" s="246" t="s">
        <v>1189</v>
      </c>
      <c r="B57" s="25"/>
      <c r="C57" s="16"/>
      <c r="D57" s="229"/>
      <c r="E57" s="229"/>
      <c r="F57" s="230" t="e">
        <f t="shared" si="5"/>
        <v>#N/A</v>
      </c>
      <c r="G57" s="227" t="e">
        <f t="shared" si="6"/>
        <v>#N/A</v>
      </c>
      <c r="H57" s="248" t="e">
        <f t="shared" si="7"/>
        <v>#N/A</v>
      </c>
      <c r="I57" s="243" t="e">
        <f t="shared" si="8"/>
        <v>#N/A</v>
      </c>
      <c r="J57" s="151"/>
      <c r="K57" s="18"/>
      <c r="M57" s="237"/>
      <c r="N57" s="150"/>
      <c r="O57" s="150"/>
      <c r="P57" s="150"/>
      <c r="Q57" s="239"/>
      <c r="R57" s="239"/>
      <c r="S57" s="240"/>
      <c r="T57" s="241"/>
    </row>
    <row r="58" spans="1:20">
      <c r="A58" s="246" t="s">
        <v>1189</v>
      </c>
      <c r="B58" s="25"/>
      <c r="C58" s="16"/>
      <c r="D58" s="229"/>
      <c r="E58" s="229"/>
      <c r="F58" s="244" t="e">
        <f t="shared" si="5"/>
        <v>#N/A</v>
      </c>
      <c r="G58" s="227" t="e">
        <f t="shared" si="6"/>
        <v>#N/A</v>
      </c>
      <c r="H58" s="248" t="e">
        <f t="shared" si="7"/>
        <v>#N/A</v>
      </c>
      <c r="I58" s="243" t="e">
        <f t="shared" si="8"/>
        <v>#N/A</v>
      </c>
      <c r="J58" s="151"/>
      <c r="K58" s="18"/>
      <c r="M58" s="237"/>
      <c r="N58" s="150"/>
      <c r="O58" s="150"/>
      <c r="P58" s="150"/>
      <c r="Q58" s="239"/>
      <c r="R58" s="239"/>
      <c r="S58" s="240"/>
      <c r="T58" s="241"/>
    </row>
    <row r="59" spans="1:20">
      <c r="A59" s="246" t="s">
        <v>1189</v>
      </c>
      <c r="B59" s="25"/>
      <c r="C59" s="16"/>
      <c r="D59" s="229"/>
      <c r="E59" s="229"/>
      <c r="F59" s="244" t="e">
        <f t="shared" si="5"/>
        <v>#N/A</v>
      </c>
      <c r="G59" s="227" t="e">
        <f t="shared" si="6"/>
        <v>#N/A</v>
      </c>
      <c r="H59" s="248" t="e">
        <f t="shared" si="7"/>
        <v>#N/A</v>
      </c>
      <c r="I59" s="243" t="e">
        <f t="shared" si="8"/>
        <v>#N/A</v>
      </c>
      <c r="J59" s="151"/>
      <c r="K59" s="18"/>
      <c r="M59" s="237"/>
      <c r="N59" s="150"/>
      <c r="O59" s="150"/>
      <c r="P59" s="150"/>
      <c r="Q59" s="239"/>
      <c r="R59" s="239"/>
      <c r="S59" s="240"/>
      <c r="T59" s="241"/>
    </row>
    <row r="60" spans="1:20">
      <c r="A60" s="246" t="s">
        <v>1189</v>
      </c>
      <c r="B60" s="25"/>
      <c r="C60" s="16"/>
      <c r="D60" s="229"/>
      <c r="E60" s="229"/>
      <c r="F60" s="244" t="e">
        <f t="shared" si="5"/>
        <v>#N/A</v>
      </c>
      <c r="G60" s="227" t="e">
        <f t="shared" si="6"/>
        <v>#N/A</v>
      </c>
      <c r="H60" s="248" t="e">
        <f t="shared" si="7"/>
        <v>#N/A</v>
      </c>
      <c r="I60" s="243" t="e">
        <f t="shared" si="8"/>
        <v>#N/A</v>
      </c>
      <c r="J60" s="151"/>
      <c r="K60" s="18"/>
      <c r="M60" s="237"/>
      <c r="N60" s="150"/>
      <c r="O60" s="150"/>
      <c r="P60" s="150"/>
      <c r="Q60" s="239"/>
      <c r="R60" s="239"/>
      <c r="S60" s="240"/>
      <c r="T60" s="241"/>
    </row>
    <row r="61" spans="1:20">
      <c r="A61" s="246" t="s">
        <v>1189</v>
      </c>
      <c r="B61" s="25"/>
      <c r="C61" s="16"/>
      <c r="D61" s="229"/>
      <c r="E61" s="229"/>
      <c r="F61" s="244" t="e">
        <f t="shared" si="5"/>
        <v>#N/A</v>
      </c>
      <c r="G61" s="227" t="e">
        <f t="shared" si="6"/>
        <v>#N/A</v>
      </c>
      <c r="H61" s="248" t="e">
        <f t="shared" si="7"/>
        <v>#N/A</v>
      </c>
      <c r="I61" s="243" t="e">
        <f t="shared" si="8"/>
        <v>#N/A</v>
      </c>
      <c r="J61" s="151"/>
      <c r="K61" s="18"/>
      <c r="M61" s="237"/>
      <c r="N61" s="150"/>
      <c r="O61" s="150"/>
      <c r="P61" s="150"/>
      <c r="Q61" s="239"/>
      <c r="R61" s="239"/>
      <c r="S61" s="240"/>
      <c r="T61" s="241"/>
    </row>
    <row r="62" spans="1:20">
      <c r="A62" s="246" t="s">
        <v>1189</v>
      </c>
      <c r="B62" s="25"/>
      <c r="C62" s="16"/>
      <c r="D62" s="229"/>
      <c r="E62" s="229"/>
      <c r="F62" s="244" t="e">
        <f t="shared" si="5"/>
        <v>#N/A</v>
      </c>
      <c r="G62" s="227" t="e">
        <f t="shared" si="6"/>
        <v>#N/A</v>
      </c>
      <c r="H62" s="248" t="e">
        <f t="shared" si="7"/>
        <v>#N/A</v>
      </c>
      <c r="I62" s="243" t="e">
        <f t="shared" si="8"/>
        <v>#N/A</v>
      </c>
      <c r="J62" s="151"/>
      <c r="K62" s="18"/>
      <c r="M62" s="237"/>
      <c r="N62" s="150"/>
      <c r="O62" s="150"/>
      <c r="P62" s="150"/>
      <c r="Q62" s="239"/>
      <c r="R62" s="239"/>
      <c r="S62" s="240"/>
      <c r="T62" s="241"/>
    </row>
    <row r="63" spans="1:20">
      <c r="A63" s="246" t="s">
        <v>1189</v>
      </c>
      <c r="B63" s="25"/>
      <c r="C63" s="16"/>
      <c r="D63" s="229"/>
      <c r="E63" s="229"/>
      <c r="F63" s="244" t="e">
        <f t="shared" si="5"/>
        <v>#N/A</v>
      </c>
      <c r="G63" s="227" t="e">
        <f t="shared" si="6"/>
        <v>#N/A</v>
      </c>
      <c r="H63" s="248" t="e">
        <f t="shared" si="7"/>
        <v>#N/A</v>
      </c>
      <c r="I63" s="243" t="e">
        <f t="shared" si="8"/>
        <v>#N/A</v>
      </c>
      <c r="J63" s="151"/>
      <c r="K63" s="18"/>
      <c r="M63" s="237"/>
      <c r="N63" s="150"/>
      <c r="O63" s="150"/>
      <c r="P63" s="150"/>
      <c r="Q63" s="239"/>
      <c r="R63" s="239"/>
      <c r="S63" s="240"/>
      <c r="T63" s="241"/>
    </row>
    <row r="64" spans="1:20">
      <c r="A64" s="246" t="s">
        <v>1189</v>
      </c>
      <c r="B64" s="25"/>
      <c r="C64" s="16"/>
      <c r="D64" s="229"/>
      <c r="E64" s="229"/>
      <c r="F64" s="244" t="e">
        <f t="shared" si="5"/>
        <v>#N/A</v>
      </c>
      <c r="G64" s="227" t="e">
        <f t="shared" si="6"/>
        <v>#N/A</v>
      </c>
      <c r="H64" s="248" t="e">
        <f t="shared" si="7"/>
        <v>#N/A</v>
      </c>
      <c r="I64" s="243" t="e">
        <f t="shared" si="8"/>
        <v>#N/A</v>
      </c>
      <c r="J64" s="151"/>
      <c r="K64" s="18"/>
      <c r="M64" s="237"/>
      <c r="N64" s="150"/>
    </row>
    <row r="65" spans="1:20">
      <c r="A65" s="246" t="s">
        <v>1189</v>
      </c>
      <c r="B65" s="25"/>
      <c r="C65" s="16"/>
      <c r="D65" s="229"/>
      <c r="E65" s="229"/>
      <c r="F65" s="244" t="e">
        <f t="shared" si="5"/>
        <v>#N/A</v>
      </c>
      <c r="G65" s="231" t="e">
        <f t="shared" si="6"/>
        <v>#N/A</v>
      </c>
      <c r="H65" s="248" t="e">
        <f t="shared" si="7"/>
        <v>#N/A</v>
      </c>
      <c r="I65" s="233" t="e">
        <f t="shared" si="8"/>
        <v>#N/A</v>
      </c>
      <c r="J65" s="151"/>
      <c r="K65" s="18"/>
      <c r="M65" s="237"/>
      <c r="N65" s="150"/>
    </row>
    <row r="66" spans="1:20">
      <c r="A66" s="246" t="s">
        <v>1189</v>
      </c>
      <c r="B66" s="235"/>
      <c r="C66" s="235"/>
      <c r="D66" s="229"/>
      <c r="E66" s="229"/>
      <c r="F66" s="244" t="e">
        <f t="shared" si="5"/>
        <v>#N/A</v>
      </c>
      <c r="G66" s="231" t="e">
        <f t="shared" si="6"/>
        <v>#N/A</v>
      </c>
      <c r="H66" s="248" t="e">
        <f t="shared" si="7"/>
        <v>#N/A</v>
      </c>
      <c r="I66" s="233" t="e">
        <f t="shared" si="8"/>
        <v>#N/A</v>
      </c>
      <c r="J66" s="151"/>
      <c r="K66" s="18"/>
      <c r="M66" s="237"/>
      <c r="N66" s="150"/>
    </row>
    <row r="67" spans="1:20" ht="13">
      <c r="A67" s="234" t="s">
        <v>1190</v>
      </c>
      <c r="B67" s="235"/>
      <c r="C67" s="235"/>
      <c r="D67" s="229"/>
      <c r="E67" s="229"/>
      <c r="F67" s="230" t="e">
        <f t="shared" si="5"/>
        <v>#N/A</v>
      </c>
      <c r="G67" s="231" t="e">
        <f t="shared" si="6"/>
        <v>#N/A</v>
      </c>
      <c r="H67" s="232" t="e">
        <f t="shared" si="7"/>
        <v>#N/A</v>
      </c>
      <c r="I67" s="249" t="e">
        <f t="shared" si="8"/>
        <v>#N/A</v>
      </c>
      <c r="J67" s="151"/>
      <c r="K67" s="18"/>
    </row>
    <row r="68" spans="1:20" ht="13">
      <c r="A68" s="24" t="s">
        <v>1190</v>
      </c>
      <c r="B68" s="25"/>
      <c r="C68" s="16"/>
      <c r="D68" s="238"/>
      <c r="E68" s="238"/>
      <c r="F68" s="230" t="e">
        <f t="shared" si="5"/>
        <v>#N/A</v>
      </c>
      <c r="G68" s="227" t="e">
        <f t="shared" si="6"/>
        <v>#N/A</v>
      </c>
      <c r="H68" s="232" t="e">
        <f t="shared" si="7"/>
        <v>#N/A</v>
      </c>
      <c r="I68" s="245" t="e">
        <f t="shared" si="8"/>
        <v>#N/A</v>
      </c>
      <c r="J68" s="151"/>
      <c r="K68" s="18"/>
      <c r="M68" s="236"/>
      <c r="N68" s="236"/>
      <c r="O68" s="150"/>
      <c r="P68" s="150"/>
      <c r="Q68" s="239"/>
      <c r="R68" s="239"/>
      <c r="S68" s="240"/>
      <c r="T68" s="241"/>
    </row>
    <row r="69" spans="1:20" ht="13">
      <c r="A69" s="24" t="s">
        <v>1190</v>
      </c>
      <c r="B69" s="25"/>
      <c r="C69" s="16"/>
      <c r="D69" s="238"/>
      <c r="E69" s="238"/>
      <c r="F69" s="230" t="e">
        <f t="shared" si="5"/>
        <v>#N/A</v>
      </c>
      <c r="G69" s="227" t="e">
        <f t="shared" si="6"/>
        <v>#N/A</v>
      </c>
      <c r="H69" s="232" t="e">
        <f t="shared" si="7"/>
        <v>#N/A</v>
      </c>
      <c r="I69" s="245" t="e">
        <f t="shared" si="8"/>
        <v>#N/A</v>
      </c>
      <c r="J69" s="151"/>
      <c r="K69" s="18"/>
      <c r="M69" s="236"/>
      <c r="N69" s="236"/>
      <c r="O69" s="150"/>
      <c r="P69" s="150"/>
      <c r="Q69" s="239"/>
      <c r="R69" s="239"/>
      <c r="S69" s="240"/>
      <c r="T69" s="241"/>
    </row>
    <row r="70" spans="1:20" ht="13">
      <c r="A70" s="24" t="s">
        <v>1190</v>
      </c>
      <c r="B70" s="25"/>
      <c r="C70" s="16"/>
      <c r="D70" s="238"/>
      <c r="E70" s="238"/>
      <c r="F70" s="230" t="e">
        <f t="shared" si="5"/>
        <v>#N/A</v>
      </c>
      <c r="G70" s="227" t="e">
        <f t="shared" si="6"/>
        <v>#N/A</v>
      </c>
      <c r="H70" s="232" t="e">
        <f t="shared" si="7"/>
        <v>#N/A</v>
      </c>
      <c r="I70" s="245" t="e">
        <f t="shared" si="8"/>
        <v>#N/A</v>
      </c>
      <c r="J70" s="151"/>
      <c r="K70" s="18"/>
      <c r="M70" s="236"/>
      <c r="N70" s="236"/>
      <c r="O70" s="150"/>
      <c r="P70" s="150"/>
      <c r="Q70" s="239"/>
      <c r="R70" s="239"/>
      <c r="S70" s="240"/>
      <c r="T70" s="241"/>
    </row>
    <row r="71" spans="1:20" ht="13">
      <c r="A71" s="24" t="s">
        <v>1190</v>
      </c>
      <c r="B71" s="25"/>
      <c r="C71" s="16"/>
      <c r="D71" s="238"/>
      <c r="E71" s="238"/>
      <c r="F71" s="230" t="e">
        <f t="shared" si="5"/>
        <v>#N/A</v>
      </c>
      <c r="G71" s="227" t="e">
        <f t="shared" si="6"/>
        <v>#N/A</v>
      </c>
      <c r="H71" s="232" t="e">
        <f t="shared" si="7"/>
        <v>#N/A</v>
      </c>
      <c r="I71" s="245" t="e">
        <f t="shared" si="8"/>
        <v>#N/A</v>
      </c>
      <c r="J71" s="151"/>
      <c r="K71" s="18"/>
      <c r="M71" s="236"/>
      <c r="N71" s="236"/>
      <c r="O71" s="150"/>
      <c r="P71" s="150"/>
      <c r="Q71" s="239"/>
      <c r="R71" s="239"/>
      <c r="S71" s="240"/>
      <c r="T71" s="241"/>
    </row>
    <row r="72" spans="1:20" ht="13">
      <c r="A72" s="24" t="s">
        <v>1190</v>
      </c>
      <c r="B72" s="25"/>
      <c r="C72" s="16"/>
      <c r="D72" s="238"/>
      <c r="E72" s="238"/>
      <c r="F72" s="230" t="e">
        <f t="shared" si="5"/>
        <v>#N/A</v>
      </c>
      <c r="G72" s="227" t="e">
        <f t="shared" si="6"/>
        <v>#N/A</v>
      </c>
      <c r="H72" s="232" t="e">
        <f t="shared" si="7"/>
        <v>#N/A</v>
      </c>
      <c r="I72" s="245" t="e">
        <f t="shared" si="8"/>
        <v>#N/A</v>
      </c>
      <c r="J72" s="151"/>
      <c r="K72" s="18"/>
      <c r="M72" s="236"/>
      <c r="N72" s="236"/>
      <c r="O72" s="150"/>
      <c r="P72" s="150"/>
      <c r="Q72" s="239"/>
      <c r="R72" s="239"/>
      <c r="S72" s="240"/>
      <c r="T72" s="241"/>
    </row>
    <row r="73" spans="1:20" ht="13">
      <c r="A73" s="24" t="s">
        <v>1190</v>
      </c>
      <c r="B73" s="25"/>
      <c r="C73" s="16"/>
      <c r="D73" s="238"/>
      <c r="E73" s="238"/>
      <c r="F73" s="230" t="e">
        <f t="shared" si="5"/>
        <v>#N/A</v>
      </c>
      <c r="G73" s="227" t="e">
        <f t="shared" si="6"/>
        <v>#N/A</v>
      </c>
      <c r="H73" s="232" t="e">
        <f t="shared" si="7"/>
        <v>#N/A</v>
      </c>
      <c r="I73" s="245" t="e">
        <f t="shared" si="8"/>
        <v>#N/A</v>
      </c>
      <c r="J73" s="151"/>
      <c r="K73" s="18"/>
      <c r="M73" s="236"/>
      <c r="N73" s="236"/>
      <c r="O73" s="150"/>
      <c r="P73" s="150"/>
      <c r="Q73" s="239"/>
      <c r="R73" s="239"/>
      <c r="S73" s="240"/>
      <c r="T73" s="241"/>
    </row>
    <row r="74" spans="1:20" ht="13">
      <c r="A74" s="24" t="s">
        <v>1190</v>
      </c>
      <c r="B74" s="25"/>
      <c r="C74" s="16"/>
      <c r="D74" s="238"/>
      <c r="E74" s="238"/>
      <c r="F74" s="230" t="e">
        <f t="shared" si="5"/>
        <v>#N/A</v>
      </c>
      <c r="G74" s="227" t="e">
        <f t="shared" si="6"/>
        <v>#N/A</v>
      </c>
      <c r="H74" s="232" t="e">
        <f t="shared" si="7"/>
        <v>#N/A</v>
      </c>
      <c r="I74" s="245" t="e">
        <f t="shared" si="8"/>
        <v>#N/A</v>
      </c>
      <c r="J74" s="151"/>
      <c r="K74" s="18"/>
      <c r="M74" s="236"/>
      <c r="N74" s="236"/>
      <c r="O74" s="150"/>
      <c r="P74" s="150"/>
      <c r="Q74" s="239"/>
      <c r="R74" s="239"/>
      <c r="S74" s="240"/>
      <c r="T74" s="241"/>
    </row>
    <row r="75" spans="1:20" ht="13">
      <c r="A75" s="24" t="s">
        <v>1190</v>
      </c>
      <c r="B75" s="25"/>
      <c r="C75" s="16"/>
      <c r="D75" s="238"/>
      <c r="E75" s="238"/>
      <c r="F75" s="230" t="e">
        <f t="shared" ref="F75:F88" si="9">(alpha-VLOOKUP(Range,zeros,2,FALSE()))*(1+VLOOKUP(Range,corrections,2,FALSE())*0.000001)*VLOOKUP(Range,multiplier,2,FALSE())</f>
        <v>#N/A</v>
      </c>
      <c r="G75" s="227" t="e">
        <f t="shared" ref="G75:G88" si="10">VLOOKUP(Range,multiplier,3,FALSE())</f>
        <v>#N/A</v>
      </c>
      <c r="H75" s="232" t="e">
        <f t="shared" ref="H75:H88" si="11">(beta-VLOOKUP(Range,zeros,3,FALSE()))*(1+VLOOKUP(Range,corrections,3,FALSE())*0.000001)*VLOOKUP(Range,multiplier,5,FALSE())</f>
        <v>#N/A</v>
      </c>
      <c r="I75" s="245" t="e">
        <f t="shared" ref="I75:I88" si="12">VLOOKUP(Range,multiplier,6,FALSE())</f>
        <v>#N/A</v>
      </c>
      <c r="J75" s="151"/>
      <c r="K75" s="18"/>
      <c r="M75" s="236"/>
      <c r="N75" s="236"/>
      <c r="O75" s="150"/>
      <c r="P75" s="150"/>
      <c r="Q75" s="239"/>
      <c r="R75" s="239"/>
      <c r="S75" s="240"/>
      <c r="T75" s="241"/>
    </row>
    <row r="76" spans="1:20" ht="13">
      <c r="A76" s="24" t="s">
        <v>1190</v>
      </c>
      <c r="B76" s="25"/>
      <c r="C76" s="16"/>
      <c r="D76" s="238"/>
      <c r="E76" s="238"/>
      <c r="F76" s="230" t="e">
        <f t="shared" si="9"/>
        <v>#N/A</v>
      </c>
      <c r="G76" s="227" t="e">
        <f t="shared" si="10"/>
        <v>#N/A</v>
      </c>
      <c r="H76" s="232" t="e">
        <f t="shared" si="11"/>
        <v>#N/A</v>
      </c>
      <c r="I76" s="245" t="e">
        <f t="shared" si="12"/>
        <v>#N/A</v>
      </c>
      <c r="J76" s="151"/>
      <c r="K76" s="18"/>
      <c r="M76" s="236"/>
      <c r="N76" s="236"/>
      <c r="O76" s="150"/>
      <c r="P76" s="150"/>
      <c r="Q76" s="239"/>
      <c r="R76" s="239"/>
      <c r="S76" s="240"/>
      <c r="T76" s="241"/>
    </row>
    <row r="77" spans="1:20" ht="13">
      <c r="A77" s="24" t="s">
        <v>1190</v>
      </c>
      <c r="B77" s="25"/>
      <c r="C77" s="16"/>
      <c r="D77" s="238"/>
      <c r="E77" s="238"/>
      <c r="F77" s="230" t="e">
        <f t="shared" si="9"/>
        <v>#N/A</v>
      </c>
      <c r="G77" s="227" t="e">
        <f t="shared" si="10"/>
        <v>#N/A</v>
      </c>
      <c r="H77" s="232" t="e">
        <f t="shared" si="11"/>
        <v>#N/A</v>
      </c>
      <c r="I77" s="245" t="e">
        <f t="shared" si="12"/>
        <v>#N/A</v>
      </c>
      <c r="J77" s="151"/>
      <c r="K77" s="18"/>
      <c r="M77" s="236"/>
      <c r="N77" s="236"/>
      <c r="O77" s="150"/>
      <c r="P77" s="150"/>
      <c r="Q77" s="239"/>
      <c r="R77" s="239"/>
      <c r="S77" s="240"/>
      <c r="T77" s="241"/>
    </row>
    <row r="78" spans="1:20" ht="13">
      <c r="A78" s="24" t="s">
        <v>1191</v>
      </c>
      <c r="B78" s="25"/>
      <c r="C78" s="16"/>
      <c r="D78" s="238"/>
      <c r="E78" s="238"/>
      <c r="F78" s="230" t="e">
        <f t="shared" si="9"/>
        <v>#N/A</v>
      </c>
      <c r="G78" s="227" t="e">
        <f t="shared" si="10"/>
        <v>#N/A</v>
      </c>
      <c r="H78" s="232" t="e">
        <f t="shared" si="11"/>
        <v>#N/A</v>
      </c>
      <c r="I78" s="245" t="e">
        <f t="shared" si="12"/>
        <v>#N/A</v>
      </c>
      <c r="J78" s="151"/>
      <c r="K78" s="18"/>
      <c r="M78" s="236"/>
      <c r="N78" s="236"/>
      <c r="O78" s="150"/>
      <c r="P78" s="150"/>
      <c r="Q78" s="239"/>
      <c r="R78" s="239"/>
      <c r="S78" s="240"/>
      <c r="T78" s="241"/>
    </row>
    <row r="79" spans="1:20" ht="13">
      <c r="A79" s="24" t="s">
        <v>1191</v>
      </c>
      <c r="B79" s="25"/>
      <c r="C79" s="16"/>
      <c r="D79" s="238"/>
      <c r="E79" s="238"/>
      <c r="F79" s="230" t="e">
        <f t="shared" si="9"/>
        <v>#N/A</v>
      </c>
      <c r="G79" s="227" t="e">
        <f t="shared" si="10"/>
        <v>#N/A</v>
      </c>
      <c r="H79" s="232" t="e">
        <f t="shared" si="11"/>
        <v>#N/A</v>
      </c>
      <c r="I79" s="245" t="e">
        <f t="shared" si="12"/>
        <v>#N/A</v>
      </c>
      <c r="J79" s="151"/>
      <c r="K79" s="18"/>
      <c r="M79" s="236"/>
      <c r="N79" s="236"/>
      <c r="O79" s="150"/>
      <c r="P79" s="150"/>
      <c r="Q79" s="239"/>
      <c r="R79" s="239"/>
      <c r="S79" s="240"/>
      <c r="T79" s="241"/>
    </row>
    <row r="80" spans="1:20" ht="13">
      <c r="A80" s="24" t="s">
        <v>1191</v>
      </c>
      <c r="B80" s="25"/>
      <c r="C80" s="16"/>
      <c r="D80" s="238"/>
      <c r="E80" s="238"/>
      <c r="F80" s="230" t="e">
        <f t="shared" si="9"/>
        <v>#N/A</v>
      </c>
      <c r="G80" s="227" t="e">
        <f t="shared" si="10"/>
        <v>#N/A</v>
      </c>
      <c r="H80" s="232" t="e">
        <f t="shared" si="11"/>
        <v>#N/A</v>
      </c>
      <c r="I80" s="245" t="e">
        <f t="shared" si="12"/>
        <v>#N/A</v>
      </c>
      <c r="J80" s="151"/>
      <c r="K80" s="18"/>
      <c r="M80" s="236"/>
      <c r="N80" s="236"/>
      <c r="O80" s="150"/>
      <c r="P80" s="150"/>
      <c r="Q80" s="239"/>
      <c r="R80" s="239"/>
      <c r="S80" s="240"/>
      <c r="T80" s="241"/>
    </row>
    <row r="81" spans="1:20" ht="13">
      <c r="A81" s="24" t="s">
        <v>1191</v>
      </c>
      <c r="B81" s="25"/>
      <c r="C81" s="16"/>
      <c r="D81" s="238"/>
      <c r="E81" s="238"/>
      <c r="F81" s="230" t="e">
        <f t="shared" si="9"/>
        <v>#N/A</v>
      </c>
      <c r="G81" s="227" t="e">
        <f t="shared" si="10"/>
        <v>#N/A</v>
      </c>
      <c r="H81" s="232" t="e">
        <f t="shared" si="11"/>
        <v>#N/A</v>
      </c>
      <c r="I81" s="245" t="e">
        <f t="shared" si="12"/>
        <v>#N/A</v>
      </c>
      <c r="J81" s="151"/>
      <c r="K81" s="18"/>
      <c r="M81" s="236"/>
      <c r="N81" s="236"/>
      <c r="O81" s="150"/>
      <c r="P81" s="150"/>
      <c r="Q81" s="239"/>
      <c r="R81" s="239"/>
      <c r="S81" s="240"/>
      <c r="T81" s="241"/>
    </row>
    <row r="82" spans="1:20" ht="13">
      <c r="A82" s="24" t="s">
        <v>1191</v>
      </c>
      <c r="B82" s="25"/>
      <c r="C82" s="16"/>
      <c r="D82" s="238"/>
      <c r="E82" s="238"/>
      <c r="F82" s="230" t="e">
        <f t="shared" si="9"/>
        <v>#N/A</v>
      </c>
      <c r="G82" s="227" t="e">
        <f t="shared" si="10"/>
        <v>#N/A</v>
      </c>
      <c r="H82" s="232" t="e">
        <f t="shared" si="11"/>
        <v>#N/A</v>
      </c>
      <c r="I82" s="245" t="e">
        <f t="shared" si="12"/>
        <v>#N/A</v>
      </c>
      <c r="J82" s="151"/>
      <c r="K82" s="18"/>
      <c r="M82" s="236"/>
      <c r="N82" s="236"/>
      <c r="O82" s="150"/>
      <c r="P82" s="150"/>
      <c r="Q82" s="239"/>
      <c r="R82" s="239"/>
      <c r="S82" s="240"/>
      <c r="T82" s="241"/>
    </row>
    <row r="83" spans="1:20" ht="13">
      <c r="A83" s="24" t="s">
        <v>1191</v>
      </c>
      <c r="B83" s="25"/>
      <c r="C83" s="16"/>
      <c r="D83" s="238"/>
      <c r="E83" s="238"/>
      <c r="F83" s="230" t="e">
        <f t="shared" si="9"/>
        <v>#N/A</v>
      </c>
      <c r="G83" s="227" t="e">
        <f t="shared" si="10"/>
        <v>#N/A</v>
      </c>
      <c r="H83" s="232" t="e">
        <f t="shared" si="11"/>
        <v>#N/A</v>
      </c>
      <c r="I83" s="245" t="e">
        <f t="shared" si="12"/>
        <v>#N/A</v>
      </c>
      <c r="J83" s="151"/>
      <c r="K83" s="18"/>
      <c r="M83" s="236"/>
      <c r="N83" s="236"/>
      <c r="O83" s="150"/>
      <c r="P83" s="150"/>
      <c r="Q83" s="239"/>
      <c r="R83" s="239"/>
      <c r="S83" s="240"/>
      <c r="T83" s="241"/>
    </row>
    <row r="84" spans="1:20" ht="13">
      <c r="A84" s="24" t="s">
        <v>1191</v>
      </c>
      <c r="B84" s="25"/>
      <c r="C84" s="16"/>
      <c r="D84" s="238"/>
      <c r="E84" s="238"/>
      <c r="F84" s="230" t="e">
        <f t="shared" si="9"/>
        <v>#N/A</v>
      </c>
      <c r="G84" s="227" t="e">
        <f t="shared" si="10"/>
        <v>#N/A</v>
      </c>
      <c r="H84" s="232" t="e">
        <f t="shared" si="11"/>
        <v>#N/A</v>
      </c>
      <c r="I84" s="245" t="e">
        <f t="shared" si="12"/>
        <v>#N/A</v>
      </c>
      <c r="J84" s="151"/>
      <c r="K84" s="18"/>
      <c r="M84" s="236"/>
      <c r="N84" s="236"/>
      <c r="O84" s="150"/>
      <c r="P84" s="150"/>
      <c r="Q84" s="239"/>
      <c r="R84" s="239"/>
      <c r="S84" s="240"/>
      <c r="T84" s="241"/>
    </row>
    <row r="85" spans="1:20" ht="13">
      <c r="A85" s="24" t="s">
        <v>1191</v>
      </c>
      <c r="B85" s="25"/>
      <c r="C85" s="16"/>
      <c r="D85" s="238"/>
      <c r="E85" s="238"/>
      <c r="F85" s="230" t="e">
        <f t="shared" si="9"/>
        <v>#N/A</v>
      </c>
      <c r="G85" s="227" t="e">
        <f t="shared" si="10"/>
        <v>#N/A</v>
      </c>
      <c r="H85" s="232" t="e">
        <f t="shared" si="11"/>
        <v>#N/A</v>
      </c>
      <c r="I85" s="245" t="e">
        <f t="shared" si="12"/>
        <v>#N/A</v>
      </c>
      <c r="J85" s="151"/>
      <c r="K85" s="18"/>
      <c r="M85" s="236"/>
      <c r="N85" s="236"/>
      <c r="O85" s="150"/>
      <c r="P85" s="150"/>
      <c r="Q85" s="239"/>
      <c r="R85" s="239"/>
      <c r="S85" s="240"/>
      <c r="T85" s="241"/>
    </row>
    <row r="86" spans="1:20" ht="13">
      <c r="A86" s="24" t="s">
        <v>1191</v>
      </c>
      <c r="B86" s="25"/>
      <c r="C86" s="16"/>
      <c r="D86" s="238"/>
      <c r="E86" s="238"/>
      <c r="F86" s="230" t="e">
        <f t="shared" si="9"/>
        <v>#N/A</v>
      </c>
      <c r="G86" s="227" t="e">
        <f t="shared" si="10"/>
        <v>#N/A</v>
      </c>
      <c r="H86" s="232" t="e">
        <f t="shared" si="11"/>
        <v>#N/A</v>
      </c>
      <c r="I86" s="245" t="e">
        <f t="shared" si="12"/>
        <v>#N/A</v>
      </c>
      <c r="J86" s="151"/>
      <c r="K86" s="18"/>
      <c r="M86" s="236"/>
      <c r="N86" s="236"/>
      <c r="O86" s="150"/>
      <c r="P86" s="150"/>
      <c r="Q86" s="239"/>
      <c r="R86" s="239"/>
      <c r="S86" s="240"/>
      <c r="T86" s="241"/>
    </row>
    <row r="87" spans="1:20" ht="13">
      <c r="A87" s="24" t="s">
        <v>1191</v>
      </c>
      <c r="B87" s="25"/>
      <c r="C87" s="16"/>
      <c r="D87" s="238"/>
      <c r="E87" s="238"/>
      <c r="F87" s="230" t="e">
        <f t="shared" si="9"/>
        <v>#N/A</v>
      </c>
      <c r="G87" s="227" t="e">
        <f t="shared" si="10"/>
        <v>#N/A</v>
      </c>
      <c r="H87" s="232" t="e">
        <f t="shared" si="11"/>
        <v>#N/A</v>
      </c>
      <c r="I87" s="245" t="e">
        <f t="shared" si="12"/>
        <v>#N/A</v>
      </c>
      <c r="J87" s="151"/>
      <c r="K87" s="18"/>
      <c r="M87" s="236"/>
      <c r="N87" s="236"/>
      <c r="O87" s="150"/>
      <c r="P87" s="150"/>
      <c r="Q87" s="239"/>
      <c r="R87" s="239"/>
      <c r="S87" s="240"/>
      <c r="T87" s="241"/>
    </row>
    <row r="88" spans="1:20" ht="13">
      <c r="A88" s="24" t="s">
        <v>1191</v>
      </c>
      <c r="B88" s="235"/>
      <c r="C88" s="235"/>
      <c r="D88" s="229"/>
      <c r="E88" s="229"/>
      <c r="F88" s="244" t="e">
        <f t="shared" si="9"/>
        <v>#N/A</v>
      </c>
      <c r="G88" s="227" t="e">
        <f t="shared" si="10"/>
        <v>#N/A</v>
      </c>
      <c r="H88" s="232" t="e">
        <f t="shared" si="11"/>
        <v>#N/A</v>
      </c>
      <c r="I88" s="245" t="e">
        <f t="shared" si="12"/>
        <v>#N/A</v>
      </c>
      <c r="J88" s="151"/>
      <c r="K88" s="18"/>
    </row>
    <row r="95" spans="1:20">
      <c r="A95" s="250" t="s">
        <v>1192</v>
      </c>
      <c r="G95" s="1" t="s">
        <v>1193</v>
      </c>
      <c r="H95" s="1" t="s">
        <v>105</v>
      </c>
      <c r="I95" s="1" t="s">
        <v>101</v>
      </c>
      <c r="J95" s="1" t="s">
        <v>1194</v>
      </c>
    </row>
    <row r="97" spans="1:11">
      <c r="A97" s="151">
        <v>700</v>
      </c>
      <c r="B97">
        <v>695.65700000000004</v>
      </c>
      <c r="C97">
        <v>3.8875700000000002</v>
      </c>
      <c r="D97">
        <f>AVERAGE(B97:B103)</f>
        <v>695.65228571428565</v>
      </c>
      <c r="E97">
        <f>AVERAGE(C97:C103)</f>
        <v>3.8876685714285713</v>
      </c>
      <c r="G97">
        <v>700</v>
      </c>
      <c r="H97">
        <f>D97-D120</f>
        <v>693.71736321428568</v>
      </c>
      <c r="I97">
        <f>E97-E120</f>
        <v>3.8690285714285713</v>
      </c>
      <c r="J97">
        <f>F28/H97</f>
        <v>0.99670958200692605</v>
      </c>
      <c r="K97">
        <f>H28/I97</f>
        <v>1.0054434463024682</v>
      </c>
    </row>
    <row r="98" spans="1:11">
      <c r="B98">
        <v>695.65700000000004</v>
      </c>
      <c r="C98">
        <v>3.8875899999999999</v>
      </c>
      <c r="D98">
        <f>STDEV(B97:B103)</f>
        <v>4.4986770542261457E-3</v>
      </c>
      <c r="E98">
        <f>STDEV(C97:C103)</f>
        <v>6.6939916200700042E-5</v>
      </c>
      <c r="G98">
        <v>600</v>
      </c>
      <c r="H98">
        <f>D105-D120</f>
        <v>595.66474416666676</v>
      </c>
      <c r="I98">
        <f>E105-E120</f>
        <v>3.5172433333333331</v>
      </c>
      <c r="J98">
        <f>F27/H98</f>
        <v>0.99652718522992179</v>
      </c>
      <c r="K98">
        <f>H27/I98</f>
        <v>1.0057562732522476</v>
      </c>
    </row>
    <row r="99" spans="1:11">
      <c r="B99">
        <v>695.65599999999995</v>
      </c>
      <c r="C99">
        <v>3.8876900000000001</v>
      </c>
      <c r="G99">
        <v>500</v>
      </c>
      <c r="H99">
        <f>D112-D120</f>
        <v>496.2927917857142</v>
      </c>
      <c r="I99">
        <f>E112-E120</f>
        <v>3.1619728571428571</v>
      </c>
      <c r="J99">
        <f>F26/H99</f>
        <v>0.99647071789885855</v>
      </c>
      <c r="K99">
        <f>H26/I99</f>
        <v>1.0039184630079423</v>
      </c>
    </row>
    <row r="100" spans="1:11">
      <c r="B100">
        <v>695.64800000000002</v>
      </c>
      <c r="C100">
        <v>3.8877100000000002</v>
      </c>
    </row>
    <row r="101" spans="1:11">
      <c r="B101">
        <v>695.65</v>
      </c>
      <c r="C101">
        <v>3.8876900000000001</v>
      </c>
      <c r="H101" s="1" t="s">
        <v>1195</v>
      </c>
      <c r="J101">
        <f>AVERAGE(J97,J99)</f>
        <v>0.9965901499528923</v>
      </c>
      <c r="K101">
        <f>AVERAGE(K97,K99)</f>
        <v>1.0046809546552051</v>
      </c>
    </row>
    <row r="102" spans="1:11">
      <c r="B102">
        <v>695.65200000000004</v>
      </c>
      <c r="C102">
        <v>3.88767</v>
      </c>
      <c r="H102" s="1" t="s">
        <v>1196</v>
      </c>
      <c r="J102" s="237">
        <f>(J98/J101-1)*100</f>
        <v>-6.318015783468578E-3</v>
      </c>
      <c r="K102" s="251">
        <f>(K98/K101-1)*100</f>
        <v>0.10703085313401584</v>
      </c>
    </row>
    <row r="103" spans="1:11">
      <c r="B103">
        <v>695.64599999999996</v>
      </c>
      <c r="C103">
        <v>3.8877600000000001</v>
      </c>
    </row>
    <row r="104" spans="1:11">
      <c r="H104" s="1" t="s">
        <v>1197</v>
      </c>
    </row>
    <row r="105" spans="1:11">
      <c r="A105" s="151">
        <v>600</v>
      </c>
      <c r="B105">
        <v>597.6</v>
      </c>
      <c r="C105">
        <v>3.53586</v>
      </c>
      <c r="D105">
        <f>AVERAGE(B105:B110)</f>
        <v>597.59966666666674</v>
      </c>
      <c r="E105">
        <f>AVERAGE(C105:C110)</f>
        <v>3.535883333333333</v>
      </c>
    </row>
    <row r="106" spans="1:11">
      <c r="B106">
        <v>597.596</v>
      </c>
      <c r="C106">
        <v>3.53586</v>
      </c>
      <c r="D106">
        <f>STDEV(B105:B110)</f>
        <v>2.9439202887758462E-3</v>
      </c>
      <c r="E106">
        <f>STDEV(C105:C110)</f>
        <v>2.2509257354848289E-5</v>
      </c>
      <c r="H106" s="1" t="s">
        <v>1198</v>
      </c>
      <c r="I106" s="237">
        <f>Report!E13/Report!D13*100</f>
        <v>6.1784318313058261E-3</v>
      </c>
      <c r="J106" s="1" t="s">
        <v>1199</v>
      </c>
    </row>
    <row r="107" spans="1:11">
      <c r="B107">
        <v>597.59900000000005</v>
      </c>
      <c r="C107">
        <v>3.5358800000000001</v>
      </c>
    </row>
    <row r="108" spans="1:11">
      <c r="B108">
        <v>597.59900000000005</v>
      </c>
      <c r="C108">
        <v>3.53592</v>
      </c>
      <c r="H108" s="1" t="s">
        <v>1200</v>
      </c>
    </row>
    <row r="109" spans="1:11">
      <c r="B109">
        <v>597.60500000000002</v>
      </c>
      <c r="C109">
        <v>3.5358900000000002</v>
      </c>
    </row>
    <row r="110" spans="1:11">
      <c r="B110">
        <v>597.59900000000005</v>
      </c>
      <c r="C110">
        <v>3.5358900000000002</v>
      </c>
    </row>
    <row r="112" spans="1:11">
      <c r="A112" s="151">
        <v>500</v>
      </c>
      <c r="B112">
        <v>498.21899999999999</v>
      </c>
      <c r="C112">
        <v>3.1808900000000002</v>
      </c>
      <c r="D112">
        <f>AVERAGE(B112:B118)</f>
        <v>498.22771428571423</v>
      </c>
      <c r="E112">
        <f>AVERAGE(C112:C118)</f>
        <v>3.1806128571428571</v>
      </c>
    </row>
    <row r="113" spans="1:5">
      <c r="B113">
        <v>498.22699999999998</v>
      </c>
      <c r="C113">
        <v>3.1808299999999998</v>
      </c>
      <c r="D113">
        <f>STDEV(B112:B118)</f>
        <v>4.3861253103576348E-3</v>
      </c>
      <c r="E113">
        <f>STDEV(C112:C118)</f>
        <v>1.815410225187521E-4</v>
      </c>
    </row>
    <row r="114" spans="1:5">
      <c r="B114">
        <v>498.226</v>
      </c>
      <c r="C114">
        <v>3.1806299999999998</v>
      </c>
    </row>
    <row r="115" spans="1:5">
      <c r="B115">
        <v>498.23099999999999</v>
      </c>
      <c r="C115">
        <v>3.1805500000000002</v>
      </c>
    </row>
    <row r="116" spans="1:5">
      <c r="B116">
        <v>498.23</v>
      </c>
      <c r="C116">
        <v>3.1804999999999999</v>
      </c>
    </row>
    <row r="117" spans="1:5">
      <c r="B117">
        <v>498.22899999999998</v>
      </c>
      <c r="C117">
        <v>3.1804299999999999</v>
      </c>
    </row>
    <row r="118" spans="1:5">
      <c r="B118">
        <v>498.23200000000003</v>
      </c>
      <c r="C118">
        <v>3.1804600000000001</v>
      </c>
    </row>
    <row r="120" spans="1:5">
      <c r="A120" s="250" t="s">
        <v>1201</v>
      </c>
      <c r="B120">
        <v>1.95384</v>
      </c>
      <c r="C120">
        <v>1.7950000000000001E-2</v>
      </c>
      <c r="D120">
        <f>AVERAGE(B120:B127)</f>
        <v>1.9349225000000001</v>
      </c>
      <c r="E120">
        <f>AVERAGE(C120:C127)</f>
        <v>1.8639999999999997E-2</v>
      </c>
    </row>
    <row r="121" spans="1:5">
      <c r="B121">
        <v>1.95285</v>
      </c>
      <c r="C121">
        <v>1.7999999999999999E-2</v>
      </c>
      <c r="D121">
        <f>STDEV(B120:B127)</f>
        <v>1.5132451175253423E-2</v>
      </c>
      <c r="E121">
        <f>STDEV(C120:C127)</f>
        <v>5.4327051930217656E-4</v>
      </c>
    </row>
    <row r="122" spans="1:5">
      <c r="B122">
        <v>1.9476199999999999</v>
      </c>
      <c r="C122">
        <v>1.8180000000000002E-2</v>
      </c>
    </row>
    <row r="123" spans="1:5">
      <c r="B123">
        <v>1.9384399999999999</v>
      </c>
      <c r="C123">
        <v>1.8519999999999998E-2</v>
      </c>
    </row>
    <row r="124" spans="1:5">
      <c r="B124">
        <v>1.9212899999999999</v>
      </c>
      <c r="C124">
        <v>1.9189999999999999E-2</v>
      </c>
    </row>
    <row r="125" spans="1:5">
      <c r="B125">
        <v>1.9178299999999999</v>
      </c>
      <c r="C125">
        <v>1.917E-2</v>
      </c>
    </row>
    <row r="126" spans="1:5">
      <c r="B126">
        <v>1.92039</v>
      </c>
      <c r="C126">
        <v>1.917E-2</v>
      </c>
    </row>
    <row r="127" spans="1:5">
      <c r="B127">
        <v>1.9271199999999999</v>
      </c>
      <c r="C127">
        <v>1.8939999999999999E-2</v>
      </c>
    </row>
  </sheetData>
  <pageMargins left="0.75" right="0.75" top="1" bottom="1" header="0.5" footer="0.5"/>
  <pageSetup paperSize="8" orientation="landscape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W34"/>
  <sheetViews>
    <sheetView zoomScale="110" zoomScaleNormal="110" workbookViewId="0">
      <selection activeCell="F32" sqref="F32"/>
    </sheetView>
  </sheetViews>
  <sheetFormatPr defaultColWidth="8.6328125" defaultRowHeight="12.5"/>
  <cols>
    <col min="1" max="1" width="13.1796875" customWidth="1"/>
    <col min="2" max="2" width="11.81640625" customWidth="1"/>
    <col min="3" max="3" width="10.26953125" customWidth="1"/>
    <col min="6" max="6" width="12.453125" customWidth="1"/>
    <col min="8" max="8" width="12" customWidth="1"/>
    <col min="14" max="14" width="14.54296875" customWidth="1"/>
    <col min="15" max="15" width="7.7265625" customWidth="1"/>
    <col min="16" max="16" width="7.54296875" customWidth="1"/>
    <col min="19" max="19" width="12" customWidth="1"/>
  </cols>
  <sheetData>
    <row r="3" spans="1:23" ht="13">
      <c r="A3" s="252" t="s">
        <v>1202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</row>
    <row r="4" spans="1:23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</row>
    <row r="5" spans="1:23">
      <c r="A5" s="253" t="s">
        <v>1203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6" spans="1:23">
      <c r="A6" s="253" t="s">
        <v>1204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</row>
    <row r="7" spans="1:23">
      <c r="A7" s="253" t="s">
        <v>1205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</row>
    <row r="8" spans="1:23">
      <c r="A8" s="253"/>
      <c r="B8" s="253"/>
      <c r="C8" s="253"/>
      <c r="D8" s="253"/>
      <c r="E8" s="253"/>
      <c r="F8" s="253"/>
      <c r="G8" s="253"/>
      <c r="H8" s="253" t="s">
        <v>1206</v>
      </c>
      <c r="I8" s="253"/>
      <c r="J8" s="253"/>
      <c r="K8" s="253"/>
      <c r="L8" s="253"/>
      <c r="M8" s="253"/>
      <c r="N8" s="253" t="s">
        <v>1207</v>
      </c>
      <c r="O8" s="253"/>
      <c r="P8" s="253"/>
      <c r="Q8" s="253"/>
      <c r="R8" s="253" t="s">
        <v>1208</v>
      </c>
      <c r="S8" s="253"/>
      <c r="T8" s="253" t="s">
        <v>1209</v>
      </c>
      <c r="U8" s="253"/>
      <c r="V8" s="253"/>
      <c r="W8" s="253"/>
    </row>
    <row r="9" spans="1:23">
      <c r="A9" s="253"/>
      <c r="B9" s="253" t="s">
        <v>1210</v>
      </c>
      <c r="C9" s="253" t="s">
        <v>1187</v>
      </c>
      <c r="D9" s="253" t="s">
        <v>1211</v>
      </c>
      <c r="E9" s="253" t="s">
        <v>1191</v>
      </c>
      <c r="F9" s="253" t="s">
        <v>1212</v>
      </c>
      <c r="G9" s="253"/>
      <c r="H9" s="253" t="s">
        <v>1187</v>
      </c>
      <c r="I9" s="253" t="s">
        <v>1211</v>
      </c>
      <c r="J9" s="253" t="s">
        <v>1191</v>
      </c>
      <c r="K9" s="253" t="s">
        <v>1212</v>
      </c>
      <c r="L9" s="253"/>
      <c r="M9" s="253"/>
      <c r="N9" s="253" t="s">
        <v>1187</v>
      </c>
      <c r="O9" s="253" t="s">
        <v>1213</v>
      </c>
      <c r="P9" s="253" t="s">
        <v>1214</v>
      </c>
      <c r="Q9" s="253"/>
      <c r="R9" s="253" t="s">
        <v>1215</v>
      </c>
      <c r="S9" s="253"/>
      <c r="T9" s="253" t="s">
        <v>1191</v>
      </c>
      <c r="U9" s="253" t="s">
        <v>1215</v>
      </c>
      <c r="V9" s="253"/>
      <c r="W9" s="253"/>
    </row>
    <row r="10" spans="1:23">
      <c r="A10" s="253"/>
      <c r="B10" s="253"/>
      <c r="C10" s="253" t="s">
        <v>1216</v>
      </c>
      <c r="D10" s="253" t="s">
        <v>1216</v>
      </c>
      <c r="E10" s="253" t="s">
        <v>1217</v>
      </c>
      <c r="F10" s="253" t="s">
        <v>1217</v>
      </c>
      <c r="G10" s="253"/>
      <c r="H10" s="253" t="s">
        <v>1216</v>
      </c>
      <c r="I10" s="253" t="s">
        <v>1216</v>
      </c>
      <c r="J10" s="253" t="s">
        <v>1217</v>
      </c>
      <c r="K10" s="253" t="s">
        <v>1217</v>
      </c>
      <c r="L10" s="253"/>
      <c r="M10" s="253"/>
      <c r="N10" s="253" t="s">
        <v>1216</v>
      </c>
      <c r="O10" s="254">
        <v>-2.48295562755863</v>
      </c>
      <c r="P10" s="254">
        <v>0.13805361880853501</v>
      </c>
      <c r="Q10" s="253"/>
      <c r="R10" s="253"/>
      <c r="S10" s="253"/>
      <c r="T10" s="253"/>
      <c r="U10" s="253"/>
      <c r="V10" s="253" t="s">
        <v>1218</v>
      </c>
      <c r="W10" s="253"/>
    </row>
    <row r="11" spans="1:23">
      <c r="A11" s="253"/>
      <c r="B11" s="253" t="s">
        <v>1219</v>
      </c>
      <c r="C11" s="255">
        <v>-1.3199999999999999E-7</v>
      </c>
      <c r="D11" s="255">
        <v>1.36E-7</v>
      </c>
      <c r="E11" s="255">
        <v>2.72E-5</v>
      </c>
      <c r="F11" s="255">
        <v>1.9300000000000002E-6</v>
      </c>
      <c r="G11" s="255"/>
      <c r="H11" s="253">
        <v>0</v>
      </c>
      <c r="I11" s="255">
        <v>1.92333044482741E-7</v>
      </c>
      <c r="J11" s="255">
        <v>0</v>
      </c>
      <c r="K11" s="255">
        <v>2.72943217538007E-6</v>
      </c>
      <c r="L11" s="255"/>
      <c r="M11" s="253"/>
      <c r="N11" s="253"/>
      <c r="O11" s="253" t="s">
        <v>1220</v>
      </c>
      <c r="P11" s="253"/>
      <c r="Q11" s="253"/>
      <c r="R11" s="253" t="s">
        <v>1221</v>
      </c>
      <c r="S11" s="253"/>
      <c r="T11" s="253" t="s">
        <v>1217</v>
      </c>
      <c r="U11" s="253" t="s">
        <v>1221</v>
      </c>
      <c r="V11" s="253" t="s">
        <v>1221</v>
      </c>
      <c r="W11" s="253"/>
    </row>
    <row r="12" spans="1:23">
      <c r="A12" s="253"/>
      <c r="B12" s="253" t="s">
        <v>1222</v>
      </c>
      <c r="C12" s="253">
        <v>9.999974452</v>
      </c>
      <c r="D12" s="253">
        <v>1.8E-7</v>
      </c>
      <c r="E12" s="255">
        <v>-1.2269000000000001E-4</v>
      </c>
      <c r="F12" s="253">
        <v>2.0499999999999999E-6</v>
      </c>
      <c r="G12" s="253"/>
      <c r="H12" s="253">
        <v>9.9999745840000003</v>
      </c>
      <c r="I12" s="255">
        <v>2.25601418435257E-7</v>
      </c>
      <c r="J12" s="255">
        <v>-1.4988999999999999E-4</v>
      </c>
      <c r="K12" s="255">
        <v>2.8155638866841598E-6</v>
      </c>
      <c r="L12" s="253"/>
      <c r="M12" s="253"/>
      <c r="N12" s="253">
        <v>9.9999499400000005</v>
      </c>
      <c r="O12" s="254">
        <v>-2.4644123368277602</v>
      </c>
      <c r="P12" s="253"/>
      <c r="Q12" s="253"/>
      <c r="R12" s="255">
        <v>-1.49890380961392E-3</v>
      </c>
      <c r="S12" s="253"/>
      <c r="T12" s="255">
        <v>1.7999909892000001E-4</v>
      </c>
      <c r="U12" s="255">
        <v>1.8E-3</v>
      </c>
      <c r="V12" s="255">
        <v>3.2989038096139199E-3</v>
      </c>
      <c r="W12" s="253"/>
    </row>
    <row r="13" spans="1:23">
      <c r="A13" s="253"/>
      <c r="B13" s="253" t="s">
        <v>1223</v>
      </c>
      <c r="C13" s="253">
        <v>9.9999767429999995</v>
      </c>
      <c r="D13" s="253">
        <v>2.65E-7</v>
      </c>
      <c r="E13" s="255">
        <v>-6.6099999999999994E-5</v>
      </c>
      <c r="F13" s="253">
        <v>2.2199999999999999E-6</v>
      </c>
      <c r="G13" s="253"/>
      <c r="H13" s="253">
        <v>9.9999768749999998</v>
      </c>
      <c r="I13" s="255">
        <v>2.9786070569982901E-7</v>
      </c>
      <c r="J13" s="255">
        <v>-9.3300000000000005E-5</v>
      </c>
      <c r="K13" s="255">
        <v>2.94164919730412E-6</v>
      </c>
      <c r="L13" s="253"/>
      <c r="M13" s="253"/>
      <c r="N13" s="253">
        <v>9.9999525600000005</v>
      </c>
      <c r="O13" s="254">
        <v>-2.4315115350126999</v>
      </c>
      <c r="P13" s="253"/>
      <c r="Q13" s="253"/>
      <c r="R13" s="255">
        <v>-9.3300215756748895E-4</v>
      </c>
      <c r="S13" s="253"/>
      <c r="T13" s="255">
        <v>2.3999886144000001E-4</v>
      </c>
      <c r="U13" s="255">
        <v>2.3999999999999998E-3</v>
      </c>
      <c r="V13" s="255">
        <v>3.3330021575674901E-3</v>
      </c>
      <c r="W13" s="253"/>
    </row>
    <row r="14" spans="1:23">
      <c r="A14" s="253"/>
      <c r="B14" s="253" t="s">
        <v>1224</v>
      </c>
      <c r="C14" s="253">
        <v>99.999817039999996</v>
      </c>
      <c r="D14" s="253">
        <v>1.6899999999999999E-7</v>
      </c>
      <c r="E14" s="255">
        <v>1.6368999999999999E-3</v>
      </c>
      <c r="F14" s="253">
        <v>1.5799999999999999E-6</v>
      </c>
      <c r="G14" s="253"/>
      <c r="H14" s="253">
        <v>99.999817171999993</v>
      </c>
      <c r="I14" s="255">
        <v>2.16926254750318E-7</v>
      </c>
      <c r="J14" s="255">
        <v>1.6096999999999999E-3</v>
      </c>
      <c r="K14" s="255">
        <v>2.4942533953069E-6</v>
      </c>
      <c r="L14" s="253"/>
      <c r="M14" s="253"/>
      <c r="N14" s="253">
        <v>99.999581000000006</v>
      </c>
      <c r="O14" s="254">
        <v>-2.3617298955164898</v>
      </c>
      <c r="P14" s="253"/>
      <c r="Q14" s="253"/>
      <c r="R14" s="255">
        <v>1.6097029429877E-3</v>
      </c>
      <c r="S14" s="253"/>
      <c r="T14" s="255">
        <v>1.8999920389999999E-3</v>
      </c>
      <c r="U14" s="255">
        <v>1.9E-3</v>
      </c>
      <c r="V14" s="255">
        <v>2.9029705701230402E-4</v>
      </c>
      <c r="W14" s="253"/>
    </row>
    <row r="15" spans="1:23">
      <c r="A15" s="253"/>
      <c r="B15" s="253" t="s">
        <v>1225</v>
      </c>
      <c r="C15" s="253">
        <v>99.999806359999994</v>
      </c>
      <c r="D15" s="253">
        <v>2.3799999999999999E-7</v>
      </c>
      <c r="E15" s="255">
        <v>2.0809499999999998E-3</v>
      </c>
      <c r="F15" s="253">
        <v>2.1100000000000001E-6</v>
      </c>
      <c r="G15" s="253"/>
      <c r="H15" s="253">
        <v>99.999806492000005</v>
      </c>
      <c r="I15" s="255">
        <v>2.7411676344215102E-7</v>
      </c>
      <c r="J15" s="255">
        <v>2.05375E-3</v>
      </c>
      <c r="K15" s="255">
        <v>2.85954541841881E-6</v>
      </c>
      <c r="L15" s="253"/>
      <c r="M15" s="253"/>
      <c r="N15" s="253">
        <v>99.999567799999994</v>
      </c>
      <c r="O15" s="254">
        <v>-2.3869303162765898</v>
      </c>
      <c r="P15" s="253"/>
      <c r="Q15" s="253"/>
      <c r="R15" s="255">
        <v>2.05375397417824E-3</v>
      </c>
      <c r="S15" s="253"/>
      <c r="T15" s="255">
        <v>2.2999900594000001E-3</v>
      </c>
      <c r="U15" s="255">
        <v>2.3E-3</v>
      </c>
      <c r="V15" s="255">
        <v>2.46246025821759E-4</v>
      </c>
      <c r="W15" s="253"/>
    </row>
    <row r="16" spans="1:23">
      <c r="A16" s="253"/>
      <c r="B16" s="253" t="s">
        <v>1226</v>
      </c>
      <c r="C16" s="253">
        <v>1000.031667</v>
      </c>
      <c r="D16" s="253">
        <v>6.3999999999999997E-6</v>
      </c>
      <c r="E16" s="255">
        <v>0.1793565</v>
      </c>
      <c r="F16" s="253">
        <v>5.4500000000000003E-5</v>
      </c>
      <c r="G16" s="253"/>
      <c r="H16" s="253">
        <v>1000.0316671320001</v>
      </c>
      <c r="I16" s="255">
        <v>6.4014448369098699E-6</v>
      </c>
      <c r="J16" s="255">
        <v>0.1793293</v>
      </c>
      <c r="K16" s="255">
        <v>5.4534162687255001E-5</v>
      </c>
      <c r="L16" s="253"/>
      <c r="M16" s="253"/>
      <c r="N16" s="253">
        <v>1000.028924</v>
      </c>
      <c r="O16" s="254">
        <v>-2.7430526599226401</v>
      </c>
      <c r="P16" s="253"/>
      <c r="Q16" s="253"/>
      <c r="R16" s="255">
        <v>1.7932362133521298E-2</v>
      </c>
      <c r="S16" s="253"/>
      <c r="T16" s="255"/>
      <c r="U16" s="253"/>
      <c r="V16" s="253"/>
      <c r="W16" s="253"/>
    </row>
    <row r="17" spans="1:23">
      <c r="A17" s="253"/>
      <c r="B17" s="253" t="s">
        <v>1227</v>
      </c>
      <c r="C17" s="253">
        <v>1000.016445</v>
      </c>
      <c r="D17" s="253">
        <v>5.9200000000000001E-6</v>
      </c>
      <c r="E17" s="255">
        <v>0.184447</v>
      </c>
      <c r="F17" s="253">
        <v>5.7899999999999998E-5</v>
      </c>
      <c r="G17" s="253"/>
      <c r="H17" s="253">
        <v>1000.0164451319999</v>
      </c>
      <c r="I17" s="255">
        <v>5.92156195610584E-6</v>
      </c>
      <c r="J17" s="255">
        <v>0.18441979999999999</v>
      </c>
      <c r="K17" s="255">
        <v>5.7932157736441998E-5</v>
      </c>
      <c r="L17" s="253"/>
      <c r="M17" s="253"/>
      <c r="N17" s="253">
        <v>1000.0139349999999</v>
      </c>
      <c r="O17" s="254">
        <v>-2.5100970217956098</v>
      </c>
      <c r="P17" s="253"/>
      <c r="Q17" s="253"/>
      <c r="R17" s="255">
        <v>1.8441676724191999E-2</v>
      </c>
      <c r="S17" s="253"/>
      <c r="T17" s="255"/>
      <c r="U17" s="253"/>
      <c r="V17" s="253"/>
      <c r="W17" s="253"/>
    </row>
    <row r="18" spans="1:23">
      <c r="A18" s="256">
        <v>44116</v>
      </c>
      <c r="B18" s="253" t="s">
        <v>1228</v>
      </c>
      <c r="C18" s="253">
        <v>1000.14707</v>
      </c>
      <c r="D18" s="253">
        <v>5.8900000000000004E-6</v>
      </c>
      <c r="E18" s="255">
        <v>0.14199899999999999</v>
      </c>
      <c r="F18" s="253">
        <v>9.7600000000000001E-5</v>
      </c>
      <c r="G18" s="253"/>
      <c r="H18" s="253">
        <v>1000.147070132</v>
      </c>
      <c r="I18" s="255">
        <v>5.89156990962511E-6</v>
      </c>
      <c r="J18" s="255">
        <v>0.14197180000000001</v>
      </c>
      <c r="K18" s="255">
        <v>9.7619080614396304E-5</v>
      </c>
      <c r="L18" s="253"/>
      <c r="M18" s="253"/>
      <c r="N18" s="253">
        <v>1000.14444317087</v>
      </c>
      <c r="O18" s="254">
        <v>-2.6265748408591301</v>
      </c>
      <c r="P18" s="253"/>
      <c r="Q18" s="253"/>
      <c r="R18" s="255">
        <v>1.41950923258979E-2</v>
      </c>
      <c r="S18" s="253"/>
      <c r="T18" s="255"/>
      <c r="U18" s="253"/>
      <c r="V18" s="253"/>
      <c r="W18" s="253"/>
    </row>
    <row r="19" spans="1:23">
      <c r="A19" s="256">
        <v>44120</v>
      </c>
      <c r="B19" s="253" t="s">
        <v>1228</v>
      </c>
      <c r="C19" s="253">
        <v>1000.147072</v>
      </c>
      <c r="D19" s="255">
        <v>1.4352700097774899E-5</v>
      </c>
      <c r="E19" s="253">
        <v>0.108247</v>
      </c>
      <c r="F19" s="253">
        <v>1.55598843183359E-4</v>
      </c>
      <c r="G19" s="253"/>
      <c r="H19" s="253">
        <v>1000.1470721319999</v>
      </c>
      <c r="I19" s="255">
        <v>1.43533444220038E-5</v>
      </c>
      <c r="J19" s="255">
        <v>0.1082198</v>
      </c>
      <c r="K19" s="255">
        <v>1.5561081228500701E-4</v>
      </c>
      <c r="L19" s="253"/>
      <c r="M19" s="253"/>
      <c r="N19" s="253">
        <v>1000.14444517086</v>
      </c>
      <c r="O19" s="254">
        <v>-2.6265748408591301</v>
      </c>
      <c r="P19" s="253"/>
      <c r="Q19" s="253"/>
      <c r="R19" s="255">
        <v>1.0820388622376199E-2</v>
      </c>
      <c r="S19" s="253"/>
      <c r="T19" s="253"/>
      <c r="U19" s="253"/>
      <c r="V19" s="253"/>
      <c r="W19" s="253"/>
    </row>
    <row r="20" spans="1:23">
      <c r="A20" s="256">
        <v>44123</v>
      </c>
      <c r="B20" s="253" t="s">
        <v>1228</v>
      </c>
      <c r="C20" s="253">
        <v>1000.139332</v>
      </c>
      <c r="D20" s="255">
        <v>7.4833147546543202E-6</v>
      </c>
      <c r="E20" s="253">
        <v>0.104250499999999</v>
      </c>
      <c r="F20" s="255">
        <v>4.8628695232341202E-5</v>
      </c>
      <c r="G20" s="253"/>
      <c r="H20" s="253">
        <v>1000.139332132</v>
      </c>
      <c r="I20" s="255">
        <v>7.4845504686137997E-6</v>
      </c>
      <c r="J20" s="255">
        <v>0.10422329999999901</v>
      </c>
      <c r="K20" s="255">
        <v>4.8666979565203398E-5</v>
      </c>
      <c r="L20" s="253"/>
      <c r="M20" s="253"/>
      <c r="N20" s="253">
        <v>1000.13670519119</v>
      </c>
      <c r="O20" s="254">
        <v>-2.6265748408591301</v>
      </c>
      <c r="P20" s="253"/>
      <c r="Q20" s="253"/>
      <c r="R20" s="255">
        <v>1.04208780368457E-2</v>
      </c>
      <c r="S20" s="253"/>
      <c r="T20" s="253"/>
      <c r="U20" s="253"/>
      <c r="V20" s="253"/>
      <c r="W20" s="253"/>
    </row>
    <row r="21" spans="1:23">
      <c r="A21" s="256">
        <v>44124</v>
      </c>
      <c r="B21" s="253" t="s">
        <v>1228</v>
      </c>
      <c r="C21" s="253">
        <v>1000.14389499999</v>
      </c>
      <c r="D21" s="255">
        <v>7.4161984798687097E-6</v>
      </c>
      <c r="E21" s="253">
        <v>0.13881599999999999</v>
      </c>
      <c r="F21" s="255">
        <v>5.3702886328393602E-5</v>
      </c>
      <c r="G21" s="253"/>
      <c r="H21" s="253">
        <v>1000.14389513199</v>
      </c>
      <c r="I21" s="255">
        <v>7.41744537511447E-6</v>
      </c>
      <c r="J21" s="255">
        <v>0.13878879999999999</v>
      </c>
      <c r="K21" s="255">
        <v>5.3737555768757903E-5</v>
      </c>
      <c r="L21" s="253"/>
      <c r="M21" s="253"/>
      <c r="N21" s="253">
        <v>1000.1412681792</v>
      </c>
      <c r="O21" s="254">
        <v>-2.6265748408591301</v>
      </c>
      <c r="P21" s="253"/>
      <c r="Q21" s="253"/>
      <c r="R21" s="255">
        <v>1.38768831840626E-2</v>
      </c>
      <c r="S21" s="253"/>
      <c r="T21" s="253"/>
      <c r="U21" s="253"/>
      <c r="V21" s="253"/>
      <c r="W21" s="253"/>
    </row>
    <row r="22" spans="1:23">
      <c r="A22" s="256">
        <v>44127</v>
      </c>
      <c r="B22" s="253" t="s">
        <v>1228</v>
      </c>
      <c r="C22" s="253">
        <v>1000.15113099999</v>
      </c>
      <c r="D22" s="255">
        <v>3.0000000265317999E-6</v>
      </c>
      <c r="E22" s="253">
        <v>0.108238499999999</v>
      </c>
      <c r="F22" s="255">
        <v>5.0326434405786901E-5</v>
      </c>
      <c r="G22" s="253"/>
      <c r="H22" s="253">
        <v>1000.15113113199</v>
      </c>
      <c r="I22" s="255">
        <v>3.0030811109909798E-6</v>
      </c>
      <c r="J22" s="255">
        <v>0.108211299999999</v>
      </c>
      <c r="K22" s="255">
        <v>5.0363428199438301E-5</v>
      </c>
      <c r="L22" s="253"/>
      <c r="M22" s="253"/>
      <c r="N22" s="253">
        <v>1000.14850416019</v>
      </c>
      <c r="O22" s="254">
        <v>-2.6265748408591301</v>
      </c>
      <c r="P22" s="253"/>
      <c r="Q22" s="253"/>
      <c r="R22" s="255">
        <v>1.08194948374976E-2</v>
      </c>
      <c r="S22" s="253"/>
      <c r="T22" s="253"/>
      <c r="U22" s="253"/>
      <c r="V22" s="253"/>
      <c r="W22" s="253"/>
    </row>
    <row r="23" spans="1:23">
      <c r="A23" s="256">
        <v>44127</v>
      </c>
      <c r="B23" s="253" t="s">
        <v>1228</v>
      </c>
      <c r="C23" s="253">
        <v>1000.150609</v>
      </c>
      <c r="D23" s="255">
        <v>5.38516479353826E-6</v>
      </c>
      <c r="E23" s="253">
        <v>0.1094955</v>
      </c>
      <c r="F23" s="255">
        <v>4.8936182932466701E-5</v>
      </c>
      <c r="G23" s="253"/>
      <c r="H23" s="253">
        <v>1000.150609132</v>
      </c>
      <c r="I23" s="255">
        <v>5.3868818302951499E-6</v>
      </c>
      <c r="J23" s="255">
        <v>0.1094683</v>
      </c>
      <c r="K23" s="255">
        <v>4.8974226895376798E-5</v>
      </c>
      <c r="L23" s="253"/>
      <c r="M23" s="253"/>
      <c r="N23" s="253">
        <v>1000.14798216157</v>
      </c>
      <c r="O23" s="254">
        <v>-2.6265748408591301</v>
      </c>
      <c r="P23" s="253"/>
      <c r="Q23" s="253"/>
      <c r="R23" s="255">
        <v>1.09451815557063E-2</v>
      </c>
      <c r="S23" s="253"/>
      <c r="T23" s="253"/>
      <c r="U23" s="253"/>
      <c r="V23" s="253"/>
      <c r="W23" s="253"/>
    </row>
    <row r="24" spans="1:23">
      <c r="A24" s="253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4"/>
      <c r="P24" s="253" t="s">
        <v>1214</v>
      </c>
      <c r="Q24" s="253"/>
      <c r="R24" s="255"/>
      <c r="S24" s="253"/>
      <c r="T24" s="253"/>
      <c r="U24" s="253"/>
      <c r="V24" s="253"/>
      <c r="W24" s="253"/>
    </row>
    <row r="25" spans="1:23">
      <c r="A25" s="253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4"/>
      <c r="P25" s="253" t="s">
        <v>1229</v>
      </c>
      <c r="Q25" s="253"/>
      <c r="R25" s="255"/>
      <c r="S25" s="253"/>
      <c r="T25" s="253"/>
      <c r="U25" s="253"/>
      <c r="V25" s="253"/>
      <c r="W25" s="253"/>
    </row>
    <row r="26" spans="1:23">
      <c r="A26" s="256" t="s">
        <v>1230</v>
      </c>
      <c r="B26" s="253" t="s">
        <v>1228</v>
      </c>
      <c r="C26" s="253">
        <v>1000.14651816666</v>
      </c>
      <c r="D26" s="255">
        <v>4.4078655785685303E-3</v>
      </c>
      <c r="E26" s="253">
        <v>0.11850775</v>
      </c>
      <c r="F26" s="255">
        <v>1.70850470199824E-2</v>
      </c>
      <c r="G26" s="253"/>
      <c r="H26" s="253">
        <v>1000.14651829866</v>
      </c>
      <c r="I26" s="255">
        <v>4.4078655785685303E-3</v>
      </c>
      <c r="J26" s="253">
        <v>0.11848055</v>
      </c>
      <c r="K26" s="255">
        <v>1.70850470199824E-2</v>
      </c>
      <c r="L26" s="253"/>
      <c r="M26" s="253"/>
      <c r="N26" s="257">
        <v>1000.14389133898</v>
      </c>
      <c r="O26" s="254">
        <v>-2.6265748408591301</v>
      </c>
      <c r="P26" s="258">
        <v>4.4072314161388597</v>
      </c>
      <c r="Q26" s="253"/>
      <c r="R26" s="255">
        <v>1.1846319297451099E-2</v>
      </c>
      <c r="S26" s="253"/>
      <c r="T26" s="253"/>
      <c r="U26" s="253"/>
      <c r="V26" s="253"/>
      <c r="W26" s="253"/>
    </row>
    <row r="28" spans="1:23">
      <c r="A28" s="1" t="s">
        <v>1231</v>
      </c>
    </row>
    <row r="29" spans="1:23">
      <c r="A29" s="1"/>
      <c r="F29" s="1" t="s">
        <v>1232</v>
      </c>
    </row>
    <row r="30" spans="1:23">
      <c r="A30" s="13">
        <v>44146</v>
      </c>
      <c r="C30" s="1" t="s">
        <v>1187</v>
      </c>
      <c r="D30" s="1" t="s">
        <v>1191</v>
      </c>
      <c r="F30" s="1" t="s">
        <v>1187</v>
      </c>
      <c r="G30" s="1" t="s">
        <v>1233</v>
      </c>
    </row>
    <row r="31" spans="1:23">
      <c r="C31" s="1" t="s">
        <v>1216</v>
      </c>
      <c r="D31" s="1" t="s">
        <v>1217</v>
      </c>
      <c r="F31" s="1" t="s">
        <v>1216</v>
      </c>
    </row>
    <row r="32" spans="1:23" ht="13">
      <c r="B32" s="259" t="s">
        <v>1228</v>
      </c>
      <c r="C32" s="253">
        <v>1000.1593</v>
      </c>
      <c r="D32" s="253">
        <v>0.13361999999999999</v>
      </c>
      <c r="F32" s="259">
        <f>C32+G32</f>
        <v>1000.1566795</v>
      </c>
      <c r="G32" s="259">
        <f>AVERAGE(G33:G34)</f>
        <v>-2.6205000000345535E-3</v>
      </c>
    </row>
    <row r="33" spans="2:7">
      <c r="B33" s="1" t="s">
        <v>1226</v>
      </c>
      <c r="C33" s="253">
        <v>1000.0317</v>
      </c>
      <c r="D33" s="253">
        <v>0.17502999999999999</v>
      </c>
      <c r="F33" s="253">
        <f>N16</f>
        <v>1000.028924</v>
      </c>
      <c r="G33">
        <f>F33-C33</f>
        <v>-2.7760000000398577E-3</v>
      </c>
    </row>
    <row r="34" spans="2:7">
      <c r="B34" s="1" t="s">
        <v>1227</v>
      </c>
      <c r="C34" s="253">
        <v>1000.0164</v>
      </c>
      <c r="D34" s="253">
        <v>0.17621000000000001</v>
      </c>
      <c r="F34" s="253">
        <f>N17</f>
        <v>1000.0139349999999</v>
      </c>
      <c r="G34">
        <f>F34-C34</f>
        <v>-2.4650000000292493E-3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39"/>
  <sheetViews>
    <sheetView topLeftCell="A25" zoomScale="110" zoomScaleNormal="110" workbookViewId="0">
      <selection activeCell="C55" sqref="C55"/>
    </sheetView>
  </sheetViews>
  <sheetFormatPr defaultColWidth="8.6328125" defaultRowHeight="12.5"/>
  <cols>
    <col min="1" max="1" width="16.7265625" customWidth="1"/>
  </cols>
  <sheetData>
    <row r="2" spans="1:3">
      <c r="A2" s="260"/>
      <c r="B2" s="261"/>
      <c r="C2" s="261"/>
    </row>
    <row r="3" spans="1:3">
      <c r="A3" s="260" t="s">
        <v>1234</v>
      </c>
      <c r="B3" s="261"/>
      <c r="C3" s="261"/>
    </row>
    <row r="4" spans="1:3">
      <c r="A4" s="260"/>
      <c r="B4" s="261"/>
      <c r="C4" s="261"/>
    </row>
    <row r="5" spans="1:3">
      <c r="A5" s="262">
        <v>41921.583333333299</v>
      </c>
      <c r="B5" s="263">
        <v>20.41</v>
      </c>
      <c r="C5" s="263">
        <v>42.67</v>
      </c>
    </row>
    <row r="6" spans="1:3">
      <c r="A6" s="262">
        <v>41921.586805555598</v>
      </c>
      <c r="B6" s="263">
        <v>20.41</v>
      </c>
      <c r="C6" s="263">
        <v>42.38</v>
      </c>
    </row>
    <row r="7" spans="1:3">
      <c r="A7" s="262">
        <v>41921.590277777803</v>
      </c>
      <c r="B7" s="263">
        <v>20.45</v>
      </c>
      <c r="C7" s="263">
        <v>42.55</v>
      </c>
    </row>
    <row r="8" spans="1:3">
      <c r="A8" s="262">
        <v>41921.59375</v>
      </c>
      <c r="B8" s="263">
        <v>20.51</v>
      </c>
      <c r="C8" s="263">
        <v>42.72</v>
      </c>
    </row>
    <row r="9" spans="1:3">
      <c r="A9" s="262">
        <v>41921.597222222197</v>
      </c>
      <c r="B9" s="263">
        <v>20.57</v>
      </c>
      <c r="C9" s="263">
        <v>42.77</v>
      </c>
    </row>
    <row r="10" spans="1:3">
      <c r="A10" s="262">
        <v>41921.600694444402</v>
      </c>
      <c r="B10" s="263">
        <v>20.52</v>
      </c>
      <c r="C10" s="263">
        <v>42.87</v>
      </c>
    </row>
    <row r="11" spans="1:3">
      <c r="A11" s="262">
        <v>41921.604166666701</v>
      </c>
      <c r="B11" s="263">
        <v>20.53</v>
      </c>
      <c r="C11" s="263">
        <v>42.67</v>
      </c>
    </row>
    <row r="12" spans="1:3">
      <c r="A12" s="262">
        <v>41921.607638888898</v>
      </c>
      <c r="B12" s="263">
        <v>20.46</v>
      </c>
      <c r="C12" s="263">
        <v>42.42</v>
      </c>
    </row>
    <row r="13" spans="1:3">
      <c r="A13" s="262">
        <v>41921.611111111102</v>
      </c>
      <c r="B13" s="263">
        <v>20.41</v>
      </c>
      <c r="C13" s="263">
        <v>42.55</v>
      </c>
    </row>
    <row r="14" spans="1:3">
      <c r="A14" s="262">
        <v>41921.614583333299</v>
      </c>
      <c r="B14" s="263">
        <v>20.41</v>
      </c>
      <c r="C14" s="263">
        <v>42.28</v>
      </c>
    </row>
    <row r="15" spans="1:3">
      <c r="A15" s="262">
        <v>41921.618055555598</v>
      </c>
      <c r="B15" s="263">
        <v>20.399999999999999</v>
      </c>
      <c r="C15" s="263">
        <v>42.47</v>
      </c>
    </row>
    <row r="16" spans="1:3">
      <c r="A16" s="262">
        <v>41921.621527777803</v>
      </c>
      <c r="B16" s="263">
        <v>20.440000000000001</v>
      </c>
      <c r="C16" s="263">
        <v>42.3</v>
      </c>
    </row>
    <row r="17" spans="1:3">
      <c r="A17" s="262">
        <v>41921.625</v>
      </c>
      <c r="B17" s="263">
        <v>20.399999999999999</v>
      </c>
      <c r="C17" s="263">
        <v>42.65</v>
      </c>
    </row>
    <row r="18" spans="1:3">
      <c r="A18" s="262">
        <v>41921.628472222197</v>
      </c>
      <c r="B18" s="263">
        <v>20.41</v>
      </c>
      <c r="C18" s="263">
        <v>42.89</v>
      </c>
    </row>
    <row r="19" spans="1:3">
      <c r="A19" s="262">
        <v>41921.631944444402</v>
      </c>
      <c r="B19" s="263">
        <v>20.41</v>
      </c>
      <c r="C19" s="263">
        <v>42.74</v>
      </c>
    </row>
    <row r="20" spans="1:3">
      <c r="A20" s="262">
        <v>41921.635416666701</v>
      </c>
      <c r="B20" s="263">
        <v>20.420000000000002</v>
      </c>
      <c r="C20" s="263">
        <v>42.77</v>
      </c>
    </row>
    <row r="21" spans="1:3">
      <c r="A21" s="262">
        <v>41921.638888888898</v>
      </c>
      <c r="B21" s="263">
        <v>20.399999999999999</v>
      </c>
      <c r="C21" s="263">
        <v>42.72</v>
      </c>
    </row>
    <row r="22" spans="1:3">
      <c r="A22" s="262">
        <v>41921.642361111102</v>
      </c>
      <c r="B22" s="263">
        <v>20.329999999999998</v>
      </c>
      <c r="C22" s="263">
        <v>42.79</v>
      </c>
    </row>
    <row r="23" spans="1:3">
      <c r="A23" s="262">
        <v>41921.645833333299</v>
      </c>
      <c r="B23" s="263">
        <v>20.350000000000001</v>
      </c>
      <c r="C23" s="263">
        <v>43.19</v>
      </c>
    </row>
    <row r="24" spans="1:3">
      <c r="A24" s="262">
        <v>41921.649305555598</v>
      </c>
      <c r="B24" s="263">
        <v>20.41</v>
      </c>
      <c r="C24" s="263">
        <v>43.04</v>
      </c>
    </row>
    <row r="25" spans="1:3">
      <c r="A25" s="262">
        <v>41921.652777777803</v>
      </c>
      <c r="B25" s="263">
        <v>20.45</v>
      </c>
      <c r="C25" s="263">
        <v>42.96</v>
      </c>
    </row>
    <row r="26" spans="1:3">
      <c r="A26" s="262">
        <v>41921.65625</v>
      </c>
      <c r="B26" s="263">
        <v>20.41</v>
      </c>
      <c r="C26" s="263">
        <v>43.19</v>
      </c>
    </row>
    <row r="27" spans="1:3">
      <c r="A27" s="262">
        <v>41921.659722222197</v>
      </c>
      <c r="B27" s="263">
        <v>20.440000000000001</v>
      </c>
      <c r="C27" s="263">
        <v>42.92</v>
      </c>
    </row>
    <row r="28" spans="1:3">
      <c r="A28" s="262">
        <v>41921.663194444402</v>
      </c>
      <c r="B28" s="263">
        <v>20.399999999999999</v>
      </c>
      <c r="C28" s="263">
        <v>42.89</v>
      </c>
    </row>
    <row r="29" spans="1:3">
      <c r="A29" s="262">
        <v>41921.666666666701</v>
      </c>
      <c r="B29" s="263">
        <v>20.47</v>
      </c>
      <c r="C29" s="263">
        <v>43.23</v>
      </c>
    </row>
    <row r="30" spans="1:3">
      <c r="A30" s="262">
        <v>41921.670138888898</v>
      </c>
      <c r="B30" s="263">
        <v>20.45</v>
      </c>
      <c r="C30" s="263">
        <v>42.84</v>
      </c>
    </row>
    <row r="31" spans="1:3">
      <c r="A31" s="262">
        <v>41921.673611111102</v>
      </c>
      <c r="B31" s="263">
        <v>20.41</v>
      </c>
      <c r="C31" s="263">
        <v>42.92</v>
      </c>
    </row>
    <row r="32" spans="1:3">
      <c r="A32" s="262">
        <v>41921.677083333299</v>
      </c>
      <c r="B32" s="263">
        <v>20.39</v>
      </c>
      <c r="C32" s="263">
        <v>42.79</v>
      </c>
    </row>
    <row r="33" spans="1:3">
      <c r="A33" s="262">
        <v>41921.680555555598</v>
      </c>
      <c r="B33" s="263">
        <v>20.51</v>
      </c>
      <c r="C33" s="263">
        <v>43.06</v>
      </c>
    </row>
    <row r="34" spans="1:3">
      <c r="A34" s="262">
        <v>41921.684027777803</v>
      </c>
      <c r="B34" s="263">
        <v>20.51</v>
      </c>
      <c r="C34" s="263">
        <v>43.23</v>
      </c>
    </row>
    <row r="35" spans="1:3">
      <c r="A35" s="262">
        <v>41921.6875</v>
      </c>
      <c r="B35" s="263">
        <v>20.5</v>
      </c>
      <c r="C35" s="263">
        <v>43.41</v>
      </c>
    </row>
    <row r="36" spans="1:3">
      <c r="A36" s="262">
        <v>41921.690972222197</v>
      </c>
      <c r="B36" s="263">
        <v>20.5</v>
      </c>
      <c r="C36" s="263">
        <v>43.26</v>
      </c>
    </row>
    <row r="37" spans="1:3">
      <c r="A37" s="262">
        <v>41921.694444444402</v>
      </c>
      <c r="B37" s="263">
        <v>20.55</v>
      </c>
      <c r="C37" s="263">
        <v>43.48</v>
      </c>
    </row>
    <row r="38" spans="1:3">
      <c r="A38" s="262">
        <v>41921.697916666701</v>
      </c>
      <c r="B38" s="263">
        <v>20.51</v>
      </c>
      <c r="C38" s="263">
        <v>43.43</v>
      </c>
    </row>
    <row r="39" spans="1:3">
      <c r="A39" s="262">
        <v>41921.701388888898</v>
      </c>
      <c r="B39" s="263">
        <v>20.5</v>
      </c>
      <c r="C39" s="263">
        <v>43.43</v>
      </c>
    </row>
    <row r="40" spans="1:3">
      <c r="A40" s="262">
        <v>41921.704861111102</v>
      </c>
      <c r="B40" s="263">
        <v>20.56</v>
      </c>
      <c r="C40" s="263">
        <v>43.65</v>
      </c>
    </row>
    <row r="41" spans="1:3">
      <c r="A41" s="262">
        <v>41921.708333333299</v>
      </c>
      <c r="B41" s="263">
        <v>20.56</v>
      </c>
      <c r="C41" s="263">
        <v>43.58</v>
      </c>
    </row>
    <row r="42" spans="1:3">
      <c r="A42" s="262">
        <v>41921.711805555598</v>
      </c>
      <c r="B42" s="263">
        <v>20.55</v>
      </c>
      <c r="C42" s="263">
        <v>43.68</v>
      </c>
    </row>
    <row r="43" spans="1:3">
      <c r="A43" s="262">
        <v>41921.715277777803</v>
      </c>
      <c r="B43" s="263">
        <v>20.47</v>
      </c>
      <c r="C43" s="263">
        <v>43.63</v>
      </c>
    </row>
    <row r="44" spans="1:3">
      <c r="A44" s="262">
        <v>41921.71875</v>
      </c>
      <c r="B44" s="263">
        <v>20.49</v>
      </c>
      <c r="C44" s="263">
        <v>43.75</v>
      </c>
    </row>
    <row r="45" spans="1:3">
      <c r="A45" s="262">
        <v>41921.722222222197</v>
      </c>
      <c r="B45" s="263">
        <v>20.420000000000002</v>
      </c>
      <c r="C45" s="263">
        <v>43.77</v>
      </c>
    </row>
    <row r="46" spans="1:3">
      <c r="A46" s="262">
        <v>41921.725694444402</v>
      </c>
      <c r="B46" s="263">
        <v>20.49</v>
      </c>
      <c r="C46" s="263">
        <v>43.63</v>
      </c>
    </row>
    <row r="47" spans="1:3">
      <c r="A47" s="262">
        <v>41921.729166666701</v>
      </c>
      <c r="B47" s="263">
        <v>20.52</v>
      </c>
      <c r="C47" s="263">
        <v>43.73</v>
      </c>
    </row>
    <row r="48" spans="1:3">
      <c r="A48" s="262">
        <v>41921.732638888898</v>
      </c>
      <c r="B48" s="263">
        <v>20.53</v>
      </c>
      <c r="C48" s="263">
        <v>43.48</v>
      </c>
    </row>
    <row r="49" spans="1:3">
      <c r="A49" s="262">
        <v>41921.736111111102</v>
      </c>
      <c r="B49" s="263">
        <v>20.5</v>
      </c>
      <c r="C49" s="263">
        <v>43.38</v>
      </c>
    </row>
    <row r="50" spans="1:3">
      <c r="A50" s="262">
        <v>41921.739583333299</v>
      </c>
      <c r="B50" s="263">
        <v>20.46</v>
      </c>
      <c r="C50" s="263">
        <v>43.5</v>
      </c>
    </row>
    <row r="51" spans="1:3">
      <c r="A51" s="262">
        <v>41921.743055555598</v>
      </c>
      <c r="B51" s="263">
        <v>20.46</v>
      </c>
      <c r="C51" s="263">
        <v>43.38</v>
      </c>
    </row>
    <row r="52" spans="1:3">
      <c r="A52" s="262">
        <v>41921.746527777803</v>
      </c>
      <c r="B52" s="263">
        <v>20.45</v>
      </c>
      <c r="C52" s="263">
        <v>43.53</v>
      </c>
    </row>
    <row r="53" spans="1:3">
      <c r="A53" s="262">
        <v>41921.75</v>
      </c>
      <c r="B53" s="263">
        <v>20.49</v>
      </c>
      <c r="C53" s="263">
        <v>43.43</v>
      </c>
    </row>
    <row r="54" spans="1:3">
      <c r="A54" s="262"/>
      <c r="B54" s="263"/>
      <c r="C54" s="263"/>
    </row>
    <row r="55" spans="1:3">
      <c r="A55" s="262" t="s">
        <v>1235</v>
      </c>
      <c r="B55" s="263">
        <f>AVERAGE(B5:B53)</f>
        <v>20.461224489795917</v>
      </c>
      <c r="C55" s="263">
        <f>AVERAGE(C5:C53)</f>
        <v>43.073469387755118</v>
      </c>
    </row>
    <row r="56" spans="1:3">
      <c r="A56" s="262" t="s">
        <v>1236</v>
      </c>
      <c r="B56" s="263">
        <f>STDEV(B5:B53)</f>
        <v>5.7685665935497191E-2</v>
      </c>
      <c r="C56" s="263">
        <f>STDEV(C5:C53)</f>
        <v>0.43175779775050643</v>
      </c>
    </row>
    <row r="57" spans="1:3">
      <c r="A57" s="262"/>
      <c r="B57" s="263"/>
      <c r="C57" s="263"/>
    </row>
    <row r="58" spans="1:3" hidden="1">
      <c r="A58" s="260"/>
      <c r="B58" s="261"/>
      <c r="C58" s="261"/>
    </row>
    <row r="59" spans="1:3" hidden="1">
      <c r="A59" s="260"/>
      <c r="B59" s="261"/>
      <c r="C59" s="261"/>
    </row>
    <row r="60" spans="1:3" hidden="1">
      <c r="A60" s="260"/>
      <c r="B60" s="261"/>
      <c r="C60" s="261"/>
    </row>
    <row r="61" spans="1:3" hidden="1">
      <c r="A61" s="260"/>
      <c r="B61" s="261"/>
      <c r="C61" s="261"/>
    </row>
    <row r="62" spans="1:3" hidden="1">
      <c r="A62" s="260"/>
      <c r="B62" s="261"/>
      <c r="C62" s="261"/>
    </row>
    <row r="63" spans="1:3" hidden="1">
      <c r="A63" s="260"/>
      <c r="B63" s="261"/>
      <c r="C63" s="261"/>
    </row>
    <row r="64" spans="1:3" hidden="1">
      <c r="A64" s="260"/>
      <c r="B64" s="261"/>
      <c r="C64" s="261"/>
    </row>
    <row r="65" spans="1:3" hidden="1">
      <c r="A65" s="260"/>
      <c r="B65" s="261"/>
      <c r="C65" s="261"/>
    </row>
    <row r="66" spans="1:3" hidden="1">
      <c r="A66" s="260"/>
      <c r="B66" s="261"/>
      <c r="C66" s="261"/>
    </row>
    <row r="67" spans="1:3" hidden="1">
      <c r="A67" s="260"/>
      <c r="B67" s="261"/>
      <c r="C67" s="261"/>
    </row>
    <row r="68" spans="1:3" hidden="1">
      <c r="A68" s="260"/>
      <c r="B68" s="261"/>
      <c r="C68" s="261"/>
    </row>
    <row r="69" spans="1:3" hidden="1">
      <c r="A69" s="260"/>
      <c r="B69" s="261"/>
      <c r="C69" s="261"/>
    </row>
    <row r="70" spans="1:3" hidden="1">
      <c r="A70" s="260"/>
      <c r="B70" s="261"/>
      <c r="C70" s="261"/>
    </row>
    <row r="71" spans="1:3" hidden="1">
      <c r="A71" s="260"/>
      <c r="B71" s="261"/>
      <c r="C71" s="261"/>
    </row>
    <row r="72" spans="1:3" hidden="1">
      <c r="A72" s="260"/>
      <c r="B72" s="261"/>
      <c r="C72" s="261"/>
    </row>
    <row r="73" spans="1:3" hidden="1">
      <c r="A73" s="260"/>
      <c r="B73" s="261"/>
      <c r="C73" s="261"/>
    </row>
    <row r="74" spans="1:3" hidden="1">
      <c r="A74" s="260"/>
      <c r="B74" s="261"/>
      <c r="C74" s="261"/>
    </row>
    <row r="75" spans="1:3" hidden="1">
      <c r="A75" s="260"/>
      <c r="B75" s="261"/>
      <c r="C75" s="261"/>
    </row>
    <row r="76" spans="1:3" hidden="1">
      <c r="A76" s="260"/>
      <c r="B76" s="261"/>
      <c r="C76" s="261"/>
    </row>
    <row r="77" spans="1:3" hidden="1">
      <c r="A77" s="260"/>
      <c r="B77" s="261"/>
      <c r="C77" s="261"/>
    </row>
    <row r="78" spans="1:3" hidden="1">
      <c r="A78" s="260"/>
      <c r="B78" s="261"/>
      <c r="C78" s="261"/>
    </row>
    <row r="79" spans="1:3" hidden="1">
      <c r="A79" s="260"/>
      <c r="B79" s="261"/>
      <c r="C79" s="261"/>
    </row>
    <row r="80" spans="1:3" hidden="1">
      <c r="A80" s="260"/>
      <c r="B80" s="261"/>
      <c r="C80" s="261"/>
    </row>
    <row r="81" spans="1:3" hidden="1">
      <c r="A81" s="260"/>
      <c r="B81" s="261"/>
      <c r="C81" s="261"/>
    </row>
    <row r="82" spans="1:3" hidden="1">
      <c r="A82" s="260"/>
      <c r="B82" s="261"/>
      <c r="C82" s="261"/>
    </row>
    <row r="83" spans="1:3" hidden="1">
      <c r="A83" s="260"/>
      <c r="B83" s="261"/>
      <c r="C83" s="261"/>
    </row>
    <row r="84" spans="1:3" hidden="1">
      <c r="A84" s="260"/>
      <c r="B84" s="261"/>
      <c r="C84" s="261"/>
    </row>
    <row r="85" spans="1:3" hidden="1">
      <c r="A85" s="260"/>
      <c r="B85" s="261"/>
      <c r="C85" s="261"/>
    </row>
    <row r="86" spans="1:3" hidden="1">
      <c r="A86" s="260"/>
      <c r="B86" s="261"/>
      <c r="C86" s="261"/>
    </row>
    <row r="87" spans="1:3" hidden="1">
      <c r="A87" s="260"/>
      <c r="B87" s="261"/>
      <c r="C87" s="261"/>
    </row>
    <row r="88" spans="1:3" hidden="1">
      <c r="A88" s="260"/>
      <c r="B88" s="261"/>
      <c r="C88" s="261"/>
    </row>
    <row r="89" spans="1:3" hidden="1">
      <c r="A89" s="260"/>
      <c r="B89" s="261"/>
      <c r="C89" s="261"/>
    </row>
    <row r="90" spans="1:3" hidden="1">
      <c r="A90" s="260"/>
      <c r="B90" s="261"/>
      <c r="C90" s="261"/>
    </row>
    <row r="91" spans="1:3" hidden="1">
      <c r="A91" s="260"/>
      <c r="B91" s="261"/>
      <c r="C91" s="261"/>
    </row>
    <row r="92" spans="1:3" hidden="1">
      <c r="A92" s="260"/>
      <c r="B92" s="261"/>
      <c r="C92" s="261"/>
    </row>
    <row r="93" spans="1:3" hidden="1">
      <c r="A93" s="260"/>
      <c r="B93" s="261"/>
      <c r="C93" s="261"/>
    </row>
    <row r="94" spans="1:3" hidden="1">
      <c r="A94" s="260"/>
      <c r="B94" s="261"/>
      <c r="C94" s="261"/>
    </row>
    <row r="95" spans="1:3" hidden="1">
      <c r="A95" s="260"/>
      <c r="B95" s="261"/>
      <c r="C95" s="261"/>
    </row>
    <row r="96" spans="1:3" hidden="1">
      <c r="A96" s="260"/>
      <c r="B96" s="261"/>
      <c r="C96" s="261"/>
    </row>
    <row r="97" spans="1:3" hidden="1">
      <c r="A97" s="260"/>
      <c r="B97" s="261"/>
      <c r="C97" s="261"/>
    </row>
    <row r="98" spans="1:3" hidden="1">
      <c r="A98" s="260"/>
      <c r="B98" s="261"/>
      <c r="C98" s="261"/>
    </row>
    <row r="99" spans="1:3" hidden="1">
      <c r="A99" s="260"/>
      <c r="B99" s="261"/>
      <c r="C99" s="261"/>
    </row>
    <row r="100" spans="1:3" hidden="1">
      <c r="A100" s="260"/>
      <c r="B100" s="261"/>
      <c r="C100" s="261"/>
    </row>
    <row r="101" spans="1:3" hidden="1">
      <c r="A101" s="260"/>
      <c r="B101" s="261"/>
      <c r="C101" s="261"/>
    </row>
    <row r="102" spans="1:3" hidden="1">
      <c r="A102" s="260"/>
      <c r="B102" s="261"/>
      <c r="C102" s="261"/>
    </row>
    <row r="103" spans="1:3" hidden="1">
      <c r="A103" s="260"/>
      <c r="B103" s="261"/>
      <c r="C103" s="261"/>
    </row>
    <row r="104" spans="1:3" hidden="1">
      <c r="A104" s="260"/>
      <c r="B104" s="261"/>
      <c r="C104" s="261"/>
    </row>
    <row r="105" spans="1:3" hidden="1">
      <c r="A105" s="260"/>
      <c r="B105" s="261"/>
      <c r="C105" s="261"/>
    </row>
    <row r="106" spans="1:3" hidden="1">
      <c r="A106" s="260"/>
      <c r="B106" s="261"/>
      <c r="C106" s="261"/>
    </row>
    <row r="107" spans="1:3" hidden="1">
      <c r="A107" s="260"/>
      <c r="B107" s="261"/>
      <c r="C107" s="261"/>
    </row>
    <row r="108" spans="1:3" hidden="1">
      <c r="A108" s="260"/>
      <c r="B108" s="261"/>
      <c r="C108" s="261"/>
    </row>
    <row r="109" spans="1:3" hidden="1">
      <c r="A109" s="260"/>
      <c r="B109" s="261"/>
      <c r="C109" s="261"/>
    </row>
    <row r="110" spans="1:3" hidden="1">
      <c r="A110" s="260"/>
      <c r="B110" s="261"/>
      <c r="C110" s="261"/>
    </row>
    <row r="111" spans="1:3" hidden="1">
      <c r="A111" s="260"/>
      <c r="B111" s="261"/>
      <c r="C111" s="261"/>
    </row>
    <row r="112" spans="1:3" hidden="1">
      <c r="A112" s="260"/>
      <c r="B112" s="261"/>
      <c r="C112" s="261"/>
    </row>
    <row r="113" spans="1:3" hidden="1">
      <c r="A113" s="260"/>
      <c r="B113" s="261"/>
      <c r="C113" s="261"/>
    </row>
    <row r="114" spans="1:3" hidden="1">
      <c r="A114" s="260"/>
      <c r="B114" s="261"/>
      <c r="C114" s="261"/>
    </row>
    <row r="115" spans="1:3" hidden="1">
      <c r="A115" s="260"/>
      <c r="B115" s="261"/>
      <c r="C115" s="261"/>
    </row>
    <row r="116" spans="1:3" hidden="1">
      <c r="A116" s="260"/>
      <c r="B116" s="261"/>
      <c r="C116" s="261"/>
    </row>
    <row r="117" spans="1:3" hidden="1">
      <c r="A117" s="260"/>
      <c r="B117" s="261"/>
      <c r="C117" s="261"/>
    </row>
    <row r="118" spans="1:3" hidden="1">
      <c r="A118" s="260"/>
      <c r="B118" s="261"/>
      <c r="C118" s="261"/>
    </row>
    <row r="119" spans="1:3" hidden="1">
      <c r="A119" s="260"/>
      <c r="B119" s="261"/>
      <c r="C119" s="261"/>
    </row>
    <row r="120" spans="1:3" hidden="1">
      <c r="A120" s="260"/>
      <c r="B120" s="261"/>
      <c r="C120" s="261"/>
    </row>
    <row r="121" spans="1:3" hidden="1">
      <c r="A121" s="260"/>
      <c r="B121" s="261"/>
      <c r="C121" s="261"/>
    </row>
    <row r="122" spans="1:3" hidden="1">
      <c r="A122" s="260"/>
      <c r="B122" s="261"/>
      <c r="C122" s="261"/>
    </row>
    <row r="123" spans="1:3" hidden="1">
      <c r="A123" s="260"/>
      <c r="B123" s="261"/>
      <c r="C123" s="261"/>
    </row>
    <row r="124" spans="1:3" hidden="1">
      <c r="A124" s="260"/>
      <c r="B124" s="261"/>
      <c r="C124" s="261"/>
    </row>
    <row r="125" spans="1:3" hidden="1">
      <c r="A125" s="260"/>
      <c r="B125" s="261"/>
      <c r="C125" s="261"/>
    </row>
    <row r="126" spans="1:3" hidden="1">
      <c r="A126" s="260"/>
      <c r="B126" s="261"/>
      <c r="C126" s="261"/>
    </row>
    <row r="127" spans="1:3" hidden="1">
      <c r="A127" s="260"/>
      <c r="B127" s="261"/>
      <c r="C127" s="261"/>
    </row>
    <row r="128" spans="1:3" hidden="1">
      <c r="A128" s="260"/>
      <c r="B128" s="261"/>
      <c r="C128" s="261"/>
    </row>
    <row r="129" spans="1:3" hidden="1">
      <c r="A129" s="260"/>
      <c r="B129" s="261"/>
      <c r="C129" s="261"/>
    </row>
    <row r="130" spans="1:3" hidden="1">
      <c r="A130" s="260"/>
      <c r="B130" s="261"/>
      <c r="C130" s="261"/>
    </row>
    <row r="131" spans="1:3" hidden="1">
      <c r="A131" s="260"/>
      <c r="B131" s="261"/>
      <c r="C131" s="261"/>
    </row>
    <row r="132" spans="1:3" hidden="1">
      <c r="A132" s="260"/>
      <c r="B132" s="261"/>
      <c r="C132" s="261"/>
    </row>
    <row r="133" spans="1:3" hidden="1">
      <c r="A133" s="260"/>
      <c r="B133" s="261"/>
      <c r="C133" s="261"/>
    </row>
    <row r="134" spans="1:3" hidden="1">
      <c r="A134" s="260"/>
      <c r="B134" s="261"/>
      <c r="C134" s="261"/>
    </row>
    <row r="135" spans="1:3" hidden="1">
      <c r="A135" s="260"/>
      <c r="B135" s="261"/>
      <c r="C135" s="261"/>
    </row>
    <row r="136" spans="1:3" hidden="1">
      <c r="A136" s="260"/>
      <c r="B136" s="261"/>
      <c r="C136" s="261"/>
    </row>
    <row r="137" spans="1:3" hidden="1">
      <c r="A137" s="260"/>
      <c r="B137" s="261"/>
      <c r="C137" s="261"/>
    </row>
    <row r="138" spans="1:3">
      <c r="A138" s="260"/>
      <c r="B138" s="261"/>
      <c r="C138" s="261"/>
    </row>
    <row r="139" spans="1:3">
      <c r="A139" s="260"/>
      <c r="B139" s="261"/>
      <c r="C139" s="26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56"/>
  <sheetViews>
    <sheetView topLeftCell="C19" zoomScale="110" zoomScaleNormal="110" workbookViewId="0">
      <selection activeCell="D40" sqref="D40"/>
    </sheetView>
  </sheetViews>
  <sheetFormatPr defaultColWidth="8.6328125" defaultRowHeight="12.5"/>
  <cols>
    <col min="1" max="1" width="10.08984375" customWidth="1"/>
    <col min="4" max="4" width="77" customWidth="1"/>
    <col min="5" max="5" width="12.26953125" customWidth="1"/>
    <col min="6" max="6" width="13.7265625" customWidth="1"/>
    <col min="7" max="7" width="12.7265625" customWidth="1"/>
    <col min="8" max="8" width="18.54296875" customWidth="1"/>
    <col min="10" max="10" width="13.7265625" customWidth="1"/>
    <col min="11" max="11" width="16.54296875" customWidth="1"/>
    <col min="12" max="12" width="12.26953125" customWidth="1"/>
  </cols>
  <sheetData>
    <row r="1" spans="1:31" ht="13">
      <c r="A1" s="264" t="s">
        <v>1237</v>
      </c>
      <c r="E1" t="s">
        <v>1238</v>
      </c>
      <c r="L1" t="s">
        <v>1171</v>
      </c>
      <c r="M1" s="259" t="s">
        <v>1239</v>
      </c>
      <c r="N1" s="259" t="s">
        <v>1240</v>
      </c>
      <c r="O1" s="259" t="s">
        <v>1241</v>
      </c>
      <c r="P1" s="259" t="s">
        <v>1242</v>
      </c>
      <c r="Q1" s="259" t="s">
        <v>1243</v>
      </c>
      <c r="R1" s="259" t="s">
        <v>1244</v>
      </c>
      <c r="S1" s="265" t="s">
        <v>1245</v>
      </c>
      <c r="T1" s="265" t="s">
        <v>1246</v>
      </c>
    </row>
    <row r="2" spans="1:31" ht="13">
      <c r="E2" s="266" t="s">
        <v>1247</v>
      </c>
      <c r="F2" s="267" t="s">
        <v>1248</v>
      </c>
      <c r="G2" s="267" t="s">
        <v>1171</v>
      </c>
      <c r="H2" s="268"/>
      <c r="K2" t="s">
        <v>1249</v>
      </c>
      <c r="L2" s="269">
        <v>31092</v>
      </c>
      <c r="M2" s="270">
        <f>IMREAL(COMPLEX(32,0))</f>
        <v>32</v>
      </c>
      <c r="N2" s="270">
        <f>IMREAL(COMPLEX(30.1,3.9))</f>
        <v>30.1</v>
      </c>
      <c r="O2" s="270">
        <f>IMREAL(COMPLEX(-12,-5.9))</f>
        <v>-12</v>
      </c>
      <c r="P2" s="270">
        <f>IMREAL(COMPLEX(53,0))</f>
        <v>53</v>
      </c>
      <c r="Q2" s="270">
        <f>IMREAL(COMPLEX(13,-0.4))</f>
        <v>13</v>
      </c>
      <c r="R2" s="270">
        <f>IMREAL(COMPLEX(8.7,1.8))</f>
        <v>8.6999999999999993</v>
      </c>
      <c r="S2" s="270" t="s">
        <v>1250</v>
      </c>
      <c r="T2" s="270" t="s">
        <v>1250</v>
      </c>
      <c r="U2" t="s">
        <v>1251</v>
      </c>
      <c r="Y2">
        <f t="shared" ref="Y2:Y12" si="0">M2-M$3</f>
        <v>-91.32</v>
      </c>
      <c r="Z2">
        <f t="shared" ref="Z2:Z12" si="1">N2-N$2</f>
        <v>0</v>
      </c>
      <c r="AA2">
        <f t="shared" ref="AA2:AA12" si="2">O2-O$2</f>
        <v>0</v>
      </c>
      <c r="AB2">
        <f t="shared" ref="AB2:AB12" si="3">P2-P$2</f>
        <v>0</v>
      </c>
      <c r="AC2">
        <f t="shared" ref="AC2:AC12" si="4">Q2-Q$2</f>
        <v>0</v>
      </c>
      <c r="AD2">
        <f t="shared" ref="AD2:AD12" si="5">R2-R$2</f>
        <v>0</v>
      </c>
    </row>
    <row r="3" spans="1:31" ht="13">
      <c r="E3" s="271"/>
      <c r="F3" s="223" t="s">
        <v>1252</v>
      </c>
      <c r="G3" s="272">
        <v>41827</v>
      </c>
      <c r="H3" s="273"/>
      <c r="K3" t="s">
        <v>1253</v>
      </c>
      <c r="L3" s="269">
        <v>32477</v>
      </c>
      <c r="M3" s="270">
        <v>123.32</v>
      </c>
      <c r="N3" s="270">
        <v>35</v>
      </c>
      <c r="O3" s="270">
        <v>-12</v>
      </c>
      <c r="P3" s="270" t="e">
        <f>NA()</f>
        <v>#N/A</v>
      </c>
      <c r="Q3" s="270">
        <v>9</v>
      </c>
      <c r="R3" s="270">
        <v>4</v>
      </c>
      <c r="S3" s="270">
        <v>0</v>
      </c>
      <c r="T3" s="270">
        <v>0</v>
      </c>
      <c r="Y3">
        <f t="shared" si="0"/>
        <v>0</v>
      </c>
      <c r="Z3">
        <f t="shared" si="1"/>
        <v>4.8999999999999986</v>
      </c>
      <c r="AA3">
        <f t="shared" si="2"/>
        <v>0</v>
      </c>
      <c r="AB3" t="e">
        <f t="shared" si="3"/>
        <v>#N/A</v>
      </c>
      <c r="AC3">
        <f t="shared" si="4"/>
        <v>-4</v>
      </c>
      <c r="AD3">
        <f t="shared" si="5"/>
        <v>-4.6999999999999993</v>
      </c>
      <c r="AE3">
        <f t="shared" ref="AE3:AE12" si="6">S3-S$3</f>
        <v>0</v>
      </c>
    </row>
    <row r="4" spans="1:31" ht="13">
      <c r="A4" s="259" t="s">
        <v>1171</v>
      </c>
      <c r="B4" s="259" t="s">
        <v>1254</v>
      </c>
      <c r="C4" s="259" t="s">
        <v>1255</v>
      </c>
      <c r="E4" s="271" t="s">
        <v>1256</v>
      </c>
      <c r="F4" s="274">
        <f>IMREAL(VLOOKUP($G$3,Data,2,FALSE()))</f>
        <v>143.10000000006301</v>
      </c>
      <c r="G4" s="274" t="str">
        <f t="shared" ref="G4:G9" si="7">VLOOKUP($G$3,Record,2,FALSE())</f>
        <v>UBIII</v>
      </c>
      <c r="H4" s="273"/>
      <c r="K4" t="s">
        <v>1253</v>
      </c>
      <c r="L4" s="269">
        <v>33309</v>
      </c>
      <c r="M4" s="270">
        <v>133</v>
      </c>
      <c r="N4" s="270">
        <v>37</v>
      </c>
      <c r="O4" s="270">
        <v>-14</v>
      </c>
      <c r="P4" s="270">
        <v>61</v>
      </c>
      <c r="Q4" s="270">
        <v>10</v>
      </c>
      <c r="R4" s="270">
        <v>6</v>
      </c>
      <c r="S4" s="270">
        <v>0</v>
      </c>
      <c r="T4" s="270">
        <v>0</v>
      </c>
      <c r="Y4">
        <f t="shared" si="0"/>
        <v>9.6800000000000068</v>
      </c>
      <c r="Z4">
        <f t="shared" si="1"/>
        <v>6.8999999999999986</v>
      </c>
      <c r="AA4">
        <f t="shared" si="2"/>
        <v>-2</v>
      </c>
      <c r="AB4">
        <f t="shared" si="3"/>
        <v>8</v>
      </c>
      <c r="AC4">
        <f t="shared" si="4"/>
        <v>-3</v>
      </c>
      <c r="AD4">
        <f t="shared" si="5"/>
        <v>-2.6999999999999993</v>
      </c>
      <c r="AE4">
        <f t="shared" si="6"/>
        <v>0</v>
      </c>
    </row>
    <row r="5" spans="1:31" ht="13">
      <c r="A5" s="13">
        <v>29728</v>
      </c>
      <c r="B5" t="s">
        <v>1257</v>
      </c>
      <c r="C5" t="s">
        <v>1258</v>
      </c>
      <c r="E5" s="271" t="s">
        <v>1259</v>
      </c>
      <c r="F5" s="274">
        <f>IMREAL(VLOOKUP($G$3,Data,3,FALSE()))</f>
        <v>54.126077194238697</v>
      </c>
      <c r="G5" s="274" t="str">
        <f t="shared" si="7"/>
        <v>UBIII</v>
      </c>
      <c r="H5" s="273"/>
      <c r="K5" t="s">
        <v>1253</v>
      </c>
      <c r="L5" s="269">
        <v>34933</v>
      </c>
      <c r="M5" s="270">
        <v>127.40600000000001</v>
      </c>
      <c r="N5" s="270">
        <v>40.340000000000003</v>
      </c>
      <c r="O5" s="275">
        <v>-17.21</v>
      </c>
      <c r="P5" s="270">
        <v>52</v>
      </c>
      <c r="Q5" s="275">
        <v>11.21</v>
      </c>
      <c r="R5" s="275">
        <v>6.21</v>
      </c>
      <c r="S5" s="270">
        <v>0</v>
      </c>
      <c r="T5" s="270">
        <v>0</v>
      </c>
      <c r="Y5">
        <f t="shared" si="0"/>
        <v>4.0860000000000127</v>
      </c>
      <c r="Z5">
        <f t="shared" si="1"/>
        <v>10.240000000000002</v>
      </c>
      <c r="AA5">
        <f t="shared" si="2"/>
        <v>-5.2100000000000009</v>
      </c>
      <c r="AB5">
        <f t="shared" si="3"/>
        <v>-1</v>
      </c>
      <c r="AC5">
        <f t="shared" si="4"/>
        <v>-1.7899999999999991</v>
      </c>
      <c r="AD5">
        <f t="shared" si="5"/>
        <v>-2.4899999999999993</v>
      </c>
      <c r="AE5">
        <f t="shared" si="6"/>
        <v>0</v>
      </c>
    </row>
    <row r="6" spans="1:31" ht="13">
      <c r="A6" s="13">
        <v>30665</v>
      </c>
      <c r="B6" t="s">
        <v>1260</v>
      </c>
      <c r="C6" t="s">
        <v>1261</v>
      </c>
      <c r="E6" s="271" t="s">
        <v>1262</v>
      </c>
      <c r="F6" s="274">
        <f>IMREAL(VLOOKUP($G$3,Data,4,FALSE()))</f>
        <v>-9.85471830572404</v>
      </c>
      <c r="G6" s="274" t="str">
        <f t="shared" si="7"/>
        <v>UBIII</v>
      </c>
      <c r="H6" s="273"/>
      <c r="K6" t="s">
        <v>1253</v>
      </c>
      <c r="L6" s="269">
        <v>36102</v>
      </c>
      <c r="M6" s="270">
        <v>135.27000000000001</v>
      </c>
      <c r="N6" s="276">
        <v>43.374148761358803</v>
      </c>
      <c r="O6" s="275">
        <v>-16.352318343560899</v>
      </c>
      <c r="P6" s="276">
        <v>67.003866063780194</v>
      </c>
      <c r="Q6" s="275">
        <v>11.1843716767908</v>
      </c>
      <c r="R6" s="275">
        <v>6.6891116768238099</v>
      </c>
      <c r="S6" s="270">
        <v>0</v>
      </c>
      <c r="T6" s="270">
        <v>0</v>
      </c>
      <c r="Y6">
        <f t="shared" si="0"/>
        <v>11.950000000000017</v>
      </c>
      <c r="Z6">
        <f t="shared" si="1"/>
        <v>13.274148761358802</v>
      </c>
      <c r="AA6">
        <f t="shared" si="2"/>
        <v>-4.3523183435608992</v>
      </c>
      <c r="AB6">
        <f t="shared" si="3"/>
        <v>14.003866063780194</v>
      </c>
      <c r="AC6">
        <f t="shared" si="4"/>
        <v>-1.8156283232092001</v>
      </c>
      <c r="AD6">
        <f t="shared" si="5"/>
        <v>-2.0108883231761894</v>
      </c>
      <c r="AE6">
        <f t="shared" si="6"/>
        <v>0</v>
      </c>
    </row>
    <row r="7" spans="1:31" ht="13">
      <c r="A7" s="13">
        <v>30722</v>
      </c>
      <c r="C7" t="s">
        <v>1263</v>
      </c>
      <c r="E7" s="271" t="s">
        <v>1264</v>
      </c>
      <c r="F7" s="274">
        <f>IMREAL(VLOOKUP($G$3,Data,5,FALSE()))</f>
        <v>67.193277194288498</v>
      </c>
      <c r="G7" s="274" t="str">
        <f t="shared" si="7"/>
        <v>UBIII</v>
      </c>
      <c r="H7" s="273"/>
      <c r="K7" t="s">
        <v>1253</v>
      </c>
      <c r="L7" s="269">
        <v>37142</v>
      </c>
      <c r="M7" s="275">
        <v>124.15653400852101</v>
      </c>
      <c r="N7" s="275">
        <v>46.005999473575102</v>
      </c>
      <c r="O7" s="275">
        <v>-17.319750828058801</v>
      </c>
      <c r="P7" s="275">
        <v>64.090992469401101</v>
      </c>
      <c r="Q7" s="275">
        <v>12.022750828099101</v>
      </c>
      <c r="R7" s="275">
        <v>7.47625082806357</v>
      </c>
      <c r="S7" s="270">
        <v>0</v>
      </c>
      <c r="T7" s="270">
        <v>0</v>
      </c>
      <c r="Y7">
        <f t="shared" si="0"/>
        <v>0.83653400852101356</v>
      </c>
      <c r="Z7">
        <f t="shared" si="1"/>
        <v>15.9059994735751</v>
      </c>
      <c r="AA7">
        <f t="shared" si="2"/>
        <v>-5.3197508280588011</v>
      </c>
      <c r="AB7">
        <f t="shared" si="3"/>
        <v>11.090992469401101</v>
      </c>
      <c r="AC7">
        <f t="shared" si="4"/>
        <v>-0.97724917190089933</v>
      </c>
      <c r="AD7">
        <f t="shared" si="5"/>
        <v>-1.2237491719364293</v>
      </c>
      <c r="AE7">
        <f t="shared" si="6"/>
        <v>0</v>
      </c>
    </row>
    <row r="8" spans="1:31" ht="13">
      <c r="A8" s="13">
        <v>32477</v>
      </c>
      <c r="B8" t="s">
        <v>1265</v>
      </c>
      <c r="C8" t="s">
        <v>1266</v>
      </c>
      <c r="E8" s="271" t="s">
        <v>1267</v>
      </c>
      <c r="F8" s="274">
        <f>IMREAL(VLOOKUP($G$3,Data,6,FALSE()))</f>
        <v>12.948503305687501</v>
      </c>
      <c r="G8" s="274" t="str">
        <f t="shared" si="7"/>
        <v>UBIII</v>
      </c>
      <c r="H8" s="273"/>
      <c r="K8" t="s">
        <v>1253</v>
      </c>
      <c r="L8" s="269">
        <v>38008</v>
      </c>
      <c r="M8" s="275">
        <v>131.71484972722601</v>
      </c>
      <c r="N8" s="275">
        <v>47.520000000078603</v>
      </c>
      <c r="O8" s="275">
        <v>-16.235999999891799</v>
      </c>
      <c r="P8" s="275">
        <v>63.7400000000898</v>
      </c>
      <c r="Q8" s="275">
        <v>12.615999999798801</v>
      </c>
      <c r="R8" s="275">
        <v>7.5959999999986003</v>
      </c>
      <c r="S8" s="270">
        <v>0</v>
      </c>
      <c r="T8" s="270">
        <v>0</v>
      </c>
      <c r="Y8">
        <f t="shared" si="0"/>
        <v>8.394849727226017</v>
      </c>
      <c r="Z8">
        <f t="shared" si="1"/>
        <v>17.420000000078602</v>
      </c>
      <c r="AA8">
        <f t="shared" si="2"/>
        <v>-4.2359999998917992</v>
      </c>
      <c r="AB8">
        <f t="shared" si="3"/>
        <v>10.7400000000898</v>
      </c>
      <c r="AC8">
        <f t="shared" si="4"/>
        <v>-0.3840000002011994</v>
      </c>
      <c r="AD8">
        <f t="shared" si="5"/>
        <v>-1.104000000001399</v>
      </c>
      <c r="AE8">
        <f t="shared" si="6"/>
        <v>0</v>
      </c>
    </row>
    <row r="9" spans="1:31" ht="13">
      <c r="A9" s="13">
        <v>33309</v>
      </c>
      <c r="B9" t="s">
        <v>1265</v>
      </c>
      <c r="C9" t="s">
        <v>1266</v>
      </c>
      <c r="E9" s="271" t="s">
        <v>1268</v>
      </c>
      <c r="F9" s="274">
        <f>IMREAL(VLOOKUP($G$3,Data,7,FALSE()))</f>
        <v>7.4960583057448504</v>
      </c>
      <c r="G9" s="274" t="str">
        <f t="shared" si="7"/>
        <v>UBIII</v>
      </c>
      <c r="H9" s="273"/>
      <c r="K9" t="s">
        <v>1253</v>
      </c>
      <c r="L9" s="269">
        <v>38035</v>
      </c>
      <c r="M9" s="275">
        <v>123.9</v>
      </c>
      <c r="N9" s="275">
        <v>47.520000000078603</v>
      </c>
      <c r="O9" s="275">
        <v>-16.235999999891799</v>
      </c>
      <c r="P9" s="275">
        <v>63.7400000000898</v>
      </c>
      <c r="Q9" s="275">
        <v>12.615999999798801</v>
      </c>
      <c r="R9" s="275">
        <v>7.5959999999986003</v>
      </c>
      <c r="S9" s="270">
        <v>5.2</v>
      </c>
      <c r="T9" s="270">
        <v>0</v>
      </c>
      <c r="Y9">
        <f t="shared" si="0"/>
        <v>0.58000000000001251</v>
      </c>
      <c r="Z9">
        <f t="shared" si="1"/>
        <v>17.420000000078602</v>
      </c>
      <c r="AA9">
        <f t="shared" si="2"/>
        <v>-4.2359999998917992</v>
      </c>
      <c r="AB9">
        <f t="shared" si="3"/>
        <v>10.7400000000898</v>
      </c>
      <c r="AC9">
        <f t="shared" si="4"/>
        <v>-0.3840000002011994</v>
      </c>
      <c r="AD9">
        <f t="shared" si="5"/>
        <v>-1.104000000001399</v>
      </c>
      <c r="AE9">
        <f t="shared" si="6"/>
        <v>5.2</v>
      </c>
    </row>
    <row r="10" spans="1:31">
      <c r="A10" s="13">
        <v>33374</v>
      </c>
      <c r="B10" t="s">
        <v>1265</v>
      </c>
      <c r="C10" t="s">
        <v>1269</v>
      </c>
      <c r="E10" s="277"/>
      <c r="H10" s="273"/>
      <c r="K10" t="s">
        <v>1253</v>
      </c>
      <c r="L10" s="269">
        <v>38401</v>
      </c>
      <c r="M10" s="278">
        <v>129.44934972722601</v>
      </c>
      <c r="N10" s="270">
        <v>46.540000000261401</v>
      </c>
      <c r="O10" s="270">
        <v>-16.960000000287899</v>
      </c>
      <c r="P10" s="270">
        <v>61.5000000001587</v>
      </c>
      <c r="Q10" s="270">
        <v>13.840000000375801</v>
      </c>
      <c r="R10" s="270">
        <v>9.0000000000367599</v>
      </c>
      <c r="S10" s="270">
        <v>5.7</v>
      </c>
      <c r="T10" s="270">
        <v>0</v>
      </c>
      <c r="Y10">
        <f t="shared" si="0"/>
        <v>6.129349727226014</v>
      </c>
      <c r="Z10">
        <f t="shared" si="1"/>
        <v>16.440000000261399</v>
      </c>
      <c r="AA10">
        <f t="shared" si="2"/>
        <v>-4.9600000002878986</v>
      </c>
      <c r="AB10">
        <f t="shared" si="3"/>
        <v>8.5000000001586997</v>
      </c>
      <c r="AC10">
        <f t="shared" si="4"/>
        <v>0.84000000037580058</v>
      </c>
      <c r="AD10">
        <f t="shared" si="5"/>
        <v>0.30000000003676064</v>
      </c>
      <c r="AE10">
        <f t="shared" si="6"/>
        <v>5.7</v>
      </c>
    </row>
    <row r="11" spans="1:31">
      <c r="A11" s="13">
        <v>33407</v>
      </c>
      <c r="B11" t="s">
        <v>1270</v>
      </c>
      <c r="C11" t="s">
        <v>1271</v>
      </c>
      <c r="E11" s="277" t="s">
        <v>1272</v>
      </c>
      <c r="H11" s="273" t="s">
        <v>1273</v>
      </c>
      <c r="K11" t="s">
        <v>1253</v>
      </c>
      <c r="L11" s="269">
        <v>40038</v>
      </c>
      <c r="M11" s="270">
        <v>130.298694002828</v>
      </c>
      <c r="N11" s="270">
        <v>50.874703493297702</v>
      </c>
      <c r="O11" s="270">
        <v>-14.104296506833901</v>
      </c>
      <c r="P11" s="270">
        <v>64.524703493384905</v>
      </c>
      <c r="Q11" s="270">
        <v>12.507296506814001</v>
      </c>
      <c r="R11" s="270">
        <v>7.4752965067981201</v>
      </c>
      <c r="S11" s="270">
        <v>2</v>
      </c>
      <c r="T11" s="270">
        <v>0</v>
      </c>
      <c r="Y11">
        <f t="shared" si="0"/>
        <v>6.9786940028280071</v>
      </c>
      <c r="Z11">
        <f t="shared" si="1"/>
        <v>20.7747034932977</v>
      </c>
      <c r="AA11">
        <f t="shared" si="2"/>
        <v>-2.1042965068339008</v>
      </c>
      <c r="AB11">
        <f t="shared" si="3"/>
        <v>11.524703493384905</v>
      </c>
      <c r="AC11">
        <f t="shared" si="4"/>
        <v>-0.49270349318599926</v>
      </c>
      <c r="AD11">
        <f t="shared" si="5"/>
        <v>-1.2247034932018792</v>
      </c>
      <c r="AE11">
        <f t="shared" si="6"/>
        <v>2</v>
      </c>
    </row>
    <row r="12" spans="1:31" ht="13">
      <c r="A12" s="13">
        <v>34933</v>
      </c>
      <c r="B12" t="s">
        <v>1265</v>
      </c>
      <c r="C12" t="s">
        <v>1274</v>
      </c>
      <c r="E12" s="277" t="s">
        <v>1275</v>
      </c>
      <c r="F12" s="259" t="s">
        <v>1276</v>
      </c>
      <c r="G12" s="279">
        <f>IMREAL(VLOOKUP($G$3,Data,8,FALSE()))</f>
        <v>10.97</v>
      </c>
      <c r="H12" s="273"/>
      <c r="K12" s="1" t="s">
        <v>1253</v>
      </c>
      <c r="L12" s="269">
        <v>41827</v>
      </c>
      <c r="M12" s="270">
        <v>143.10000000006301</v>
      </c>
      <c r="N12" s="270">
        <v>54.126077194238697</v>
      </c>
      <c r="O12" s="270">
        <v>-9.85471830572404</v>
      </c>
      <c r="P12" s="270">
        <v>67.193277194288498</v>
      </c>
      <c r="Q12" s="270">
        <v>12.948503305687501</v>
      </c>
      <c r="R12" s="270">
        <v>7.4960583057448504</v>
      </c>
      <c r="S12" s="270">
        <v>10.97</v>
      </c>
      <c r="T12" s="270">
        <v>0</v>
      </c>
      <c r="Y12">
        <f t="shared" si="0"/>
        <v>19.780000000063012</v>
      </c>
      <c r="Z12">
        <f t="shared" si="1"/>
        <v>24.026077194238695</v>
      </c>
      <c r="AA12">
        <f t="shared" si="2"/>
        <v>2.14528169427596</v>
      </c>
      <c r="AB12">
        <f t="shared" si="3"/>
        <v>14.193277194288498</v>
      </c>
      <c r="AC12">
        <f t="shared" si="4"/>
        <v>-5.1496694312499258E-2</v>
      </c>
      <c r="AD12">
        <f t="shared" si="5"/>
        <v>-1.2039416942551489</v>
      </c>
      <c r="AE12">
        <f t="shared" si="6"/>
        <v>10.97</v>
      </c>
    </row>
    <row r="13" spans="1:31">
      <c r="A13" s="13">
        <v>36102</v>
      </c>
      <c r="B13" t="s">
        <v>1265</v>
      </c>
      <c r="C13" t="s">
        <v>1277</v>
      </c>
      <c r="E13" s="277" t="s">
        <v>1278</v>
      </c>
      <c r="H13" s="273" t="s">
        <v>1279</v>
      </c>
      <c r="L13" s="270"/>
      <c r="M13" s="270"/>
      <c r="N13" s="270"/>
      <c r="O13" s="270"/>
      <c r="P13" s="270"/>
      <c r="Q13" s="270"/>
      <c r="R13" s="270"/>
      <c r="S13" s="270"/>
      <c r="T13" s="270"/>
    </row>
    <row r="14" spans="1:31">
      <c r="A14" s="13">
        <v>37142</v>
      </c>
      <c r="B14" t="s">
        <v>1280</v>
      </c>
      <c r="C14" t="s">
        <v>1281</v>
      </c>
      <c r="E14" s="277" t="s">
        <v>1282</v>
      </c>
      <c r="H14" s="273"/>
      <c r="L14" s="270"/>
      <c r="M14" s="270"/>
      <c r="N14" s="270"/>
      <c r="O14" s="270"/>
      <c r="P14" s="270"/>
      <c r="Q14" s="270"/>
      <c r="R14" s="270"/>
      <c r="S14" s="270"/>
      <c r="T14" s="270"/>
    </row>
    <row r="15" spans="1:31">
      <c r="A15" s="13">
        <v>38008</v>
      </c>
      <c r="B15" t="s">
        <v>1280</v>
      </c>
      <c r="C15" t="s">
        <v>1283</v>
      </c>
      <c r="E15" s="277"/>
      <c r="H15" s="273"/>
      <c r="L15" s="270"/>
      <c r="M15" s="270"/>
      <c r="N15" s="270"/>
      <c r="O15" s="270"/>
      <c r="P15" s="270"/>
      <c r="Q15" s="270"/>
      <c r="R15" s="270"/>
      <c r="S15" s="270"/>
      <c r="T15" s="270"/>
    </row>
    <row r="16" spans="1:31">
      <c r="A16" s="13">
        <v>38035</v>
      </c>
      <c r="B16" t="s">
        <v>1280</v>
      </c>
      <c r="C16" t="s">
        <v>1284</v>
      </c>
      <c r="E16" s="277" t="s">
        <v>1285</v>
      </c>
      <c r="H16" s="273"/>
    </row>
    <row r="17" spans="1:24">
      <c r="A17" s="13">
        <v>38401</v>
      </c>
      <c r="B17" t="s">
        <v>1280</v>
      </c>
      <c r="C17" t="s">
        <v>1286</v>
      </c>
      <c r="E17" s="277" t="s">
        <v>1287</v>
      </c>
      <c r="H17" s="273"/>
    </row>
    <row r="18" spans="1:24">
      <c r="A18" s="280">
        <v>40038</v>
      </c>
      <c r="B18" s="281" t="s">
        <v>1288</v>
      </c>
      <c r="C18" s="281" t="s">
        <v>1289</v>
      </c>
      <c r="E18" s="282" t="s">
        <v>1290</v>
      </c>
      <c r="F18" s="283"/>
      <c r="G18" s="283"/>
      <c r="H18" s="284"/>
      <c r="V18" t="s">
        <v>1291</v>
      </c>
      <c r="W18" t="s">
        <v>1229</v>
      </c>
      <c r="X18" t="s">
        <v>1221</v>
      </c>
    </row>
    <row r="19" spans="1:24" ht="15.5">
      <c r="A19" s="13">
        <v>41827</v>
      </c>
      <c r="B19" s="281" t="s">
        <v>1288</v>
      </c>
      <c r="C19" s="281" t="s">
        <v>1292</v>
      </c>
      <c r="N19" s="285" t="s">
        <v>1293</v>
      </c>
      <c r="O19" s="286" t="s">
        <v>41</v>
      </c>
      <c r="P19" s="287" t="s">
        <v>1178</v>
      </c>
      <c r="Q19" s="288" t="s">
        <v>1179</v>
      </c>
      <c r="V19" t="s">
        <v>1264</v>
      </c>
      <c r="W19" s="247">
        <f>(1/0.000000999985/1000000-1)*1000000</f>
        <v>15.000225003447554</v>
      </c>
      <c r="X19">
        <f>10000*0.0000000000000096/0.000001*1000</f>
        <v>9.6000000000000002E-2</v>
      </c>
    </row>
    <row r="20" spans="1:24">
      <c r="O20" s="289" t="s">
        <v>65</v>
      </c>
      <c r="P20" s="290">
        <f>Results!D32</f>
        <v>-2</v>
      </c>
      <c r="Q20" s="291">
        <f>Results!E32</f>
        <v>-15</v>
      </c>
    </row>
    <row r="21" spans="1:24">
      <c r="O21" s="289" t="s">
        <v>54</v>
      </c>
      <c r="P21" s="290">
        <f>Results!D11</f>
        <v>-1</v>
      </c>
      <c r="Q21" s="291">
        <f>Results!E11</f>
        <v>-10</v>
      </c>
      <c r="U21" s="281"/>
    </row>
    <row r="22" spans="1:24">
      <c r="O22" s="292"/>
      <c r="P22" s="290"/>
      <c r="Q22" s="291"/>
    </row>
    <row r="23" spans="1:24">
      <c r="O23" s="292"/>
      <c r="P23" s="290"/>
      <c r="Q23" s="291"/>
    </row>
    <row r="24" spans="1:24" ht="13">
      <c r="F24" s="223" t="s">
        <v>41</v>
      </c>
      <c r="G24" s="293" t="s">
        <v>1294</v>
      </c>
      <c r="H24" s="293" t="s">
        <v>1295</v>
      </c>
      <c r="O24" s="292"/>
      <c r="P24" s="290"/>
      <c r="Q24" s="291"/>
    </row>
    <row r="25" spans="1:24" ht="13">
      <c r="F25" s="223"/>
      <c r="G25" s="223" t="s">
        <v>1252</v>
      </c>
      <c r="H25" s="223" t="s">
        <v>1252</v>
      </c>
      <c r="O25" s="292"/>
      <c r="P25" s="290"/>
      <c r="Q25" s="291"/>
    </row>
    <row r="26" spans="1:24">
      <c r="F26" s="151" t="s">
        <v>1296</v>
      </c>
      <c r="G26" s="294">
        <f>R_4A-G_2+C_1+correction_c</f>
        <v>200.70001888855685</v>
      </c>
      <c r="H26" s="294">
        <f>R_4A-G_2+G_1+correction_c</f>
        <v>70.548522194181345</v>
      </c>
      <c r="O26" s="292"/>
      <c r="P26" s="290"/>
      <c r="Q26" s="291"/>
    </row>
    <row r="27" spans="1:24">
      <c r="F27" s="151" t="s">
        <v>65</v>
      </c>
      <c r="G27" s="294">
        <f>R_4A-G_2+C_1+correction_c</f>
        <v>200.70001888855685</v>
      </c>
      <c r="H27" s="294">
        <f>R_4A-G_2+G_1+correction_c</f>
        <v>70.548522194181345</v>
      </c>
      <c r="O27" s="292"/>
      <c r="P27" s="290"/>
      <c r="Q27" s="291"/>
    </row>
    <row r="28" spans="1:24">
      <c r="F28" s="151" t="s">
        <v>54</v>
      </c>
      <c r="G28" s="294">
        <f>R_4A-G_2+C_1+correction_c</f>
        <v>200.70001888855685</v>
      </c>
      <c r="H28" s="294">
        <f>R_4A-G_2+G_1+correction_c</f>
        <v>70.548522194181345</v>
      </c>
      <c r="O28" s="292"/>
      <c r="P28" s="290"/>
      <c r="Q28" s="291"/>
    </row>
    <row r="29" spans="1:24">
      <c r="F29" s="151" t="s">
        <v>1297</v>
      </c>
      <c r="G29" s="294">
        <f>R_4A-G_2+C_1+correction_c</f>
        <v>200.70001888855685</v>
      </c>
      <c r="H29" s="294">
        <f>R_4A-G_2+G_1+correction_c</f>
        <v>70.548522194181345</v>
      </c>
      <c r="O29" s="292"/>
      <c r="P29" s="290"/>
      <c r="Q29" s="291"/>
    </row>
    <row r="30" spans="1:24">
      <c r="F30" s="151" t="s">
        <v>1298</v>
      </c>
      <c r="G30" s="294">
        <f>R_4A-G_2+C_1+correction_c</f>
        <v>200.70001888855685</v>
      </c>
      <c r="H30" s="294">
        <f>R_4A-G_2+G_1+correction_c</f>
        <v>70.548522194181345</v>
      </c>
      <c r="O30" s="292"/>
      <c r="P30" s="290"/>
      <c r="Q30" s="291"/>
    </row>
    <row r="31" spans="1:24">
      <c r="F31" s="151" t="s">
        <v>1299</v>
      </c>
      <c r="G31" s="294">
        <f>R_4B-G_2+C_1+correction_c</f>
        <v>136.71922338859412</v>
      </c>
      <c r="H31" s="294">
        <f>R_4B-G_2+G_1+correction_c</f>
        <v>6.5677266942186101</v>
      </c>
      <c r="O31" s="292"/>
      <c r="P31" s="290"/>
      <c r="Q31" s="291"/>
    </row>
    <row r="32" spans="1:24">
      <c r="F32" s="151" t="s">
        <v>1300</v>
      </c>
      <c r="G32" s="294">
        <f>R_4C-G_2+C_1+correction_c</f>
        <v>213.76721888860666</v>
      </c>
      <c r="H32" s="294">
        <f>R_4C-G_2+G_1+correction_c</f>
        <v>83.615722194231139</v>
      </c>
      <c r="O32" s="292"/>
      <c r="P32" s="290"/>
      <c r="Q32" s="291"/>
    </row>
    <row r="33" spans="6:24">
      <c r="F33" s="151" t="s">
        <v>1301</v>
      </c>
      <c r="G33" s="294">
        <f>-R_4A-G_2+C_1-correction_c</f>
        <v>70.507864500079449</v>
      </c>
      <c r="H33" s="294">
        <f>-R_4A-G_2+G_1-correction_c</f>
        <v>-59.643632194296046</v>
      </c>
      <c r="O33" s="292"/>
      <c r="P33" s="290"/>
      <c r="Q33" s="291"/>
    </row>
    <row r="34" spans="6:24">
      <c r="F34" s="151" t="s">
        <v>1302</v>
      </c>
      <c r="G34" s="294">
        <f>-R_4A-G_2+C_1-correction_c</f>
        <v>70.507864500079449</v>
      </c>
      <c r="H34" s="294">
        <f>-R_4A-G_2+G_1-correction_c</f>
        <v>-59.643632194296046</v>
      </c>
      <c r="O34" s="292"/>
      <c r="P34" s="290"/>
      <c r="Q34" s="291"/>
    </row>
    <row r="35" spans="6:24">
      <c r="F35" s="151" t="s">
        <v>1303</v>
      </c>
      <c r="G35" s="294">
        <f>-R_4A-G_2+C_1-correction_c</f>
        <v>70.507864500079449</v>
      </c>
      <c r="H35" s="294">
        <f>-R_4A-G_2+G_1-correction_c</f>
        <v>-59.643632194296046</v>
      </c>
      <c r="O35" s="292"/>
      <c r="P35" s="290"/>
      <c r="Q35" s="291"/>
    </row>
    <row r="36" spans="6:24">
      <c r="F36" s="151" t="s">
        <v>1304</v>
      </c>
      <c r="G36" s="294">
        <f>-R_4A-G_2+C_1-correction_c</f>
        <v>70.507864500079449</v>
      </c>
      <c r="H36" s="294">
        <f>-R_4A-G_2+G_1-correction_c</f>
        <v>-59.643632194296046</v>
      </c>
      <c r="O36" s="292"/>
      <c r="P36" s="290"/>
      <c r="Q36" s="291"/>
    </row>
    <row r="37" spans="6:24">
      <c r="F37" s="151" t="s">
        <v>1305</v>
      </c>
      <c r="G37" s="294">
        <f>-R_4A-G_2+C_1-correction_c</f>
        <v>70.507864500079449</v>
      </c>
      <c r="H37" s="294">
        <f>-R_4A-G_2+G_1-correction_c</f>
        <v>-59.643632194296046</v>
      </c>
      <c r="O37" s="292"/>
      <c r="P37" s="290"/>
      <c r="Q37" s="291"/>
    </row>
    <row r="38" spans="6:24">
      <c r="F38" s="151" t="s">
        <v>1306</v>
      </c>
      <c r="G38" s="294">
        <f>-R_4B-G_2+C_1-correction_c</f>
        <v>134.48866000004219</v>
      </c>
      <c r="H38" s="294">
        <f>-R_4B-G_2+G_1-correction_c</f>
        <v>4.3371633056666905</v>
      </c>
      <c r="O38" s="292"/>
      <c r="P38" s="290"/>
      <c r="Q38" s="291"/>
    </row>
    <row r="39" spans="6:24">
      <c r="F39" s="151" t="s">
        <v>1307</v>
      </c>
      <c r="G39" s="294">
        <f>-R_4C-G_2+C_1-correction_c</f>
        <v>57.440664500029655</v>
      </c>
      <c r="H39" s="294">
        <f>-R_4C-G_2+G_1-correction_c</f>
        <v>-72.710832194345855</v>
      </c>
      <c r="O39" s="292"/>
      <c r="P39" s="290"/>
      <c r="Q39" s="291"/>
    </row>
    <row r="40" spans="6:24">
      <c r="F40" s="151"/>
      <c r="G40" s="294"/>
      <c r="H40" s="294"/>
      <c r="O40" s="292"/>
      <c r="P40" s="295"/>
      <c r="Q40" s="291"/>
      <c r="U40" t="s">
        <v>1308</v>
      </c>
      <c r="W40" t="s">
        <v>1309</v>
      </c>
    </row>
    <row r="41" spans="6:24">
      <c r="G41" s="151" t="s">
        <v>1310</v>
      </c>
      <c r="H41" s="151" t="s">
        <v>1311</v>
      </c>
      <c r="I41" t="s">
        <v>1312</v>
      </c>
      <c r="J41" t="s">
        <v>1313</v>
      </c>
      <c r="K41" s="151" t="s">
        <v>1311</v>
      </c>
      <c r="L41" t="s">
        <v>1312</v>
      </c>
      <c r="M41" t="s">
        <v>1314</v>
      </c>
      <c r="N41" t="s">
        <v>1315</v>
      </c>
      <c r="O41" s="292"/>
      <c r="P41" s="295"/>
      <c r="Q41" s="291"/>
      <c r="U41" s="151" t="s">
        <v>1311</v>
      </c>
      <c r="V41" s="151" t="s">
        <v>1311</v>
      </c>
      <c r="W41" t="s">
        <v>1311</v>
      </c>
      <c r="X41" t="s">
        <v>1311</v>
      </c>
    </row>
    <row r="42" spans="6:24" ht="15.5">
      <c r="F42" s="151" t="s">
        <v>1296</v>
      </c>
      <c r="G42" s="296">
        <v>1E-4</v>
      </c>
      <c r="H42" t="s">
        <v>1316</v>
      </c>
      <c r="I42" s="296">
        <v>9.9999999999999995E-7</v>
      </c>
      <c r="J42" s="296">
        <v>1E-4</v>
      </c>
      <c r="K42" t="s">
        <v>1317</v>
      </c>
      <c r="L42" s="296">
        <v>1E-3</v>
      </c>
      <c r="M42" s="296">
        <v>0.2</v>
      </c>
      <c r="N42" s="296">
        <v>2E-3</v>
      </c>
      <c r="O42" s="297"/>
      <c r="P42" s="298"/>
      <c r="Q42" s="299"/>
      <c r="U42" s="300" t="s">
        <v>1318</v>
      </c>
      <c r="V42" s="301" t="s">
        <v>1319</v>
      </c>
      <c r="W42" t="s">
        <v>1316</v>
      </c>
      <c r="X42" t="s">
        <v>1317</v>
      </c>
    </row>
    <row r="43" spans="6:24" ht="15.5">
      <c r="F43" s="151" t="s">
        <v>65</v>
      </c>
      <c r="G43" s="296">
        <v>1E-3</v>
      </c>
      <c r="H43" t="s">
        <v>1316</v>
      </c>
      <c r="I43" s="296">
        <v>9.9999999999999995E-7</v>
      </c>
      <c r="J43" s="296">
        <v>9.9999999999999995E-7</v>
      </c>
      <c r="K43" t="s">
        <v>1320</v>
      </c>
      <c r="L43" s="296">
        <v>1</v>
      </c>
      <c r="M43" s="296">
        <v>2</v>
      </c>
      <c r="N43" s="296">
        <v>0.02</v>
      </c>
      <c r="U43" s="300" t="s">
        <v>1318</v>
      </c>
      <c r="V43" s="300" t="s">
        <v>1321</v>
      </c>
      <c r="W43" t="s">
        <v>1316</v>
      </c>
      <c r="X43" t="s">
        <v>1320</v>
      </c>
    </row>
    <row r="44" spans="6:24" ht="15.5">
      <c r="F44" s="151" t="s">
        <v>54</v>
      </c>
      <c r="G44" s="296">
        <v>1.0000000000000001E-5</v>
      </c>
      <c r="H44" t="s">
        <v>1322</v>
      </c>
      <c r="I44" s="296">
        <v>1E-3</v>
      </c>
      <c r="J44" s="296">
        <v>1.0000000000000001E-5</v>
      </c>
      <c r="K44" t="s">
        <v>1320</v>
      </c>
      <c r="L44" s="296">
        <v>1</v>
      </c>
      <c r="M44" s="296">
        <v>20</v>
      </c>
      <c r="N44" s="296">
        <v>0.2</v>
      </c>
      <c r="U44" s="301" t="s">
        <v>1323</v>
      </c>
      <c r="V44" s="300" t="s">
        <v>1321</v>
      </c>
      <c r="W44" t="s">
        <v>1322</v>
      </c>
      <c r="X44" t="s">
        <v>1320</v>
      </c>
    </row>
    <row r="45" spans="6:24" ht="15.5">
      <c r="F45" s="151" t="s">
        <v>1297</v>
      </c>
      <c r="G45" s="296">
        <v>1E-4</v>
      </c>
      <c r="H45" t="s">
        <v>1322</v>
      </c>
      <c r="I45" s="296">
        <v>1E-3</v>
      </c>
      <c r="J45" s="296">
        <v>1E-4</v>
      </c>
      <c r="K45" t="s">
        <v>1320</v>
      </c>
      <c r="L45" s="296">
        <v>1</v>
      </c>
      <c r="M45" s="296">
        <v>200</v>
      </c>
      <c r="N45" s="296">
        <v>2</v>
      </c>
      <c r="U45" s="301" t="s">
        <v>1323</v>
      </c>
      <c r="V45" s="301" t="s">
        <v>1320</v>
      </c>
      <c r="W45" t="s">
        <v>1322</v>
      </c>
      <c r="X45" t="s">
        <v>1320</v>
      </c>
    </row>
    <row r="46" spans="6:24" ht="15.5">
      <c r="F46" s="151" t="s">
        <v>1298</v>
      </c>
      <c r="G46" s="296">
        <v>1E-3</v>
      </c>
      <c r="H46" t="s">
        <v>1322</v>
      </c>
      <c r="I46" s="296">
        <v>1E-3</v>
      </c>
      <c r="J46" s="296">
        <v>1E-3</v>
      </c>
      <c r="K46" t="s">
        <v>1320</v>
      </c>
      <c r="L46" s="296">
        <v>1</v>
      </c>
      <c r="M46" s="296">
        <v>2000</v>
      </c>
      <c r="N46" s="296">
        <v>20</v>
      </c>
      <c r="U46" s="301" t="s">
        <v>1323</v>
      </c>
      <c r="V46" s="301" t="s">
        <v>1320</v>
      </c>
      <c r="W46" t="s">
        <v>1322</v>
      </c>
      <c r="X46" t="s">
        <v>1320</v>
      </c>
    </row>
    <row r="47" spans="6:24" ht="15.5">
      <c r="F47" s="151" t="s">
        <v>1299</v>
      </c>
      <c r="G47" s="296">
        <v>1.0000000000000001E-5</v>
      </c>
      <c r="H47" t="s">
        <v>1324</v>
      </c>
      <c r="I47" s="296">
        <v>1</v>
      </c>
      <c r="J47" s="296">
        <v>1.0000000000000001E-5</v>
      </c>
      <c r="K47" t="s">
        <v>1325</v>
      </c>
      <c r="L47" s="296">
        <v>1000</v>
      </c>
      <c r="M47" s="296">
        <v>20000</v>
      </c>
      <c r="N47" s="296">
        <v>200</v>
      </c>
      <c r="U47" s="301" t="s">
        <v>1324</v>
      </c>
      <c r="V47" s="301" t="s">
        <v>1326</v>
      </c>
      <c r="W47" t="s">
        <v>1324</v>
      </c>
      <c r="X47" t="s">
        <v>1325</v>
      </c>
    </row>
    <row r="48" spans="6:24" ht="15.5">
      <c r="F48" s="151" t="s">
        <v>1300</v>
      </c>
      <c r="G48" s="296">
        <v>1E-4</v>
      </c>
      <c r="H48" t="s">
        <v>1324</v>
      </c>
      <c r="I48" s="296">
        <v>1</v>
      </c>
      <c r="J48" s="296">
        <v>1E-4</v>
      </c>
      <c r="K48" t="s">
        <v>1325</v>
      </c>
      <c r="L48" s="296">
        <v>1000</v>
      </c>
      <c r="M48" s="296">
        <v>200000</v>
      </c>
      <c r="N48" s="296">
        <v>2000</v>
      </c>
      <c r="U48" s="301" t="s">
        <v>1324</v>
      </c>
      <c r="V48" s="301" t="s">
        <v>1326</v>
      </c>
      <c r="W48" t="s">
        <v>1324</v>
      </c>
      <c r="X48" t="s">
        <v>1325</v>
      </c>
    </row>
    <row r="49" spans="6:24" ht="15.5">
      <c r="F49" s="151" t="s">
        <v>1301</v>
      </c>
      <c r="G49" s="296">
        <v>1E-4</v>
      </c>
      <c r="H49" t="s">
        <v>1327</v>
      </c>
      <c r="I49" s="296">
        <v>9.9999999999999995E-7</v>
      </c>
      <c r="J49" s="296">
        <v>1E-4</v>
      </c>
      <c r="K49" t="s">
        <v>1328</v>
      </c>
      <c r="L49" s="296">
        <v>1E-3</v>
      </c>
      <c r="U49" s="300" t="s">
        <v>1329</v>
      </c>
      <c r="V49" s="301" t="s">
        <v>1330</v>
      </c>
      <c r="W49" t="s">
        <v>1327</v>
      </c>
      <c r="X49" t="s">
        <v>1328</v>
      </c>
    </row>
    <row r="50" spans="6:24" ht="15.5">
      <c r="F50" s="151" t="s">
        <v>1302</v>
      </c>
      <c r="G50" s="296">
        <v>1.0000000000000001E-5</v>
      </c>
      <c r="H50" t="s">
        <v>1327</v>
      </c>
      <c r="I50" s="296">
        <v>9.9999999999999995E-7</v>
      </c>
      <c r="J50" s="296">
        <v>1.0000000000000001E-5</v>
      </c>
      <c r="K50" t="s">
        <v>1328</v>
      </c>
      <c r="L50" s="296">
        <v>1E-3</v>
      </c>
      <c r="U50" s="300" t="s">
        <v>1329</v>
      </c>
      <c r="V50" s="301" t="s">
        <v>1330</v>
      </c>
      <c r="W50" t="s">
        <v>1327</v>
      </c>
      <c r="X50" t="s">
        <v>1328</v>
      </c>
    </row>
    <row r="51" spans="6:24" ht="15.5">
      <c r="F51" s="151" t="s">
        <v>1303</v>
      </c>
      <c r="G51" s="296">
        <v>9.9999999999999995E-7</v>
      </c>
      <c r="H51" t="s">
        <v>1327</v>
      </c>
      <c r="I51" s="296">
        <v>9.9999999999999995E-7</v>
      </c>
      <c r="J51" s="296">
        <v>9.9999999999999995E-7</v>
      </c>
      <c r="K51" t="s">
        <v>1328</v>
      </c>
      <c r="L51" s="296">
        <v>1E-3</v>
      </c>
      <c r="U51" s="300" t="s">
        <v>1329</v>
      </c>
      <c r="V51" s="301" t="s">
        <v>1330</v>
      </c>
      <c r="W51" t="s">
        <v>1327</v>
      </c>
      <c r="X51" t="s">
        <v>1328</v>
      </c>
    </row>
    <row r="52" spans="6:24" ht="15.5">
      <c r="F52" s="151" t="s">
        <v>1304</v>
      </c>
      <c r="G52" s="296">
        <v>1E-4</v>
      </c>
      <c r="H52" t="s">
        <v>1331</v>
      </c>
      <c r="I52" s="296">
        <v>1.0000000000000001E-9</v>
      </c>
      <c r="J52" s="296">
        <v>1E-4</v>
      </c>
      <c r="K52" t="s">
        <v>1332</v>
      </c>
      <c r="L52" s="296">
        <v>9.9999999999999995E-7</v>
      </c>
      <c r="U52" s="301" t="s">
        <v>1331</v>
      </c>
      <c r="V52" s="300" t="s">
        <v>1333</v>
      </c>
      <c r="W52" t="s">
        <v>1331</v>
      </c>
      <c r="X52" t="s">
        <v>1332</v>
      </c>
    </row>
    <row r="53" spans="6:24" ht="15.5">
      <c r="F53" s="151" t="s">
        <v>1305</v>
      </c>
      <c r="G53" s="296">
        <v>1.0000000000000001E-5</v>
      </c>
      <c r="H53" t="s">
        <v>1331</v>
      </c>
      <c r="I53" s="296">
        <v>1.0000000000000001E-9</v>
      </c>
      <c r="J53" s="296">
        <v>1.0000000000000001E-5</v>
      </c>
      <c r="K53" t="s">
        <v>1332</v>
      </c>
      <c r="L53" s="296">
        <v>9.9999999999999995E-7</v>
      </c>
      <c r="U53" s="301" t="s">
        <v>1331</v>
      </c>
      <c r="V53" s="300" t="s">
        <v>1333</v>
      </c>
      <c r="W53" t="s">
        <v>1331</v>
      </c>
      <c r="X53" t="s">
        <v>1332</v>
      </c>
    </row>
    <row r="54" spans="6:24" ht="15.5">
      <c r="F54" s="151" t="s">
        <v>1306</v>
      </c>
      <c r="G54" s="296">
        <v>1E-3</v>
      </c>
      <c r="H54" t="s">
        <v>1216</v>
      </c>
      <c r="I54" s="296">
        <v>9.9999999999999998E-13</v>
      </c>
      <c r="J54" s="296">
        <v>1E-3</v>
      </c>
      <c r="K54" t="s">
        <v>1217</v>
      </c>
      <c r="L54" s="296">
        <v>1.0000000000000001E-9</v>
      </c>
      <c r="U54" s="301" t="s">
        <v>1216</v>
      </c>
      <c r="V54" s="301" t="s">
        <v>1217</v>
      </c>
      <c r="W54" t="s">
        <v>1216</v>
      </c>
      <c r="X54" t="s">
        <v>1217</v>
      </c>
    </row>
    <row r="55" spans="6:24" ht="15.5">
      <c r="F55" s="151" t="s">
        <v>1307</v>
      </c>
      <c r="G55" s="296">
        <v>1E-4</v>
      </c>
      <c r="H55" t="s">
        <v>1216</v>
      </c>
      <c r="I55" s="296">
        <v>9.9999999999999998E-13</v>
      </c>
      <c r="J55" s="296">
        <v>1E-4</v>
      </c>
      <c r="K55" t="s">
        <v>1217</v>
      </c>
      <c r="L55" s="296">
        <v>1.0000000000000001E-9</v>
      </c>
      <c r="U55" s="301" t="s">
        <v>1216</v>
      </c>
      <c r="V55" s="301" t="s">
        <v>1217</v>
      </c>
      <c r="W55" t="s">
        <v>1216</v>
      </c>
      <c r="X55" t="s">
        <v>1217</v>
      </c>
    </row>
    <row r="56" spans="6:24" ht="15.5">
      <c r="G56" s="296"/>
      <c r="H56" s="301"/>
      <c r="I56" s="296"/>
      <c r="J56" s="296"/>
      <c r="K56" s="300"/>
      <c r="L56" s="296"/>
    </row>
  </sheetData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X80"/>
  <sheetViews>
    <sheetView topLeftCell="Q1" zoomScale="110" zoomScaleNormal="110" workbookViewId="0">
      <selection activeCell="T5" sqref="T5"/>
    </sheetView>
  </sheetViews>
  <sheetFormatPr defaultColWidth="8.6328125" defaultRowHeight="12.5"/>
  <cols>
    <col min="1" max="1" width="47.54296875" customWidth="1"/>
    <col min="2" max="2" width="20.08984375" customWidth="1"/>
    <col min="3" max="3" width="10.54296875" customWidth="1"/>
    <col min="4" max="4" width="11.81640625" customWidth="1"/>
    <col min="5" max="5" width="19.26953125" customWidth="1"/>
    <col min="18" max="18" width="13" customWidth="1"/>
    <col min="19" max="19" width="13.54296875" customWidth="1"/>
    <col min="20" max="21" width="10.7265625" customWidth="1"/>
    <col min="28" max="28" width="13.1796875" customWidth="1"/>
    <col min="29" max="29" width="13.26953125" customWidth="1"/>
    <col min="31" max="31" width="12" customWidth="1"/>
    <col min="33" max="33" width="7.81640625" customWidth="1"/>
    <col min="34" max="34" width="7.7265625" customWidth="1"/>
    <col min="36" max="36" width="7.453125" customWidth="1"/>
    <col min="37" max="37" width="8.1796875" customWidth="1"/>
    <col min="39" max="39" width="7.26953125" customWidth="1"/>
    <col min="40" max="40" width="6.81640625" customWidth="1"/>
    <col min="41" max="41" width="6.54296875" customWidth="1"/>
    <col min="43" max="43" width="34.08984375" customWidth="1"/>
    <col min="44" max="44" width="7.7265625" customWidth="1"/>
    <col min="45" max="45" width="41.81640625" customWidth="1"/>
    <col min="47" max="48" width="11.453125" customWidth="1"/>
    <col min="49" max="49" width="9.54296875" customWidth="1"/>
  </cols>
  <sheetData>
    <row r="1" spans="1:50" ht="15.5">
      <c r="A1" s="302" t="s">
        <v>1334</v>
      </c>
      <c r="F1" s="303" t="s">
        <v>1335</v>
      </c>
      <c r="S1" t="s">
        <v>1336</v>
      </c>
      <c r="AB1" s="259" t="s">
        <v>1337</v>
      </c>
      <c r="AQ1" s="223" t="s">
        <v>1338</v>
      </c>
      <c r="AR1" s="259"/>
      <c r="AS1" s="151"/>
      <c r="AU1" s="259"/>
      <c r="AV1" s="259"/>
    </row>
    <row r="2" spans="1:50">
      <c r="A2" s="304" t="s">
        <v>1339</v>
      </c>
      <c r="F2" s="304" t="s">
        <v>1340</v>
      </c>
      <c r="AB2" t="s">
        <v>1341</v>
      </c>
      <c r="AP2" s="305"/>
      <c r="AQ2" s="151" t="s">
        <v>1342</v>
      </c>
      <c r="AS2" s="151" t="s">
        <v>1343</v>
      </c>
    </row>
    <row r="3" spans="1:50">
      <c r="A3" s="9" t="s">
        <v>1344</v>
      </c>
      <c r="C3" s="306"/>
      <c r="F3" s="304" t="s">
        <v>1178</v>
      </c>
      <c r="G3">
        <v>1.96</v>
      </c>
      <c r="L3" t="s">
        <v>1345</v>
      </c>
      <c r="S3" s="151" t="s">
        <v>76</v>
      </c>
      <c r="T3" t="s">
        <v>1346</v>
      </c>
      <c r="U3" t="s">
        <v>1347</v>
      </c>
      <c r="V3" t="s">
        <v>1348</v>
      </c>
      <c r="W3" t="s">
        <v>1349</v>
      </c>
      <c r="AB3" s="151" t="s">
        <v>76</v>
      </c>
      <c r="AC3" s="151" t="s">
        <v>1350</v>
      </c>
      <c r="AD3" s="151" t="s">
        <v>103</v>
      </c>
      <c r="AE3" s="151" t="s">
        <v>1351</v>
      </c>
      <c r="AF3" s="151" t="s">
        <v>103</v>
      </c>
      <c r="AG3" s="151"/>
      <c r="AH3" s="151" t="s">
        <v>41</v>
      </c>
      <c r="AI3" s="151" t="s">
        <v>1352</v>
      </c>
      <c r="AJ3" s="151" t="s">
        <v>1353</v>
      </c>
      <c r="AK3" s="151" t="s">
        <v>1354</v>
      </c>
      <c r="AL3" s="151" t="s">
        <v>1355</v>
      </c>
      <c r="AM3" s="151" t="s">
        <v>1353</v>
      </c>
      <c r="AN3" s="151" t="s">
        <v>1356</v>
      </c>
      <c r="AO3" s="151" t="s">
        <v>1357</v>
      </c>
      <c r="AP3" s="151"/>
      <c r="AQ3" s="151" t="s">
        <v>1358</v>
      </c>
      <c r="AR3" s="151" t="s">
        <v>1359</v>
      </c>
      <c r="AS3" s="151" t="s">
        <v>1358</v>
      </c>
      <c r="AT3" s="151" t="s">
        <v>1359</v>
      </c>
    </row>
    <row r="4" spans="1:50">
      <c r="F4" s="304" t="s">
        <v>1179</v>
      </c>
      <c r="G4">
        <v>2.3719999999999999</v>
      </c>
      <c r="L4" t="s">
        <v>1360</v>
      </c>
      <c r="S4" s="307"/>
      <c r="T4" t="s">
        <v>1361</v>
      </c>
      <c r="AB4" s="307"/>
      <c r="AC4" s="308">
        <f>F80</f>
        <v>7.0354848512116632E-5</v>
      </c>
      <c r="AD4" s="309">
        <f>F78</f>
        <v>2.0689921097547925</v>
      </c>
      <c r="AE4" s="308">
        <f>F66</f>
        <v>2.46394474029266E-2</v>
      </c>
      <c r="AF4" s="309">
        <f>F64</f>
        <v>2.1611893636399615</v>
      </c>
      <c r="AG4" s="310"/>
      <c r="AQ4" s="151" t="s">
        <v>1316</v>
      </c>
      <c r="AS4" s="151" t="s">
        <v>1320</v>
      </c>
    </row>
    <row r="5" spans="1:50">
      <c r="A5" s="304" t="s">
        <v>1362</v>
      </c>
      <c r="B5" s="311"/>
      <c r="F5" s="304" t="s">
        <v>1245</v>
      </c>
      <c r="G5">
        <v>1.2737000000000001</v>
      </c>
      <c r="S5" s="307" t="s">
        <v>55</v>
      </c>
      <c r="T5" s="312">
        <v>4.0000000000000001E-3</v>
      </c>
      <c r="U5" s="312">
        <f t="shared" ref="U5:U24" si="0">0.05*T5</f>
        <v>2.0000000000000001E-4</v>
      </c>
      <c r="V5" s="312">
        <v>2.0000000000000002E-5</v>
      </c>
      <c r="W5" s="312">
        <f t="shared" ref="W5:W24" si="1">0.05*V5</f>
        <v>1.0000000000000002E-6</v>
      </c>
      <c r="AB5" s="307" t="s">
        <v>55</v>
      </c>
      <c r="AC5" s="308">
        <v>7.0354848512116605E-5</v>
      </c>
      <c r="AD5" s="309">
        <v>2.0689921097547899</v>
      </c>
      <c r="AE5" s="308">
        <v>2.46394474029266E-2</v>
      </c>
      <c r="AF5" s="309">
        <v>2.1611893636399602</v>
      </c>
      <c r="AG5" s="313"/>
      <c r="AH5" t="str">
        <f t="shared" ref="AH5:AH36" si="2">VLOOKUP(AB5, Results,2,FALSE())</f>
        <v>3Z</v>
      </c>
      <c r="AI5">
        <f t="shared" ref="AI5:AI36" si="3">VLOOKUP(AB5,Results,5,FALSE())</f>
        <v>0.99419949581877542</v>
      </c>
      <c r="AJ5" s="314">
        <f t="shared" ref="AJ5:AJ36" si="4">VLOOKUP(AH5,multiplier,4,FALSE())</f>
        <v>1E-3</v>
      </c>
      <c r="AK5" s="314">
        <f t="shared" ref="AK5:AK36" si="5">VLOOKUP(AH5,multiplier,8,FALSE())</f>
        <v>20</v>
      </c>
      <c r="AL5">
        <f t="shared" ref="AL5:AL36" si="6">VLOOKUP(AB5,Results,7,FALSE())</f>
        <v>5.6914914979891744</v>
      </c>
      <c r="AM5" s="314">
        <f t="shared" ref="AM5:AM36" si="7">VLOOKUP(AH5,multiplier,7,FALSE())</f>
        <v>1</v>
      </c>
      <c r="AN5" s="314">
        <f t="shared" ref="AN5:AN36" si="8">VLOOKUP(AH5,multiplier,9,FALSE())</f>
        <v>0.2</v>
      </c>
      <c r="AO5">
        <f t="shared" ref="AO5:AO36" si="9">VLOOKUP(AB5,Results,9,FALSE())*1000</f>
        <v>1592.22</v>
      </c>
      <c r="AQ5" s="315">
        <f t="shared" ref="AQ5:AQ24" si="10">SQRT((0.000014*AI5*AJ5*1000000)^2+(0.001*AL5*AM5)^2+(AK5/AO5)^2)</f>
        <v>1.9593533602815787E-2</v>
      </c>
      <c r="AR5" s="153">
        <f t="shared" ref="AR5:AR24" si="11">AQ5*0.000001/(AC5*AJ5)</f>
        <v>0.27849585376395714</v>
      </c>
      <c r="AS5" s="315">
        <f t="shared" ref="AS5:AS24" si="12">SQRT((0.000014*AL5)^2+(0.0000001*AI5*AJ5*1000000)^2+(AN5/AO5)^2)</f>
        <v>1.7891740505015198E-4</v>
      </c>
      <c r="AT5" s="251">
        <f t="shared" ref="AT5:AT24" si="13">AS5/AE5</f>
        <v>7.2614211724935322E-3</v>
      </c>
      <c r="AU5" s="316"/>
      <c r="AV5" s="153"/>
      <c r="AW5" s="316"/>
      <c r="AX5" s="152"/>
    </row>
    <row r="6" spans="1:50">
      <c r="A6" s="304" t="s">
        <v>1363</v>
      </c>
      <c r="B6" s="311"/>
      <c r="F6" s="304" t="s">
        <v>1246</v>
      </c>
      <c r="G6">
        <v>7.0961999999999996</v>
      </c>
      <c r="S6" s="307" t="s">
        <v>56</v>
      </c>
      <c r="T6" s="312">
        <v>4.0000000000000001E-3</v>
      </c>
      <c r="U6" s="312">
        <f t="shared" si="0"/>
        <v>2.0000000000000001E-4</v>
      </c>
      <c r="V6" s="312">
        <v>2.0000000000000002E-5</v>
      </c>
      <c r="W6" s="312">
        <f t="shared" si="1"/>
        <v>1.0000000000000002E-6</v>
      </c>
      <c r="AB6" s="307" t="s">
        <v>56</v>
      </c>
      <c r="AC6" s="308">
        <v>1.2681450620557401E-4</v>
      </c>
      <c r="AD6" s="309">
        <v>2.0918646476835798</v>
      </c>
      <c r="AE6" s="308">
        <v>3.62899179652547E-2</v>
      </c>
      <c r="AF6" s="309">
        <v>2.16116573166937</v>
      </c>
      <c r="AG6" s="313"/>
      <c r="AH6" t="str">
        <f t="shared" si="2"/>
        <v>3Z</v>
      </c>
      <c r="AI6">
        <f t="shared" si="3"/>
        <v>1.9807774623034067</v>
      </c>
      <c r="AJ6" s="314">
        <f t="shared" si="4"/>
        <v>1E-3</v>
      </c>
      <c r="AK6" s="314">
        <f t="shared" si="5"/>
        <v>20</v>
      </c>
      <c r="AL6">
        <f t="shared" si="6"/>
        <v>8.3824613285417247</v>
      </c>
      <c r="AM6" s="314">
        <f t="shared" si="7"/>
        <v>1</v>
      </c>
      <c r="AN6" s="314">
        <f t="shared" si="8"/>
        <v>0.2</v>
      </c>
      <c r="AO6">
        <f t="shared" si="9"/>
        <v>1592.31</v>
      </c>
      <c r="AQ6" s="315">
        <f t="shared" si="10"/>
        <v>3.1575789184367355E-2</v>
      </c>
      <c r="AR6" s="153">
        <f t="shared" si="11"/>
        <v>0.24899193419703169</v>
      </c>
      <c r="AS6" s="315">
        <f t="shared" si="12"/>
        <v>2.6226541444248648E-4</v>
      </c>
      <c r="AT6" s="251">
        <f t="shared" si="13"/>
        <v>7.2269497741380686E-3</v>
      </c>
      <c r="AU6" s="316"/>
      <c r="AV6" s="153"/>
      <c r="AW6" s="316"/>
      <c r="AX6" s="152"/>
    </row>
    <row r="7" spans="1:50">
      <c r="A7" s="304" t="s">
        <v>1364</v>
      </c>
      <c r="B7" s="311"/>
      <c r="O7" s="151"/>
      <c r="P7" s="151"/>
      <c r="Q7" s="151"/>
      <c r="R7" s="151"/>
      <c r="S7" s="307" t="s">
        <v>57</v>
      </c>
      <c r="T7" s="312">
        <v>4.0000000000000001E-3</v>
      </c>
      <c r="U7" s="312">
        <f t="shared" si="0"/>
        <v>2.0000000000000001E-4</v>
      </c>
      <c r="V7" s="312">
        <v>2.0000000000000002E-5</v>
      </c>
      <c r="W7" s="312">
        <f t="shared" si="1"/>
        <v>1.0000000000000002E-6</v>
      </c>
      <c r="Z7" s="151"/>
      <c r="AA7" s="151"/>
      <c r="AB7" s="307" t="s">
        <v>57</v>
      </c>
      <c r="AC7" s="308">
        <v>1.8621611490830499E-4</v>
      </c>
      <c r="AD7" s="309">
        <v>2.1049841430547498</v>
      </c>
      <c r="AE7" s="308">
        <v>4.6159650304868301E-2</v>
      </c>
      <c r="AF7" s="309">
        <v>2.1611208380101701</v>
      </c>
      <c r="AG7" s="313"/>
      <c r="AH7" t="str">
        <f t="shared" si="2"/>
        <v>3Z</v>
      </c>
      <c r="AI7">
        <f t="shared" si="3"/>
        <v>2.9697059004330826</v>
      </c>
      <c r="AJ7" s="314">
        <f t="shared" si="4"/>
        <v>1E-3</v>
      </c>
      <c r="AK7" s="314">
        <f t="shared" si="5"/>
        <v>20</v>
      </c>
      <c r="AL7">
        <f t="shared" si="6"/>
        <v>10.661872126260937</v>
      </c>
      <c r="AM7" s="314">
        <f t="shared" si="7"/>
        <v>1</v>
      </c>
      <c r="AN7" s="314">
        <f t="shared" si="8"/>
        <v>0.2</v>
      </c>
      <c r="AO7">
        <f t="shared" si="9"/>
        <v>1592.41</v>
      </c>
      <c r="AQ7" s="315">
        <f t="shared" si="10"/>
        <v>4.4721052861703602E-2</v>
      </c>
      <c r="AR7" s="153">
        <f t="shared" si="11"/>
        <v>0.24015672802391336</v>
      </c>
      <c r="AS7" s="315">
        <f t="shared" si="12"/>
        <v>3.5531146401996658E-4</v>
      </c>
      <c r="AT7" s="251">
        <f t="shared" si="13"/>
        <v>7.6974470489542049E-3</v>
      </c>
      <c r="AU7" s="316"/>
      <c r="AV7" s="153"/>
      <c r="AW7" s="316"/>
      <c r="AX7" s="152"/>
    </row>
    <row r="8" spans="1:50">
      <c r="A8" s="304" t="s">
        <v>1365</v>
      </c>
      <c r="B8" s="311"/>
      <c r="O8" s="151"/>
      <c r="P8" s="317"/>
      <c r="Q8" s="318"/>
      <c r="R8" s="319"/>
      <c r="S8" s="307" t="s">
        <v>58</v>
      </c>
      <c r="T8" s="312">
        <v>4.0000000000000001E-3</v>
      </c>
      <c r="U8" s="312">
        <f t="shared" si="0"/>
        <v>2.0000000000000001E-4</v>
      </c>
      <c r="V8" s="312">
        <v>2.0000000000000002E-5</v>
      </c>
      <c r="W8" s="312">
        <f t="shared" si="1"/>
        <v>1.0000000000000002E-6</v>
      </c>
      <c r="Z8" s="319"/>
      <c r="AA8" s="318"/>
      <c r="AB8" s="307" t="s">
        <v>58</v>
      </c>
      <c r="AC8" s="308">
        <v>2.4566311735745998E-4</v>
      </c>
      <c r="AD8" s="309">
        <v>2.1113631382486999</v>
      </c>
      <c r="AE8" s="308">
        <v>5.4755824587075903E-2</v>
      </c>
      <c r="AF8" s="309">
        <v>2.1610729144666498</v>
      </c>
      <c r="AG8" s="313"/>
      <c r="AH8" t="str">
        <f t="shared" si="2"/>
        <v>3Z</v>
      </c>
      <c r="AI8">
        <f t="shared" si="3"/>
        <v>3.9494224901155843</v>
      </c>
      <c r="AJ8" s="314">
        <f t="shared" si="4"/>
        <v>1E-3</v>
      </c>
      <c r="AK8" s="314">
        <f t="shared" si="5"/>
        <v>20</v>
      </c>
      <c r="AL8">
        <f t="shared" si="6"/>
        <v>12.646962161550064</v>
      </c>
      <c r="AM8" s="314">
        <f t="shared" si="7"/>
        <v>1</v>
      </c>
      <c r="AN8" s="314">
        <f t="shared" si="8"/>
        <v>0.2</v>
      </c>
      <c r="AO8">
        <f t="shared" si="9"/>
        <v>1592.51</v>
      </c>
      <c r="AQ8" s="315">
        <f t="shared" si="10"/>
        <v>5.809358594830745E-2</v>
      </c>
      <c r="AR8" s="153">
        <f t="shared" si="11"/>
        <v>0.23647662935000746</v>
      </c>
      <c r="AS8" s="315">
        <f t="shared" si="12"/>
        <v>4.5066733913731553E-4</v>
      </c>
      <c r="AT8" s="251">
        <f t="shared" si="13"/>
        <v>8.2304913228114767E-3</v>
      </c>
      <c r="AU8" s="316"/>
      <c r="AV8" s="153"/>
      <c r="AW8" s="316"/>
      <c r="AX8" s="152"/>
    </row>
    <row r="9" spans="1:50" ht="13">
      <c r="A9" s="320" t="s">
        <v>1366</v>
      </c>
      <c r="B9" s="321" t="s">
        <v>55</v>
      </c>
      <c r="O9" s="151"/>
      <c r="P9" s="322"/>
      <c r="Q9" s="323"/>
      <c r="R9" s="322"/>
      <c r="S9" s="307" t="s">
        <v>59</v>
      </c>
      <c r="T9" s="312">
        <v>4.0000000000000001E-3</v>
      </c>
      <c r="U9" s="312">
        <f t="shared" si="0"/>
        <v>2.0000000000000001E-4</v>
      </c>
      <c r="V9" s="312">
        <v>2.0000000000000002E-5</v>
      </c>
      <c r="W9" s="312">
        <f t="shared" si="1"/>
        <v>1.0000000000000002E-6</v>
      </c>
      <c r="Z9" s="322"/>
      <c r="AA9" s="323"/>
      <c r="AB9" s="307" t="s">
        <v>59</v>
      </c>
      <c r="AC9" s="308">
        <v>3.0556721734767103E-4</v>
      </c>
      <c r="AD9" s="309">
        <v>2.1150498162178599</v>
      </c>
      <c r="AE9" s="308">
        <v>6.2412783356981201E-2</v>
      </c>
      <c r="AF9" s="309">
        <v>2.1610228592569301</v>
      </c>
      <c r="AG9" s="313"/>
      <c r="AH9" t="str">
        <f t="shared" si="2"/>
        <v>3Z</v>
      </c>
      <c r="AI9">
        <f t="shared" si="3"/>
        <v>4.9333499247451664</v>
      </c>
      <c r="AJ9" s="314">
        <f t="shared" si="4"/>
        <v>1E-3</v>
      </c>
      <c r="AK9" s="314">
        <f t="shared" si="5"/>
        <v>20</v>
      </c>
      <c r="AL9">
        <f t="shared" si="6"/>
        <v>14.414976883576967</v>
      </c>
      <c r="AM9" s="314">
        <f t="shared" si="7"/>
        <v>1</v>
      </c>
      <c r="AN9" s="314">
        <f t="shared" si="8"/>
        <v>0.2</v>
      </c>
      <c r="AO9">
        <f t="shared" si="9"/>
        <v>1592.6</v>
      </c>
      <c r="AQ9" s="315">
        <f t="shared" si="10"/>
        <v>7.1664032053589899E-2</v>
      </c>
      <c r="AR9" s="153">
        <f t="shared" si="11"/>
        <v>0.2345278812159072</v>
      </c>
      <c r="AS9" s="315">
        <f t="shared" si="12"/>
        <v>5.4761035456896492E-4</v>
      </c>
      <c r="AT9" s="251">
        <f t="shared" si="13"/>
        <v>8.7740095075845032E-3</v>
      </c>
      <c r="AU9" s="316"/>
      <c r="AV9" s="153"/>
      <c r="AW9" s="316"/>
      <c r="AX9" s="152"/>
    </row>
    <row r="10" spans="1:50" ht="15.5">
      <c r="A10" s="324" t="s">
        <v>1367</v>
      </c>
      <c r="B10" s="325"/>
      <c r="C10" s="326"/>
      <c r="D10" s="327"/>
      <c r="F10" s="304" t="s">
        <v>1368</v>
      </c>
      <c r="O10" s="151"/>
      <c r="P10" s="322"/>
      <c r="Q10" s="323"/>
      <c r="R10" s="322"/>
      <c r="S10" s="307" t="s">
        <v>60</v>
      </c>
      <c r="T10" s="312">
        <v>4.0000000000000001E-3</v>
      </c>
      <c r="U10" s="312">
        <f t="shared" si="0"/>
        <v>2.0000000000000001E-4</v>
      </c>
      <c r="V10" s="312">
        <v>2.0000000000000002E-5</v>
      </c>
      <c r="W10" s="312">
        <f t="shared" si="1"/>
        <v>1.0000000000000002E-6</v>
      </c>
      <c r="Z10" s="322"/>
      <c r="AA10" s="323"/>
      <c r="AB10" s="307" t="s">
        <v>60</v>
      </c>
      <c r="AC10" s="308">
        <v>3.65513994217123E-4</v>
      </c>
      <c r="AD10" s="309">
        <v>2.1173333526086302</v>
      </c>
      <c r="AE10" s="308">
        <v>6.9712738005878502E-2</v>
      </c>
      <c r="AF10" s="309">
        <v>2.1609762229494098</v>
      </c>
      <c r="AG10" s="313"/>
      <c r="AH10" t="str">
        <f t="shared" si="2"/>
        <v>3Z</v>
      </c>
      <c r="AI10">
        <f t="shared" si="3"/>
        <v>5.9159670964577229</v>
      </c>
      <c r="AJ10" s="314">
        <f t="shared" si="4"/>
        <v>1E-3</v>
      </c>
      <c r="AK10" s="314">
        <f t="shared" si="5"/>
        <v>20</v>
      </c>
      <c r="AL10">
        <f t="shared" si="6"/>
        <v>16.100455783234331</v>
      </c>
      <c r="AM10" s="314">
        <f t="shared" si="7"/>
        <v>1</v>
      </c>
      <c r="AN10" s="314">
        <f t="shared" si="8"/>
        <v>0.2</v>
      </c>
      <c r="AO10">
        <f t="shared" si="9"/>
        <v>1592.68</v>
      </c>
      <c r="AQ10" s="315">
        <f t="shared" si="10"/>
        <v>8.5303299501716862E-2</v>
      </c>
      <c r="AR10" s="153">
        <f t="shared" si="11"/>
        <v>0.23337902474684707</v>
      </c>
      <c r="AS10" s="315">
        <f t="shared" si="12"/>
        <v>6.4541743030064019E-4</v>
      </c>
      <c r="AT10" s="251">
        <f t="shared" si="13"/>
        <v>9.2582424498405952E-3</v>
      </c>
      <c r="AU10" s="316"/>
      <c r="AV10" s="153"/>
      <c r="AW10" s="316"/>
      <c r="AX10" s="152"/>
    </row>
    <row r="11" spans="1:50" ht="13">
      <c r="A11" s="328"/>
      <c r="B11" s="329" t="s">
        <v>1369</v>
      </c>
      <c r="C11" s="330" t="s">
        <v>1370</v>
      </c>
      <c r="D11" s="330">
        <f>VLOOKUP(label,Results,3,FALSE())</f>
        <v>99399</v>
      </c>
      <c r="E11" s="330" t="s">
        <v>1371</v>
      </c>
      <c r="F11" s="328"/>
      <c r="O11" s="151"/>
      <c r="P11" s="322"/>
      <c r="Q11" s="323"/>
      <c r="R11" s="322"/>
      <c r="S11" s="307" t="s">
        <v>61</v>
      </c>
      <c r="T11" s="312">
        <v>4.0000000000000001E-3</v>
      </c>
      <c r="U11" s="312">
        <f t="shared" si="0"/>
        <v>2.0000000000000001E-4</v>
      </c>
      <c r="V11" s="312">
        <v>2.0000000000000002E-5</v>
      </c>
      <c r="W11" s="312">
        <f t="shared" si="1"/>
        <v>1.0000000000000002E-6</v>
      </c>
      <c r="Z11" s="322"/>
      <c r="AA11" s="323"/>
      <c r="AB11" s="307" t="s">
        <v>61</v>
      </c>
      <c r="AC11" s="308">
        <v>4.2518958312958799E-4</v>
      </c>
      <c r="AD11" s="309">
        <v>2.1188414032160798</v>
      </c>
      <c r="AE11" s="308">
        <v>7.6827316914593505E-2</v>
      </c>
      <c r="AF11" s="309">
        <v>2.1609343001944898</v>
      </c>
      <c r="AG11" s="313"/>
      <c r="AH11" t="str">
        <f t="shared" si="2"/>
        <v>3Z</v>
      </c>
      <c r="AI11">
        <f t="shared" si="3"/>
        <v>6.8928931261871718</v>
      </c>
      <c r="AJ11" s="314">
        <f t="shared" si="4"/>
        <v>1E-3</v>
      </c>
      <c r="AK11" s="314">
        <f t="shared" si="5"/>
        <v>20</v>
      </c>
      <c r="AL11">
        <f t="shared" si="6"/>
        <v>17.743071659182036</v>
      </c>
      <c r="AM11" s="314">
        <f t="shared" si="7"/>
        <v>1</v>
      </c>
      <c r="AN11" s="314">
        <f t="shared" si="8"/>
        <v>0.2</v>
      </c>
      <c r="AO11">
        <f t="shared" si="9"/>
        <v>1592.75</v>
      </c>
      <c r="AQ11" s="315">
        <f t="shared" si="10"/>
        <v>9.8918347730335907E-2</v>
      </c>
      <c r="AR11" s="153">
        <f t="shared" si="11"/>
        <v>0.23264527555508777</v>
      </c>
      <c r="AS11" s="315">
        <f t="shared" si="12"/>
        <v>7.4336490256257876E-4</v>
      </c>
      <c r="AT11" s="251">
        <f t="shared" si="13"/>
        <v>9.6757889305044194E-3</v>
      </c>
      <c r="AU11" s="316"/>
      <c r="AV11" s="153"/>
      <c r="AW11" s="316"/>
      <c r="AX11" s="152"/>
    </row>
    <row r="12" spans="1:50" ht="13">
      <c r="A12" s="331" t="s">
        <v>1372</v>
      </c>
      <c r="B12" s="329" t="s">
        <v>1373</v>
      </c>
      <c r="E12" s="332" t="s">
        <v>1374</v>
      </c>
      <c r="S12" s="307" t="s">
        <v>62</v>
      </c>
      <c r="T12" s="312">
        <v>4.0000000000000001E-3</v>
      </c>
      <c r="U12" s="312">
        <f t="shared" si="0"/>
        <v>2.0000000000000001E-4</v>
      </c>
      <c r="V12" s="312">
        <v>2.0000000000000002E-5</v>
      </c>
      <c r="W12" s="312">
        <f t="shared" si="1"/>
        <v>1.0000000000000002E-6</v>
      </c>
      <c r="AB12" s="333" t="s">
        <v>62</v>
      </c>
      <c r="AC12" s="308">
        <v>4.8460715328842402E-4</v>
      </c>
      <c r="AD12" s="309">
        <v>2.1199614108329099</v>
      </c>
      <c r="AE12" s="308">
        <v>8.3387610319554106E-2</v>
      </c>
      <c r="AF12" s="309">
        <v>2.1608918728915998</v>
      </c>
      <c r="AG12" s="313"/>
      <c r="AH12" t="str">
        <f t="shared" si="2"/>
        <v>3Z</v>
      </c>
      <c r="AI12">
        <f t="shared" si="3"/>
        <v>7.8653282547735364</v>
      </c>
      <c r="AJ12" s="314">
        <f t="shared" si="4"/>
        <v>1E-3</v>
      </c>
      <c r="AK12" s="314">
        <f t="shared" si="5"/>
        <v>20</v>
      </c>
      <c r="AL12">
        <f t="shared" si="6"/>
        <v>19.257578497864046</v>
      </c>
      <c r="AM12" s="314">
        <f t="shared" si="7"/>
        <v>1</v>
      </c>
      <c r="AN12" s="314">
        <f t="shared" si="8"/>
        <v>0.2</v>
      </c>
      <c r="AO12">
        <f t="shared" si="9"/>
        <v>1592.8500000000001</v>
      </c>
      <c r="AQ12" s="315">
        <f t="shared" si="10"/>
        <v>0.11248881894535209</v>
      </c>
      <c r="AR12" s="153">
        <f t="shared" si="11"/>
        <v>0.23212372781134336</v>
      </c>
      <c r="AS12" s="315">
        <f t="shared" si="12"/>
        <v>8.4088460818503561E-4</v>
      </c>
      <c r="AT12" s="251">
        <f t="shared" si="13"/>
        <v>1.0084047317852578E-2</v>
      </c>
      <c r="AU12" s="316"/>
      <c r="AV12" s="152"/>
      <c r="AW12" s="316"/>
      <c r="AX12" s="152"/>
    </row>
    <row r="13" spans="1:50" ht="15.5">
      <c r="A13" s="334"/>
      <c r="B13" s="329" t="s">
        <v>1375</v>
      </c>
      <c r="C13" s="331" t="s">
        <v>1376</v>
      </c>
      <c r="D13" s="331" t="s">
        <v>1377</v>
      </c>
      <c r="E13" s="331" t="s">
        <v>1378</v>
      </c>
      <c r="F13" s="331" t="s">
        <v>1379</v>
      </c>
      <c r="K13" s="335" t="s">
        <v>1380</v>
      </c>
      <c r="S13" s="307" t="s">
        <v>63</v>
      </c>
      <c r="T13" s="312">
        <v>4.0000000000000001E-3</v>
      </c>
      <c r="U13" s="312">
        <f t="shared" si="0"/>
        <v>2.0000000000000001E-4</v>
      </c>
      <c r="V13" s="312">
        <v>2.0000000000000002E-5</v>
      </c>
      <c r="W13" s="312">
        <f t="shared" si="1"/>
        <v>1.0000000000000002E-6</v>
      </c>
      <c r="AB13" s="333" t="s">
        <v>63</v>
      </c>
      <c r="AC13" s="308">
        <v>5.43849884178874E-4</v>
      </c>
      <c r="AD13" s="309">
        <v>2.1208049087090401</v>
      </c>
      <c r="AE13" s="308">
        <v>8.9692541470112894E-2</v>
      </c>
      <c r="AF13" s="309">
        <v>2.16085131299829</v>
      </c>
      <c r="AG13" s="313"/>
      <c r="AH13" t="str">
        <f t="shared" si="2"/>
        <v>3Z</v>
      </c>
      <c r="AI13">
        <f t="shared" si="3"/>
        <v>8.8345327350988399</v>
      </c>
      <c r="AJ13" s="314">
        <f t="shared" si="4"/>
        <v>1E-3</v>
      </c>
      <c r="AK13" s="314">
        <f t="shared" si="5"/>
        <v>20</v>
      </c>
      <c r="AL13">
        <f t="shared" si="6"/>
        <v>20.713051172066791</v>
      </c>
      <c r="AM13" s="314">
        <f t="shared" si="7"/>
        <v>1</v>
      </c>
      <c r="AN13" s="314">
        <f t="shared" si="8"/>
        <v>0.2</v>
      </c>
      <c r="AO13">
        <f t="shared" si="9"/>
        <v>1592.9199999999998</v>
      </c>
      <c r="AQ13" s="315">
        <f t="shared" si="10"/>
        <v>0.12603281473150113</v>
      </c>
      <c r="AR13" s="153">
        <f t="shared" si="11"/>
        <v>0.23174191702144142</v>
      </c>
      <c r="AS13" s="315">
        <f t="shared" si="12"/>
        <v>9.3826641569887354E-4</v>
      </c>
      <c r="AT13" s="251">
        <f t="shared" si="13"/>
        <v>1.0460919049902496E-2</v>
      </c>
      <c r="AU13" s="316"/>
      <c r="AV13" s="152"/>
      <c r="AW13" s="316"/>
      <c r="AX13" s="152"/>
    </row>
    <row r="14" spans="1:50">
      <c r="A14" s="336" t="s">
        <v>1381</v>
      </c>
      <c r="B14" s="337">
        <f>2.5*0.000001*D11</f>
        <v>0.24849749999999998</v>
      </c>
      <c r="C14" s="338">
        <f t="shared" ref="C14:C22" si="14">B14^2</f>
        <v>6.175100750624999E-2</v>
      </c>
      <c r="D14" s="339">
        <v>30</v>
      </c>
      <c r="E14" s="340">
        <f t="shared" ref="E14:E19" si="15">0.5*(1/(0.01*D14)^2)</f>
        <v>5.5555555555555554</v>
      </c>
      <c r="F14" s="338">
        <f t="shared" ref="F14:F22" si="16">B14^4/E14</f>
        <v>6.8637364704664965E-4</v>
      </c>
      <c r="G14" t="s">
        <v>1382</v>
      </c>
      <c r="K14" s="341"/>
      <c r="S14" s="307" t="s">
        <v>64</v>
      </c>
      <c r="T14" s="312">
        <v>4.0000000000000001E-3</v>
      </c>
      <c r="U14" s="312">
        <f t="shared" si="0"/>
        <v>2.0000000000000001E-4</v>
      </c>
      <c r="V14" s="312">
        <v>2.0000000000000002E-5</v>
      </c>
      <c r="W14" s="312">
        <f t="shared" si="1"/>
        <v>1.0000000000000002E-6</v>
      </c>
      <c r="AB14" s="333" t="s">
        <v>64</v>
      </c>
      <c r="AC14" s="308">
        <v>6.0320871691341095E-4</v>
      </c>
      <c r="AD14" s="309">
        <v>2.12143333288493</v>
      </c>
      <c r="AE14" s="308">
        <v>9.6090494144193295E-2</v>
      </c>
      <c r="AF14" s="309">
        <v>2.1608154693760699</v>
      </c>
      <c r="AG14" s="313"/>
      <c r="AH14" t="str">
        <f t="shared" si="2"/>
        <v>3Z</v>
      </c>
      <c r="AI14">
        <f t="shared" si="3"/>
        <v>9.8050674823551685</v>
      </c>
      <c r="AJ14" s="314">
        <f t="shared" si="4"/>
        <v>1E-3</v>
      </c>
      <c r="AK14" s="314">
        <f t="shared" si="5"/>
        <v>20</v>
      </c>
      <c r="AL14">
        <f t="shared" si="6"/>
        <v>22.189995360946309</v>
      </c>
      <c r="AM14" s="314">
        <f t="shared" si="7"/>
        <v>1</v>
      </c>
      <c r="AN14" s="314">
        <f t="shared" si="8"/>
        <v>0.2</v>
      </c>
      <c r="AO14">
        <f t="shared" si="9"/>
        <v>1591.2900000000002</v>
      </c>
      <c r="AQ14" s="315">
        <f t="shared" si="10"/>
        <v>0.13961974549474035</v>
      </c>
      <c r="AR14" s="153">
        <f t="shared" si="11"/>
        <v>0.23146175043551701</v>
      </c>
      <c r="AS14" s="315">
        <f t="shared" si="12"/>
        <v>1.0361947669405795E-3</v>
      </c>
      <c r="AT14" s="251">
        <f t="shared" si="13"/>
        <v>1.0783530422745737E-2</v>
      </c>
      <c r="AU14" s="316"/>
      <c r="AV14" s="152"/>
      <c r="AW14" s="316"/>
      <c r="AX14" s="152"/>
    </row>
    <row r="15" spans="1:50">
      <c r="A15" s="336" t="s">
        <v>1383</v>
      </c>
      <c r="B15" s="340">
        <v>1</v>
      </c>
      <c r="C15" s="338">
        <f t="shared" si="14"/>
        <v>1</v>
      </c>
      <c r="D15" s="339">
        <v>30</v>
      </c>
      <c r="E15" s="340">
        <f t="shared" si="15"/>
        <v>5.5555555555555554</v>
      </c>
      <c r="F15" s="338">
        <f t="shared" si="16"/>
        <v>0.18</v>
      </c>
      <c r="G15" t="s">
        <v>1384</v>
      </c>
      <c r="K15" s="341"/>
      <c r="S15" s="307" t="s">
        <v>66</v>
      </c>
      <c r="T15" s="312">
        <v>4.0000000000000001E-3</v>
      </c>
      <c r="U15" s="312">
        <f t="shared" si="0"/>
        <v>2.0000000000000001E-4</v>
      </c>
      <c r="V15" s="312">
        <v>2.0000000000000002E-5</v>
      </c>
      <c r="W15" s="312">
        <f t="shared" si="1"/>
        <v>1.0000000000000002E-6</v>
      </c>
      <c r="AB15" s="333" t="s">
        <v>66</v>
      </c>
      <c r="AC15" s="308">
        <v>7.6874384070307299E-3</v>
      </c>
      <c r="AD15" s="309">
        <v>2.04202071709059</v>
      </c>
      <c r="AE15" s="308">
        <v>5.0478153500966997E-3</v>
      </c>
      <c r="AF15" s="309">
        <v>2.16131914079264</v>
      </c>
      <c r="AG15" s="313"/>
      <c r="AH15" t="str">
        <f t="shared" si="2"/>
        <v>2Z</v>
      </c>
      <c r="AI15">
        <f t="shared" si="3"/>
        <v>99.1588971991726</v>
      </c>
      <c r="AJ15" s="314">
        <f t="shared" si="4"/>
        <v>9.9999999999999995E-7</v>
      </c>
      <c r="AK15" s="314">
        <f t="shared" si="5"/>
        <v>2</v>
      </c>
      <c r="AL15">
        <f t="shared" si="6"/>
        <v>1.1660992607762031</v>
      </c>
      <c r="AM15" s="314">
        <f t="shared" si="7"/>
        <v>1</v>
      </c>
      <c r="AN15" s="314">
        <f t="shared" si="8"/>
        <v>0.02</v>
      </c>
      <c r="AO15">
        <f t="shared" si="9"/>
        <v>1591.73</v>
      </c>
      <c r="AQ15" s="315">
        <f t="shared" si="10"/>
        <v>2.2058407378392768E-3</v>
      </c>
      <c r="AR15" s="153">
        <f t="shared" si="11"/>
        <v>0.28694093156204969</v>
      </c>
      <c r="AS15" s="315">
        <f t="shared" si="12"/>
        <v>2.286309385331355E-5</v>
      </c>
      <c r="AT15" s="251">
        <f t="shared" si="13"/>
        <v>4.529304712557595E-3</v>
      </c>
      <c r="AU15" s="316"/>
      <c r="AV15" s="152"/>
      <c r="AW15" s="316"/>
      <c r="AX15" s="152"/>
    </row>
    <row r="16" spans="1:50">
      <c r="A16" s="336" t="s">
        <v>1385</v>
      </c>
      <c r="B16" s="337">
        <f>17*0.000001*D11</f>
        <v>1.689783</v>
      </c>
      <c r="C16" s="338">
        <f t="shared" si="14"/>
        <v>2.8553665870890002</v>
      </c>
      <c r="D16" s="339">
        <v>30</v>
      </c>
      <c r="E16" s="340">
        <f t="shared" si="15"/>
        <v>5.5555555555555554</v>
      </c>
      <c r="F16" s="338">
        <f t="shared" si="16"/>
        <v>1.4675613023995713</v>
      </c>
      <c r="G16" t="s">
        <v>1386</v>
      </c>
      <c r="K16" s="342" t="s">
        <v>1387</v>
      </c>
      <c r="S16" s="307" t="s">
        <v>67</v>
      </c>
      <c r="T16" s="312">
        <v>4.0000000000000001E-3</v>
      </c>
      <c r="U16" s="312">
        <f t="shared" si="0"/>
        <v>2.0000000000000001E-4</v>
      </c>
      <c r="V16" s="312">
        <v>2.0000000000000002E-5</v>
      </c>
      <c r="W16" s="312">
        <f t="shared" si="1"/>
        <v>1.0000000000000002E-6</v>
      </c>
      <c r="AB16" s="333" t="s">
        <v>67</v>
      </c>
      <c r="AC16" s="308">
        <v>1.35289017448626E-2</v>
      </c>
      <c r="AD16" s="309">
        <v>2.0629860540240199</v>
      </c>
      <c r="AE16" s="308">
        <v>7.5275999506981299E-3</v>
      </c>
      <c r="AF16" s="309">
        <v>2.1613141908454598</v>
      </c>
      <c r="AG16" s="313"/>
      <c r="AH16" t="str">
        <f t="shared" si="2"/>
        <v>2Z</v>
      </c>
      <c r="AI16">
        <f t="shared" si="3"/>
        <v>199.03293789885871</v>
      </c>
      <c r="AJ16" s="314">
        <f t="shared" si="4"/>
        <v>9.9999999999999995E-7</v>
      </c>
      <c r="AK16" s="314">
        <f t="shared" si="5"/>
        <v>2</v>
      </c>
      <c r="AL16">
        <f t="shared" si="6"/>
        <v>1.7389426711813616</v>
      </c>
      <c r="AM16" s="314">
        <f t="shared" si="7"/>
        <v>1</v>
      </c>
      <c r="AN16" s="314">
        <f t="shared" si="8"/>
        <v>0.02</v>
      </c>
      <c r="AO16">
        <f t="shared" si="9"/>
        <v>1591.79</v>
      </c>
      <c r="AQ16" s="315">
        <f t="shared" si="10"/>
        <v>3.5166669834669271E-3</v>
      </c>
      <c r="AR16" s="153">
        <f t="shared" si="11"/>
        <v>0.25993735853705419</v>
      </c>
      <c r="AS16" s="315">
        <f t="shared" si="12"/>
        <v>3.3862895366942618E-5</v>
      </c>
      <c r="AT16" s="251">
        <f t="shared" si="13"/>
        <v>4.4984982715243899E-3</v>
      </c>
      <c r="AU16" s="316"/>
      <c r="AV16" s="152"/>
      <c r="AW16" s="316"/>
      <c r="AX16" s="152"/>
    </row>
    <row r="17" spans="1:50">
      <c r="A17" s="343" t="s">
        <v>1388</v>
      </c>
      <c r="B17" s="344">
        <f>2*0.000001*D11</f>
        <v>0.198798</v>
      </c>
      <c r="C17" s="338">
        <f t="shared" si="14"/>
        <v>3.9520644803999999E-2</v>
      </c>
      <c r="D17" s="339">
        <v>50</v>
      </c>
      <c r="E17" s="340">
        <f t="shared" si="15"/>
        <v>2</v>
      </c>
      <c r="F17" s="338">
        <f t="shared" si="16"/>
        <v>7.8094068286196602E-4</v>
      </c>
      <c r="G17" t="s">
        <v>1389</v>
      </c>
      <c r="K17" s="341"/>
      <c r="S17" s="307" t="s">
        <v>68</v>
      </c>
      <c r="T17" s="312">
        <v>4.0000000000000001E-3</v>
      </c>
      <c r="U17" s="312">
        <f t="shared" si="0"/>
        <v>2.0000000000000001E-4</v>
      </c>
      <c r="V17" s="312">
        <v>2.0000000000000002E-5</v>
      </c>
      <c r="W17" s="312">
        <f t="shared" si="1"/>
        <v>1.0000000000000002E-6</v>
      </c>
      <c r="AB17" s="333" t="s">
        <v>68</v>
      </c>
      <c r="AC17" s="308">
        <v>1.95447639105591E-2</v>
      </c>
      <c r="AD17" s="309">
        <v>2.07804392831429</v>
      </c>
      <c r="AE17" s="308">
        <v>9.5498358431930393E-3</v>
      </c>
      <c r="AF17" s="309">
        <v>2.1613033508921</v>
      </c>
      <c r="AG17" s="313"/>
      <c r="AH17" t="str">
        <f t="shared" si="2"/>
        <v>2Z</v>
      </c>
      <c r="AI17">
        <f t="shared" si="3"/>
        <v>298.30085697433333</v>
      </c>
      <c r="AJ17" s="314">
        <f t="shared" si="4"/>
        <v>9.9999999999999995E-7</v>
      </c>
      <c r="AK17" s="314">
        <f t="shared" si="5"/>
        <v>2</v>
      </c>
      <c r="AL17">
        <f t="shared" si="6"/>
        <v>2.2060766244666268</v>
      </c>
      <c r="AM17" s="314">
        <f t="shared" si="7"/>
        <v>1</v>
      </c>
      <c r="AN17" s="314">
        <f t="shared" si="8"/>
        <v>0.02</v>
      </c>
      <c r="AO17">
        <f t="shared" si="9"/>
        <v>1591.84</v>
      </c>
      <c r="AQ17" s="315">
        <f t="shared" si="10"/>
        <v>4.8873388442502649E-3</v>
      </c>
      <c r="AR17" s="153">
        <f t="shared" si="11"/>
        <v>0.25005873013435942</v>
      </c>
      <c r="AS17" s="315">
        <f t="shared" si="12"/>
        <v>4.4738995928092956E-5</v>
      </c>
      <c r="AT17" s="251">
        <f t="shared" si="13"/>
        <v>4.6847921433102067E-3</v>
      </c>
      <c r="AU17" s="316"/>
      <c r="AV17" s="152"/>
      <c r="AW17" s="316"/>
      <c r="AX17" s="152"/>
    </row>
    <row r="18" spans="1:50">
      <c r="A18" s="343" t="s">
        <v>1390</v>
      </c>
      <c r="B18" s="344">
        <f>2*0.5*0.000001*D11</f>
        <v>9.9399000000000001E-2</v>
      </c>
      <c r="C18" s="338">
        <f t="shared" si="14"/>
        <v>9.8801612009999998E-3</v>
      </c>
      <c r="D18" s="339">
        <v>30</v>
      </c>
      <c r="E18" s="340">
        <f t="shared" si="15"/>
        <v>5.5555555555555554</v>
      </c>
      <c r="F18" s="338">
        <f t="shared" si="16"/>
        <v>1.7571165364394238E-5</v>
      </c>
      <c r="G18" t="s">
        <v>1391</v>
      </c>
      <c r="K18" s="341"/>
      <c r="S18" s="307" t="s">
        <v>69</v>
      </c>
      <c r="T18" s="312">
        <v>4.0000000000000001E-3</v>
      </c>
      <c r="U18" s="312">
        <f t="shared" si="0"/>
        <v>2.0000000000000001E-4</v>
      </c>
      <c r="V18" s="312">
        <v>2.0000000000000002E-5</v>
      </c>
      <c r="W18" s="312">
        <f t="shared" si="1"/>
        <v>1.0000000000000002E-6</v>
      </c>
      <c r="AB18" s="333" t="s">
        <v>69</v>
      </c>
      <c r="AC18" s="308">
        <v>2.5713881679430999E-2</v>
      </c>
      <c r="AD18" s="309">
        <v>2.0836040751871598</v>
      </c>
      <c r="AE18" s="308">
        <v>1.2082784529023101E-2</v>
      </c>
      <c r="AF18" s="309">
        <v>2.1613002358664</v>
      </c>
      <c r="AG18" s="313"/>
      <c r="AH18" t="str">
        <f t="shared" si="2"/>
        <v>2Z</v>
      </c>
      <c r="AI18">
        <f t="shared" si="3"/>
        <v>396.58657896238947</v>
      </c>
      <c r="AJ18" s="314">
        <f t="shared" si="4"/>
        <v>9.9999999999999995E-7</v>
      </c>
      <c r="AK18" s="314">
        <f t="shared" si="5"/>
        <v>2</v>
      </c>
      <c r="AL18">
        <f t="shared" si="6"/>
        <v>2.7911949007843466</v>
      </c>
      <c r="AM18" s="314">
        <f t="shared" si="7"/>
        <v>1</v>
      </c>
      <c r="AN18" s="314">
        <f t="shared" si="8"/>
        <v>0.02</v>
      </c>
      <c r="AO18">
        <f t="shared" si="9"/>
        <v>1591.9099999999999</v>
      </c>
      <c r="AQ18" s="315">
        <f t="shared" si="10"/>
        <v>6.3400512357301309E-3</v>
      </c>
      <c r="AR18" s="153">
        <f t="shared" si="11"/>
        <v>0.24656142214427523</v>
      </c>
      <c r="AS18" s="315">
        <f t="shared" si="12"/>
        <v>5.7075756748399152E-5</v>
      </c>
      <c r="AT18" s="251">
        <f t="shared" si="13"/>
        <v>4.7237254468373568E-3</v>
      </c>
      <c r="AU18" s="316"/>
      <c r="AV18" s="152"/>
      <c r="AW18" s="316"/>
      <c r="AX18" s="152"/>
    </row>
    <row r="19" spans="1:50">
      <c r="A19" s="343" t="s">
        <v>1392</v>
      </c>
      <c r="B19" s="344">
        <f>5*0.000001*D11</f>
        <v>0.49699499999999996</v>
      </c>
      <c r="C19" s="338">
        <f t="shared" si="14"/>
        <v>0.24700403002499996</v>
      </c>
      <c r="D19" s="339">
        <v>50</v>
      </c>
      <c r="E19" s="340">
        <f t="shared" si="15"/>
        <v>2</v>
      </c>
      <c r="F19" s="338">
        <f t="shared" si="16"/>
        <v>3.050549542429554E-2</v>
      </c>
      <c r="G19" t="s">
        <v>1393</v>
      </c>
      <c r="K19" s="342" t="s">
        <v>1394</v>
      </c>
      <c r="S19" s="307" t="s">
        <v>70</v>
      </c>
      <c r="T19" s="312">
        <v>4.0000000000000001E-3</v>
      </c>
      <c r="U19" s="312">
        <f t="shared" si="0"/>
        <v>2.0000000000000001E-4</v>
      </c>
      <c r="V19" s="312">
        <v>2.0000000000000002E-5</v>
      </c>
      <c r="W19" s="312">
        <f t="shared" si="1"/>
        <v>1.0000000000000002E-6</v>
      </c>
      <c r="AB19" s="307" t="s">
        <v>70</v>
      </c>
      <c r="AC19" s="308">
        <v>3.1708300887431699E-2</v>
      </c>
      <c r="AD19" s="309">
        <v>2.0899605092736602</v>
      </c>
      <c r="AE19" s="308">
        <v>1.37415864073199E-2</v>
      </c>
      <c r="AF19" s="309">
        <v>2.1612897621674598</v>
      </c>
      <c r="AG19" s="310"/>
      <c r="AH19" t="str">
        <f t="shared" si="2"/>
        <v>2Z</v>
      </c>
      <c r="AI19">
        <f t="shared" si="3"/>
        <v>494.54123451873937</v>
      </c>
      <c r="AJ19" s="314">
        <f t="shared" si="4"/>
        <v>9.9999999999999995E-7</v>
      </c>
      <c r="AK19" s="314">
        <f t="shared" si="5"/>
        <v>2</v>
      </c>
      <c r="AL19">
        <f t="shared" si="6"/>
        <v>3.1743629308156889</v>
      </c>
      <c r="AM19" s="314">
        <f t="shared" si="7"/>
        <v>1</v>
      </c>
      <c r="AN19" s="314">
        <f t="shared" si="8"/>
        <v>0.02</v>
      </c>
      <c r="AO19">
        <f t="shared" si="9"/>
        <v>1591.99</v>
      </c>
      <c r="AQ19" s="315">
        <f t="shared" si="10"/>
        <v>7.7195055032602553E-3</v>
      </c>
      <c r="AR19" s="153">
        <f t="shared" si="11"/>
        <v>0.24345377352969597</v>
      </c>
      <c r="AS19" s="315">
        <f t="shared" si="12"/>
        <v>6.7664956142279495E-5</v>
      </c>
      <c r="AT19" s="251">
        <f t="shared" si="13"/>
        <v>4.9241007651224002E-3</v>
      </c>
      <c r="AU19" s="316"/>
      <c r="AV19" s="152"/>
      <c r="AW19" s="316"/>
      <c r="AX19" s="152"/>
    </row>
    <row r="20" spans="1:50">
      <c r="A20" s="343" t="s">
        <v>1395</v>
      </c>
      <c r="B20" s="344">
        <f>16*D34/10000000</f>
        <v>0.91055839999999999</v>
      </c>
      <c r="C20" s="338">
        <f t="shared" si="14"/>
        <v>0.82911659981055996</v>
      </c>
      <c r="D20" s="339" t="s">
        <v>1396</v>
      </c>
      <c r="E20" s="345">
        <v>13</v>
      </c>
      <c r="F20" s="338">
        <f t="shared" si="16"/>
        <v>5.2879564313955713E-2</v>
      </c>
      <c r="G20" t="s">
        <v>1397</v>
      </c>
      <c r="K20" s="342" t="s">
        <v>1398</v>
      </c>
      <c r="S20" s="307" t="s">
        <v>71</v>
      </c>
      <c r="T20" s="312">
        <v>4.0000000000000001E-3</v>
      </c>
      <c r="U20" s="312">
        <f t="shared" si="0"/>
        <v>2.0000000000000001E-4</v>
      </c>
      <c r="V20" s="312">
        <v>2.0000000000000002E-5</v>
      </c>
      <c r="W20" s="312">
        <f t="shared" si="1"/>
        <v>1.0000000000000002E-6</v>
      </c>
      <c r="AB20" s="307" t="s">
        <v>71</v>
      </c>
      <c r="AC20" s="308">
        <v>3.7780852055259502E-2</v>
      </c>
      <c r="AD20" s="309">
        <v>2.09454146621135</v>
      </c>
      <c r="AE20" s="308">
        <v>1.5313650577604801E-2</v>
      </c>
      <c r="AF20" s="309">
        <v>2.16127956060885</v>
      </c>
      <c r="AG20" s="310"/>
      <c r="AH20" t="str">
        <f t="shared" si="2"/>
        <v>2Z</v>
      </c>
      <c r="AI20">
        <f t="shared" si="3"/>
        <v>593.59611084510993</v>
      </c>
      <c r="AJ20" s="314">
        <f t="shared" si="4"/>
        <v>9.9999999999999995E-7</v>
      </c>
      <c r="AK20" s="314">
        <f t="shared" si="5"/>
        <v>2</v>
      </c>
      <c r="AL20">
        <f t="shared" si="6"/>
        <v>3.5374895470546459</v>
      </c>
      <c r="AM20" s="314">
        <f t="shared" si="7"/>
        <v>1</v>
      </c>
      <c r="AN20" s="314">
        <f t="shared" si="8"/>
        <v>0.02</v>
      </c>
      <c r="AO20">
        <f t="shared" si="9"/>
        <v>1591.6399999999999</v>
      </c>
      <c r="AQ20" s="315">
        <f t="shared" si="10"/>
        <v>9.1189161900108711E-3</v>
      </c>
      <c r="AR20" s="153">
        <f t="shared" si="11"/>
        <v>0.24136343396049534</v>
      </c>
      <c r="AS20" s="315">
        <f t="shared" si="12"/>
        <v>7.8320943925836483E-5</v>
      </c>
      <c r="AT20" s="251">
        <f t="shared" si="13"/>
        <v>5.1144528555702893E-3</v>
      </c>
      <c r="AU20" s="316"/>
      <c r="AV20" s="152"/>
      <c r="AW20" s="316"/>
      <c r="AX20" s="152"/>
    </row>
    <row r="21" spans="1:50">
      <c r="A21" s="343" t="s">
        <v>1399</v>
      </c>
      <c r="B21" s="346">
        <f>2000/(VLOOKUP(label,Results,9,FALSE())*1000)</f>
        <v>1.2561078242956376</v>
      </c>
      <c r="C21" s="338">
        <f t="shared" si="14"/>
        <v>1.5778068662567204</v>
      </c>
      <c r="D21" s="347">
        <v>50</v>
      </c>
      <c r="E21" s="340">
        <f>0.5*(1/(0.01*D21)^2)</f>
        <v>2</v>
      </c>
      <c r="F21" s="338">
        <f t="shared" si="16"/>
        <v>1.2447372536034262</v>
      </c>
      <c r="G21" t="s">
        <v>1400</v>
      </c>
      <c r="K21" s="342" t="s">
        <v>1401</v>
      </c>
      <c r="S21" s="307" t="s">
        <v>72</v>
      </c>
      <c r="T21" s="312">
        <v>4.0000000000000001E-3</v>
      </c>
      <c r="U21" s="312">
        <f t="shared" si="0"/>
        <v>2.0000000000000001E-4</v>
      </c>
      <c r="V21" s="312">
        <v>2.0000000000000002E-5</v>
      </c>
      <c r="W21" s="312">
        <f t="shared" si="1"/>
        <v>1.0000000000000002E-6</v>
      </c>
      <c r="AB21" s="307" t="s">
        <v>72</v>
      </c>
      <c r="AC21" s="308">
        <v>4.3793554025836297E-2</v>
      </c>
      <c r="AD21" s="309">
        <v>2.0977926557420301</v>
      </c>
      <c r="AE21" s="308">
        <v>1.68401538178178E-2</v>
      </c>
      <c r="AF21" s="309">
        <v>2.1612704547233199</v>
      </c>
      <c r="AG21" s="310"/>
      <c r="AH21" t="str">
        <f t="shared" si="2"/>
        <v>2Z</v>
      </c>
      <c r="AI21">
        <f t="shared" si="3"/>
        <v>691.43474312025762</v>
      </c>
      <c r="AJ21" s="314">
        <f t="shared" si="4"/>
        <v>9.9999999999999995E-7</v>
      </c>
      <c r="AK21" s="314">
        <f t="shared" si="5"/>
        <v>2</v>
      </c>
      <c r="AL21">
        <f t="shared" si="6"/>
        <v>3.8900894206998582</v>
      </c>
      <c r="AM21" s="314">
        <f t="shared" si="7"/>
        <v>1</v>
      </c>
      <c r="AN21" s="314">
        <f t="shared" si="8"/>
        <v>0.02</v>
      </c>
      <c r="AO21">
        <f t="shared" si="9"/>
        <v>1592.2099999999998</v>
      </c>
      <c r="AQ21" s="315">
        <f t="shared" si="10"/>
        <v>1.0507839700396086E-2</v>
      </c>
      <c r="AR21" s="153">
        <f t="shared" si="11"/>
        <v>0.23994032761526768</v>
      </c>
      <c r="AS21" s="315">
        <f t="shared" si="12"/>
        <v>8.8907989887758047E-5</v>
      </c>
      <c r="AT21" s="251">
        <f t="shared" si="13"/>
        <v>5.2795236225032906E-3</v>
      </c>
      <c r="AU21" s="316"/>
      <c r="AV21" s="152"/>
      <c r="AW21" s="316"/>
      <c r="AX21" s="152"/>
    </row>
    <row r="22" spans="1:50">
      <c r="A22" s="343"/>
      <c r="B22" s="340">
        <v>0</v>
      </c>
      <c r="C22" s="338">
        <f t="shared" si="14"/>
        <v>0</v>
      </c>
      <c r="D22" s="339">
        <v>1</v>
      </c>
      <c r="E22" s="345">
        <f>0.5*(1/(0.01*D22)^2)</f>
        <v>5000</v>
      </c>
      <c r="F22" s="338">
        <f t="shared" si="16"/>
        <v>0</v>
      </c>
      <c r="S22" s="307" t="s">
        <v>73</v>
      </c>
      <c r="T22" s="312">
        <v>4.0000000000000001E-3</v>
      </c>
      <c r="U22" s="312">
        <f t="shared" si="0"/>
        <v>2.0000000000000001E-4</v>
      </c>
      <c r="V22" s="312">
        <v>2.0000000000000002E-5</v>
      </c>
      <c r="W22" s="312">
        <f t="shared" si="1"/>
        <v>1.0000000000000002E-6</v>
      </c>
      <c r="AB22" s="307" t="s">
        <v>73</v>
      </c>
      <c r="AC22" s="308">
        <v>4.9780146226325699E-2</v>
      </c>
      <c r="AD22" s="309">
        <v>2.1006904869237601</v>
      </c>
      <c r="AE22" s="308">
        <v>1.8149510860698801E-2</v>
      </c>
      <c r="AF22" s="309">
        <v>2.1612600885625701</v>
      </c>
      <c r="AG22" s="310"/>
      <c r="AH22" t="str">
        <f t="shared" si="2"/>
        <v>2Z</v>
      </c>
      <c r="AI22">
        <f t="shared" si="3"/>
        <v>789.22936656460445</v>
      </c>
      <c r="AJ22" s="314">
        <f t="shared" si="4"/>
        <v>9.9999999999999995E-7</v>
      </c>
      <c r="AK22" s="314">
        <f t="shared" si="5"/>
        <v>2</v>
      </c>
      <c r="AL22">
        <f t="shared" si="6"/>
        <v>4.1925207552784549</v>
      </c>
      <c r="AM22" s="314">
        <f t="shared" si="7"/>
        <v>1</v>
      </c>
      <c r="AN22" s="314">
        <f t="shared" si="8"/>
        <v>0.02</v>
      </c>
      <c r="AO22">
        <f t="shared" si="9"/>
        <v>1592.28</v>
      </c>
      <c r="AQ22" s="315">
        <f t="shared" si="10"/>
        <v>1.1884442977274411E-2</v>
      </c>
      <c r="AR22" s="153">
        <f t="shared" si="11"/>
        <v>0.2387386112375349</v>
      </c>
      <c r="AS22" s="315">
        <f t="shared" si="12"/>
        <v>9.9155110115205482E-5</v>
      </c>
      <c r="AT22" s="251">
        <f t="shared" si="13"/>
        <v>5.4632386997226084E-3</v>
      </c>
      <c r="AU22" s="316"/>
      <c r="AV22" s="152"/>
      <c r="AW22" s="316"/>
      <c r="AX22" s="152"/>
    </row>
    <row r="23" spans="1:50" ht="13">
      <c r="B23" s="348" t="s">
        <v>1402</v>
      </c>
      <c r="C23" s="338">
        <f>SUM(C14:C22)</f>
        <v>6.620445896692531</v>
      </c>
      <c r="E23" s="302" t="s">
        <v>1403</v>
      </c>
      <c r="F23" s="338">
        <f>SUM(F14:F22)</f>
        <v>2.9771685012365219</v>
      </c>
      <c r="S23" s="307" t="s">
        <v>74</v>
      </c>
      <c r="T23" s="312">
        <v>4.0000000000000001E-3</v>
      </c>
      <c r="U23" s="312">
        <f t="shared" si="0"/>
        <v>2.0000000000000001E-4</v>
      </c>
      <c r="V23" s="312">
        <v>2.0000000000000002E-5</v>
      </c>
      <c r="W23" s="312">
        <f t="shared" si="1"/>
        <v>1.0000000000000002E-6</v>
      </c>
      <c r="AB23" s="307" t="s">
        <v>74</v>
      </c>
      <c r="AC23" s="308">
        <v>5.5815984679189398E-2</v>
      </c>
      <c r="AD23" s="309">
        <v>2.1027967369018801</v>
      </c>
      <c r="AE23" s="308">
        <v>1.95219889907014E-2</v>
      </c>
      <c r="AF23" s="309">
        <v>2.1612512007577598</v>
      </c>
      <c r="AG23" s="310"/>
      <c r="AH23" t="str">
        <f t="shared" si="2"/>
        <v>2Z</v>
      </c>
      <c r="AI23">
        <f t="shared" si="3"/>
        <v>887.49408433796009</v>
      </c>
      <c r="AJ23" s="314">
        <f t="shared" si="4"/>
        <v>9.9999999999999995E-7</v>
      </c>
      <c r="AK23" s="314">
        <f t="shared" si="5"/>
        <v>2</v>
      </c>
      <c r="AL23">
        <f t="shared" si="6"/>
        <v>4.5095331184545051</v>
      </c>
      <c r="AM23" s="314">
        <f t="shared" si="7"/>
        <v>1</v>
      </c>
      <c r="AN23" s="314">
        <f t="shared" si="8"/>
        <v>0.02</v>
      </c>
      <c r="AO23">
        <f t="shared" si="9"/>
        <v>1592.3400000000001</v>
      </c>
      <c r="AQ23" s="315">
        <f t="shared" si="10"/>
        <v>1.3277500704580954E-2</v>
      </c>
      <c r="AR23" s="153">
        <f t="shared" si="11"/>
        <v>0.23787989732502879</v>
      </c>
      <c r="AS23" s="315">
        <f t="shared" si="12"/>
        <v>1.0963598240275874E-4</v>
      </c>
      <c r="AT23" s="251">
        <f t="shared" si="13"/>
        <v>5.6160252141818088E-3</v>
      </c>
      <c r="AU23" s="316"/>
      <c r="AV23" s="152"/>
      <c r="AW23" s="316"/>
      <c r="AX23" s="152"/>
    </row>
    <row r="24" spans="1:50" ht="13">
      <c r="B24" s="348" t="s">
        <v>1404</v>
      </c>
      <c r="C24" s="349">
        <f>SQRT(C23)</f>
        <v>2.5730227159301435</v>
      </c>
      <c r="E24" s="350" t="s">
        <v>1405</v>
      </c>
      <c r="F24" s="351">
        <f>L_standard_uncertainty^4/F23</f>
        <v>14.722144162424373</v>
      </c>
      <c r="S24" s="307" t="s">
        <v>75</v>
      </c>
      <c r="T24" s="312">
        <v>4.0000000000000001E-3</v>
      </c>
      <c r="U24" s="312">
        <f t="shared" si="0"/>
        <v>2.0000000000000001E-4</v>
      </c>
      <c r="V24" s="312">
        <v>2.0000000000000002E-5</v>
      </c>
      <c r="W24" s="312">
        <f t="shared" si="1"/>
        <v>1.0000000000000002E-6</v>
      </c>
      <c r="AB24" s="307" t="s">
        <v>75</v>
      </c>
      <c r="AC24" s="308">
        <v>6.1804450847096203E-2</v>
      </c>
      <c r="AD24" s="309">
        <v>2.10449747113248</v>
      </c>
      <c r="AE24" s="308">
        <v>2.0849970335959301E-2</v>
      </c>
      <c r="AF24" s="309">
        <v>2.1612428322015198</v>
      </c>
      <c r="AG24" s="310"/>
      <c r="AH24" t="str">
        <f t="shared" si="2"/>
        <v>2Z</v>
      </c>
      <c r="AI24">
        <f t="shared" si="3"/>
        <v>984.95063994570069</v>
      </c>
      <c r="AJ24" s="314">
        <f t="shared" si="4"/>
        <v>9.9999999999999995E-7</v>
      </c>
      <c r="AK24" s="314">
        <f t="shared" si="5"/>
        <v>2</v>
      </c>
      <c r="AL24">
        <f t="shared" si="6"/>
        <v>4.8162647563917478</v>
      </c>
      <c r="AM24" s="314">
        <f t="shared" si="7"/>
        <v>1</v>
      </c>
      <c r="AN24" s="314">
        <f t="shared" si="8"/>
        <v>0.02</v>
      </c>
      <c r="AO24">
        <f t="shared" si="9"/>
        <v>1592.3799999999999</v>
      </c>
      <c r="AQ24" s="315">
        <f t="shared" si="10"/>
        <v>1.4660113832702416E-2</v>
      </c>
      <c r="AR24" s="153">
        <f t="shared" si="11"/>
        <v>0.23720158713118314</v>
      </c>
      <c r="AS24" s="315">
        <f t="shared" si="12"/>
        <v>1.2002300707900998E-4</v>
      </c>
      <c r="AT24" s="251">
        <f t="shared" si="13"/>
        <v>5.7565073304689553E-3</v>
      </c>
      <c r="AU24" s="316"/>
      <c r="AV24" s="152"/>
      <c r="AW24" s="316"/>
      <c r="AX24" s="152"/>
    </row>
    <row r="25" spans="1:50" ht="13">
      <c r="B25" s="311"/>
      <c r="E25" s="352" t="s">
        <v>103</v>
      </c>
      <c r="F25" s="353">
        <f>$G$3+$G$4/F24+$G$5/F24^2+$G$6/F24^3</f>
        <v>2.1292183069855128</v>
      </c>
      <c r="S25" s="307"/>
      <c r="AB25" s="307"/>
      <c r="AC25" s="308"/>
      <c r="AD25" s="309"/>
      <c r="AE25" s="308"/>
      <c r="AF25" s="309"/>
      <c r="AG25" s="310"/>
      <c r="AH25" t="e">
        <f t="shared" si="2"/>
        <v>#N/A</v>
      </c>
      <c r="AI25" t="e">
        <f t="shared" si="3"/>
        <v>#N/A</v>
      </c>
      <c r="AJ25" s="314" t="e">
        <f t="shared" si="4"/>
        <v>#N/A</v>
      </c>
      <c r="AK25" s="314" t="e">
        <f t="shared" si="5"/>
        <v>#N/A</v>
      </c>
      <c r="AL25" t="e">
        <f t="shared" si="6"/>
        <v>#N/A</v>
      </c>
      <c r="AM25" s="314" t="e">
        <f t="shared" si="7"/>
        <v>#N/A</v>
      </c>
      <c r="AN25" s="314" t="e">
        <f t="shared" si="8"/>
        <v>#N/A</v>
      </c>
      <c r="AO25" t="e">
        <f t="shared" si="9"/>
        <v>#N/A</v>
      </c>
      <c r="AQ25" s="151"/>
      <c r="AR25" s="152"/>
      <c r="AS25" s="315"/>
      <c r="AT25" s="152"/>
      <c r="AU25" s="316"/>
      <c r="AV25" s="152"/>
      <c r="AW25" s="316"/>
      <c r="AX25" s="152"/>
    </row>
    <row r="26" spans="1:50" ht="13">
      <c r="A26" s="302" t="s">
        <v>1406</v>
      </c>
      <c r="B26" s="311"/>
      <c r="E26" s="354" t="s">
        <v>1407</v>
      </c>
      <c r="F26" s="355">
        <f>F25*L_standard_uncertainty</f>
        <v>5.4785270710480463</v>
      </c>
      <c r="S26" s="307"/>
      <c r="AB26" s="307"/>
      <c r="AC26" s="308"/>
      <c r="AD26" s="309"/>
      <c r="AE26" s="308"/>
      <c r="AF26" s="309"/>
      <c r="AG26" s="310"/>
      <c r="AH26" t="e">
        <f t="shared" si="2"/>
        <v>#N/A</v>
      </c>
      <c r="AI26" t="e">
        <f t="shared" si="3"/>
        <v>#N/A</v>
      </c>
      <c r="AJ26" s="314" t="e">
        <f t="shared" si="4"/>
        <v>#N/A</v>
      </c>
      <c r="AK26" s="314" t="e">
        <f t="shared" si="5"/>
        <v>#N/A</v>
      </c>
      <c r="AL26" t="e">
        <f t="shared" si="6"/>
        <v>#N/A</v>
      </c>
      <c r="AM26" s="314" t="e">
        <f t="shared" si="7"/>
        <v>#N/A</v>
      </c>
      <c r="AN26" s="314" t="e">
        <f t="shared" si="8"/>
        <v>#N/A</v>
      </c>
      <c r="AO26" t="e">
        <f t="shared" si="9"/>
        <v>#N/A</v>
      </c>
      <c r="AR26" s="152"/>
      <c r="AS26" s="315"/>
      <c r="AT26" s="152"/>
      <c r="AU26" s="316"/>
      <c r="AV26" s="152"/>
      <c r="AW26" s="316"/>
      <c r="AX26" s="152"/>
    </row>
    <row r="27" spans="1:50">
      <c r="A27" s="304" t="s">
        <v>1408</v>
      </c>
      <c r="B27" s="311"/>
      <c r="S27" s="307"/>
      <c r="AB27" s="307"/>
      <c r="AC27" s="308"/>
      <c r="AD27" s="309"/>
      <c r="AE27" s="308"/>
      <c r="AF27" s="309"/>
      <c r="AG27" s="310"/>
      <c r="AH27" t="e">
        <f t="shared" si="2"/>
        <v>#N/A</v>
      </c>
      <c r="AI27" t="e">
        <f t="shared" si="3"/>
        <v>#N/A</v>
      </c>
      <c r="AJ27" s="314" t="e">
        <f t="shared" si="4"/>
        <v>#N/A</v>
      </c>
      <c r="AK27" s="314" t="e">
        <f t="shared" si="5"/>
        <v>#N/A</v>
      </c>
      <c r="AL27" t="e">
        <f t="shared" si="6"/>
        <v>#N/A</v>
      </c>
      <c r="AM27" s="314" t="e">
        <f t="shared" si="7"/>
        <v>#N/A</v>
      </c>
      <c r="AN27" s="314" t="e">
        <f t="shared" si="8"/>
        <v>#N/A</v>
      </c>
      <c r="AO27" t="e">
        <f t="shared" si="9"/>
        <v>#N/A</v>
      </c>
      <c r="AR27" s="152"/>
      <c r="AS27" s="151"/>
      <c r="AT27" s="152"/>
      <c r="AU27" s="316"/>
      <c r="AV27" s="152"/>
      <c r="AW27" s="316"/>
      <c r="AX27" s="152"/>
    </row>
    <row r="28" spans="1:50">
      <c r="A28" t="s">
        <v>1409</v>
      </c>
      <c r="B28" s="311"/>
      <c r="E28" s="304"/>
      <c r="F28" s="356"/>
      <c r="S28" s="307"/>
      <c r="AB28" s="307"/>
      <c r="AC28" s="308"/>
      <c r="AD28" s="309"/>
      <c r="AE28" s="308"/>
      <c r="AF28" s="309"/>
      <c r="AG28" s="310"/>
      <c r="AH28" t="e">
        <f t="shared" si="2"/>
        <v>#N/A</v>
      </c>
      <c r="AI28" t="e">
        <f t="shared" si="3"/>
        <v>#N/A</v>
      </c>
      <c r="AJ28" s="314" t="e">
        <f t="shared" si="4"/>
        <v>#N/A</v>
      </c>
      <c r="AK28" s="314" t="e">
        <f t="shared" si="5"/>
        <v>#N/A</v>
      </c>
      <c r="AL28" t="e">
        <f t="shared" si="6"/>
        <v>#N/A</v>
      </c>
      <c r="AM28" s="314" t="e">
        <f t="shared" si="7"/>
        <v>#N/A</v>
      </c>
      <c r="AN28" s="314" t="e">
        <f t="shared" si="8"/>
        <v>#N/A</v>
      </c>
      <c r="AO28" t="e">
        <f t="shared" si="9"/>
        <v>#N/A</v>
      </c>
      <c r="AQ28" s="315"/>
      <c r="AR28" s="152"/>
      <c r="AS28" s="315"/>
      <c r="AT28" s="152"/>
      <c r="AU28" s="316"/>
      <c r="AV28" s="152"/>
      <c r="AW28" s="316"/>
      <c r="AX28" s="152"/>
    </row>
    <row r="29" spans="1:50">
      <c r="A29" t="s">
        <v>1410</v>
      </c>
      <c r="B29" s="311"/>
      <c r="S29" s="307"/>
      <c r="AB29" s="307"/>
      <c r="AC29" s="308"/>
      <c r="AD29" s="309"/>
      <c r="AE29" s="308"/>
      <c r="AF29" s="309"/>
      <c r="AG29" s="310"/>
      <c r="AH29" t="e">
        <f t="shared" si="2"/>
        <v>#N/A</v>
      </c>
      <c r="AI29" t="e">
        <f t="shared" si="3"/>
        <v>#N/A</v>
      </c>
      <c r="AJ29" s="314" t="e">
        <f t="shared" si="4"/>
        <v>#N/A</v>
      </c>
      <c r="AK29" s="314" t="e">
        <f t="shared" si="5"/>
        <v>#N/A</v>
      </c>
      <c r="AL29" t="e">
        <f t="shared" si="6"/>
        <v>#N/A</v>
      </c>
      <c r="AM29" s="314" t="e">
        <f t="shared" si="7"/>
        <v>#N/A</v>
      </c>
      <c r="AN29" s="314" t="e">
        <f t="shared" si="8"/>
        <v>#N/A</v>
      </c>
      <c r="AO29" t="e">
        <f t="shared" si="9"/>
        <v>#N/A</v>
      </c>
      <c r="AQ29" s="315"/>
      <c r="AR29" s="152"/>
      <c r="AS29" s="315"/>
      <c r="AT29" s="152"/>
      <c r="AU29" s="316"/>
      <c r="AV29" s="152"/>
      <c r="AW29" s="316"/>
      <c r="AX29" s="152"/>
    </row>
    <row r="30" spans="1:50">
      <c r="A30" t="s">
        <v>1411</v>
      </c>
      <c r="S30" s="307"/>
      <c r="AB30" s="307"/>
      <c r="AC30" s="308"/>
      <c r="AD30" s="309"/>
      <c r="AE30" s="308"/>
      <c r="AF30" s="309"/>
      <c r="AG30" s="310"/>
      <c r="AH30" t="e">
        <f t="shared" si="2"/>
        <v>#N/A</v>
      </c>
      <c r="AI30" t="e">
        <f t="shared" si="3"/>
        <v>#N/A</v>
      </c>
      <c r="AJ30" s="314" t="e">
        <f t="shared" si="4"/>
        <v>#N/A</v>
      </c>
      <c r="AK30" s="314" t="e">
        <f t="shared" si="5"/>
        <v>#N/A</v>
      </c>
      <c r="AL30" t="e">
        <f t="shared" si="6"/>
        <v>#N/A</v>
      </c>
      <c r="AM30" s="314" t="e">
        <f t="shared" si="7"/>
        <v>#N/A</v>
      </c>
      <c r="AN30" s="314" t="e">
        <f t="shared" si="8"/>
        <v>#N/A</v>
      </c>
      <c r="AO30" t="e">
        <f t="shared" si="9"/>
        <v>#N/A</v>
      </c>
      <c r="AQ30" s="315"/>
      <c r="AR30" s="152"/>
      <c r="AS30" s="315"/>
      <c r="AT30" s="152"/>
      <c r="AU30" s="316"/>
      <c r="AV30" s="152"/>
      <c r="AW30" s="316"/>
      <c r="AX30" s="152"/>
    </row>
    <row r="31" spans="1:50">
      <c r="S31" s="307"/>
      <c r="AB31" s="307"/>
      <c r="AC31" s="308"/>
      <c r="AD31" s="309"/>
      <c r="AE31" s="308"/>
      <c r="AF31" s="309"/>
      <c r="AG31" s="310"/>
      <c r="AH31" t="e">
        <f t="shared" si="2"/>
        <v>#N/A</v>
      </c>
      <c r="AI31" t="e">
        <f t="shared" si="3"/>
        <v>#N/A</v>
      </c>
      <c r="AJ31" s="314" t="e">
        <f t="shared" si="4"/>
        <v>#N/A</v>
      </c>
      <c r="AK31" s="314" t="e">
        <f t="shared" si="5"/>
        <v>#N/A</v>
      </c>
      <c r="AL31" t="e">
        <f t="shared" si="6"/>
        <v>#N/A</v>
      </c>
      <c r="AM31" s="314" t="e">
        <f t="shared" si="7"/>
        <v>#N/A</v>
      </c>
      <c r="AN31" s="314" t="e">
        <f t="shared" si="8"/>
        <v>#N/A</v>
      </c>
      <c r="AO31" t="e">
        <f t="shared" si="9"/>
        <v>#N/A</v>
      </c>
      <c r="AQ31" s="315"/>
      <c r="AR31" s="152"/>
      <c r="AS31" s="315"/>
      <c r="AT31" s="152"/>
      <c r="AU31" s="316"/>
      <c r="AV31" s="152"/>
      <c r="AW31" s="316"/>
      <c r="AX31" s="152"/>
    </row>
    <row r="32" spans="1:50">
      <c r="S32" s="307"/>
      <c r="AB32" s="307"/>
      <c r="AC32" s="308"/>
      <c r="AD32" s="309"/>
      <c r="AE32" s="308"/>
      <c r="AF32" s="309"/>
      <c r="AG32" s="310"/>
      <c r="AH32" t="e">
        <f t="shared" si="2"/>
        <v>#N/A</v>
      </c>
      <c r="AI32" t="e">
        <f t="shared" si="3"/>
        <v>#N/A</v>
      </c>
      <c r="AJ32" s="314" t="e">
        <f t="shared" si="4"/>
        <v>#N/A</v>
      </c>
      <c r="AK32" s="314" t="e">
        <f t="shared" si="5"/>
        <v>#N/A</v>
      </c>
      <c r="AL32" t="e">
        <f t="shared" si="6"/>
        <v>#N/A</v>
      </c>
      <c r="AM32" s="314" t="e">
        <f t="shared" si="7"/>
        <v>#N/A</v>
      </c>
      <c r="AN32" s="314" t="e">
        <f t="shared" si="8"/>
        <v>#N/A</v>
      </c>
      <c r="AO32" t="e">
        <f t="shared" si="9"/>
        <v>#N/A</v>
      </c>
      <c r="AQ32" s="315"/>
      <c r="AR32" s="152"/>
      <c r="AS32" s="315"/>
      <c r="AT32" s="152"/>
      <c r="AU32" s="316"/>
      <c r="AV32" s="152"/>
      <c r="AW32" s="316"/>
      <c r="AX32" s="152"/>
    </row>
    <row r="33" spans="1:50" ht="15.5">
      <c r="A33" s="324" t="s">
        <v>1412</v>
      </c>
      <c r="B33" s="325"/>
      <c r="C33" s="326"/>
      <c r="D33" s="327"/>
      <c r="F33" s="304" t="s">
        <v>1368</v>
      </c>
      <c r="S33" s="307"/>
      <c r="AB33" s="307"/>
      <c r="AC33" s="308"/>
      <c r="AD33" s="309"/>
      <c r="AE33" s="308"/>
      <c r="AF33" s="309"/>
      <c r="AG33" s="310"/>
      <c r="AH33" t="e">
        <f t="shared" si="2"/>
        <v>#N/A</v>
      </c>
      <c r="AI33" t="e">
        <f t="shared" si="3"/>
        <v>#N/A</v>
      </c>
      <c r="AJ33" s="314" t="e">
        <f t="shared" si="4"/>
        <v>#N/A</v>
      </c>
      <c r="AK33" s="314" t="e">
        <f t="shared" si="5"/>
        <v>#N/A</v>
      </c>
      <c r="AL33" t="e">
        <f t="shared" si="6"/>
        <v>#N/A</v>
      </c>
      <c r="AM33" s="314" t="e">
        <f t="shared" si="7"/>
        <v>#N/A</v>
      </c>
      <c r="AN33" s="314" t="e">
        <f t="shared" si="8"/>
        <v>#N/A</v>
      </c>
      <c r="AO33" t="e">
        <f t="shared" si="9"/>
        <v>#N/A</v>
      </c>
      <c r="AQ33" s="315"/>
      <c r="AR33" s="152"/>
      <c r="AS33" s="315"/>
      <c r="AT33" s="152"/>
      <c r="AU33" s="316"/>
      <c r="AV33" s="152"/>
      <c r="AW33" s="316"/>
      <c r="AX33" s="152"/>
    </row>
    <row r="34" spans="1:50" ht="13">
      <c r="A34" s="328"/>
      <c r="B34" s="329" t="s">
        <v>1369</v>
      </c>
      <c r="C34" s="357" t="s">
        <v>1370</v>
      </c>
      <c r="D34" s="357">
        <f>VLOOKUP(label,Results,4,FALSE())</f>
        <v>569099</v>
      </c>
      <c r="E34" s="357" t="s">
        <v>1413</v>
      </c>
      <c r="F34" s="358"/>
      <c r="G34" s="342" t="s">
        <v>1414</v>
      </c>
      <c r="S34" s="307"/>
      <c r="AB34" s="307"/>
      <c r="AC34" s="308"/>
      <c r="AD34" s="309"/>
      <c r="AE34" s="308"/>
      <c r="AF34" s="309"/>
      <c r="AG34" s="310"/>
      <c r="AH34" t="e">
        <f t="shared" si="2"/>
        <v>#N/A</v>
      </c>
      <c r="AI34" t="e">
        <f t="shared" si="3"/>
        <v>#N/A</v>
      </c>
      <c r="AJ34" s="314" t="e">
        <f t="shared" si="4"/>
        <v>#N/A</v>
      </c>
      <c r="AK34" s="314" t="e">
        <f t="shared" si="5"/>
        <v>#N/A</v>
      </c>
      <c r="AL34" t="e">
        <f t="shared" si="6"/>
        <v>#N/A</v>
      </c>
      <c r="AM34" s="314" t="e">
        <f t="shared" si="7"/>
        <v>#N/A</v>
      </c>
      <c r="AN34" s="314" t="e">
        <f t="shared" si="8"/>
        <v>#N/A</v>
      </c>
      <c r="AO34" t="e">
        <f t="shared" si="9"/>
        <v>#N/A</v>
      </c>
      <c r="AQ34" s="315"/>
      <c r="AR34" s="152"/>
      <c r="AS34" s="315"/>
      <c r="AT34" s="152"/>
      <c r="AU34" s="316"/>
      <c r="AV34" s="152"/>
      <c r="AW34" s="316"/>
      <c r="AX34" s="152"/>
    </row>
    <row r="35" spans="1:50" ht="13">
      <c r="A35" s="331" t="s">
        <v>1372</v>
      </c>
      <c r="B35" s="329" t="s">
        <v>1373</v>
      </c>
      <c r="E35" s="331" t="s">
        <v>1374</v>
      </c>
      <c r="S35" s="307"/>
      <c r="AB35" s="307"/>
      <c r="AC35" s="308"/>
      <c r="AD35" s="309"/>
      <c r="AE35" s="308"/>
      <c r="AF35" s="309"/>
      <c r="AG35" s="310"/>
      <c r="AH35" t="e">
        <f t="shared" si="2"/>
        <v>#N/A</v>
      </c>
      <c r="AI35" t="e">
        <f t="shared" si="3"/>
        <v>#N/A</v>
      </c>
      <c r="AJ35" s="314" t="e">
        <f t="shared" si="4"/>
        <v>#N/A</v>
      </c>
      <c r="AK35" s="314" t="e">
        <f t="shared" si="5"/>
        <v>#N/A</v>
      </c>
      <c r="AL35" t="e">
        <f t="shared" si="6"/>
        <v>#N/A</v>
      </c>
      <c r="AM35" s="314" t="e">
        <f t="shared" si="7"/>
        <v>#N/A</v>
      </c>
      <c r="AN35" s="314" t="e">
        <f t="shared" si="8"/>
        <v>#N/A</v>
      </c>
      <c r="AO35" t="e">
        <f t="shared" si="9"/>
        <v>#N/A</v>
      </c>
      <c r="AQ35" s="315"/>
      <c r="AR35" s="152"/>
      <c r="AS35" s="315"/>
      <c r="AT35" s="152"/>
      <c r="AU35" s="316"/>
      <c r="AV35" s="152"/>
      <c r="AW35" s="316"/>
      <c r="AX35" s="152"/>
    </row>
    <row r="36" spans="1:50" ht="15.5">
      <c r="A36" s="334"/>
      <c r="B36" s="329" t="s">
        <v>1375</v>
      </c>
      <c r="C36" s="331" t="s">
        <v>1376</v>
      </c>
      <c r="D36" s="331" t="s">
        <v>1377</v>
      </c>
      <c r="E36" s="331" t="s">
        <v>1378</v>
      </c>
      <c r="F36" s="331" t="s">
        <v>1379</v>
      </c>
      <c r="K36" s="335" t="s">
        <v>1380</v>
      </c>
      <c r="S36" s="307"/>
      <c r="AB36" s="307"/>
      <c r="AC36" s="308"/>
      <c r="AD36" s="309"/>
      <c r="AE36" s="308"/>
      <c r="AF36" s="309"/>
      <c r="AG36" s="310"/>
      <c r="AH36" t="e">
        <f t="shared" si="2"/>
        <v>#N/A</v>
      </c>
      <c r="AI36" t="e">
        <f t="shared" si="3"/>
        <v>#N/A</v>
      </c>
      <c r="AJ36" s="314" t="e">
        <f t="shared" si="4"/>
        <v>#N/A</v>
      </c>
      <c r="AK36" s="314" t="e">
        <f t="shared" si="5"/>
        <v>#N/A</v>
      </c>
      <c r="AL36" t="e">
        <f t="shared" si="6"/>
        <v>#N/A</v>
      </c>
      <c r="AM36" s="314" t="e">
        <f t="shared" si="7"/>
        <v>#N/A</v>
      </c>
      <c r="AN36" s="314" t="e">
        <f t="shared" si="8"/>
        <v>#N/A</v>
      </c>
      <c r="AO36" t="e">
        <f t="shared" si="9"/>
        <v>#N/A</v>
      </c>
      <c r="AQ36" s="315"/>
      <c r="AR36" s="152"/>
      <c r="AS36" s="315"/>
      <c r="AT36" s="152"/>
      <c r="AU36" s="316"/>
      <c r="AV36" s="152"/>
      <c r="AW36" s="316"/>
      <c r="AX36" s="152"/>
    </row>
    <row r="37" spans="1:50">
      <c r="A37" s="336" t="s">
        <v>1415</v>
      </c>
      <c r="B37" s="337">
        <f>10*0.000016*D11</f>
        <v>15.903839999999999</v>
      </c>
      <c r="C37" s="338">
        <f t="shared" ref="C37:C45" si="17">B37^2</f>
        <v>252.93212674559996</v>
      </c>
      <c r="D37" s="359" t="s">
        <v>1396</v>
      </c>
      <c r="E37" s="345">
        <v>13</v>
      </c>
      <c r="F37" s="338">
        <f t="shared" ref="F37:F45" si="18">B37^4/E37</f>
        <v>4921.1277492347881</v>
      </c>
      <c r="G37" t="s">
        <v>1416</v>
      </c>
      <c r="K37" s="342" t="s">
        <v>1417</v>
      </c>
      <c r="L37" t="s">
        <v>1418</v>
      </c>
      <c r="S37" s="307"/>
      <c r="AB37" s="307"/>
      <c r="AC37" s="308"/>
      <c r="AD37" s="309"/>
      <c r="AE37" s="308"/>
      <c r="AF37" s="309"/>
      <c r="AG37" s="310"/>
      <c r="AH37" t="e">
        <f t="shared" ref="AH37:AH59" si="19">VLOOKUP(AB37, Results,2,FALSE())</f>
        <v>#N/A</v>
      </c>
      <c r="AI37" t="e">
        <f t="shared" ref="AI37:AI59" si="20">VLOOKUP(AB37,Results,5,FALSE())</f>
        <v>#N/A</v>
      </c>
      <c r="AJ37" s="314" t="e">
        <f t="shared" ref="AJ37:AJ59" si="21">VLOOKUP(AH37,multiplier,4,FALSE())</f>
        <v>#N/A</v>
      </c>
      <c r="AK37" s="314" t="e">
        <f t="shared" ref="AK37:AK59" si="22">VLOOKUP(AH37,multiplier,8,FALSE())</f>
        <v>#N/A</v>
      </c>
      <c r="AL37" t="e">
        <f t="shared" ref="AL37:AL59" si="23">VLOOKUP(AB37,Results,7,FALSE())</f>
        <v>#N/A</v>
      </c>
      <c r="AM37" s="314" t="e">
        <f t="shared" ref="AM37:AM59" si="24">VLOOKUP(AH37,multiplier,7,FALSE())</f>
        <v>#N/A</v>
      </c>
      <c r="AN37" s="314" t="e">
        <f t="shared" ref="AN37:AN59" si="25">VLOOKUP(AH37,multiplier,9,FALSE())</f>
        <v>#N/A</v>
      </c>
      <c r="AO37" t="e">
        <f t="shared" ref="AO37:AO59" si="26">VLOOKUP(AB37,Results,9,FALSE())*1000</f>
        <v>#N/A</v>
      </c>
      <c r="AQ37" s="315"/>
      <c r="AR37" s="152"/>
      <c r="AS37" s="315"/>
      <c r="AT37" s="152"/>
      <c r="AU37" s="316"/>
      <c r="AV37" s="152"/>
      <c r="AW37" s="316"/>
      <c r="AX37" s="152"/>
    </row>
    <row r="38" spans="1:50">
      <c r="A38" s="336" t="s">
        <v>1383</v>
      </c>
      <c r="B38" s="340">
        <v>10</v>
      </c>
      <c r="C38" s="338">
        <f t="shared" si="17"/>
        <v>100</v>
      </c>
      <c r="D38" s="339">
        <v>30</v>
      </c>
      <c r="E38" s="345">
        <f t="shared" ref="E38:E45" si="27">0.5*(1/(0.01*D38)^2)</f>
        <v>5.5555555555555554</v>
      </c>
      <c r="F38" s="338">
        <f t="shared" si="18"/>
        <v>1800</v>
      </c>
      <c r="K38" s="342" t="s">
        <v>1419</v>
      </c>
      <c r="S38" s="307"/>
      <c r="AB38" s="307"/>
      <c r="AC38" s="308"/>
      <c r="AD38" s="309"/>
      <c r="AE38" s="308"/>
      <c r="AF38" s="309"/>
      <c r="AG38" s="310"/>
      <c r="AH38" t="e">
        <f t="shared" si="19"/>
        <v>#N/A</v>
      </c>
      <c r="AI38" t="e">
        <f t="shared" si="20"/>
        <v>#N/A</v>
      </c>
      <c r="AJ38" s="314" t="e">
        <f t="shared" si="21"/>
        <v>#N/A</v>
      </c>
      <c r="AK38" s="314" t="e">
        <f t="shared" si="22"/>
        <v>#N/A</v>
      </c>
      <c r="AL38" t="e">
        <f t="shared" si="23"/>
        <v>#N/A</v>
      </c>
      <c r="AM38" s="314" t="e">
        <f t="shared" si="24"/>
        <v>#N/A</v>
      </c>
      <c r="AN38" s="314" t="e">
        <f t="shared" si="25"/>
        <v>#N/A</v>
      </c>
      <c r="AO38" t="e">
        <f t="shared" si="26"/>
        <v>#N/A</v>
      </c>
      <c r="AQ38" s="315"/>
      <c r="AR38" s="152"/>
      <c r="AS38" s="315"/>
      <c r="AT38" s="152"/>
      <c r="AU38" s="316"/>
      <c r="AV38" s="152"/>
      <c r="AW38" s="316"/>
      <c r="AX38" s="152"/>
    </row>
    <row r="39" spans="1:50">
      <c r="A39" s="336" t="s">
        <v>1381</v>
      </c>
      <c r="B39" s="337">
        <f>2.5*0.000001*D34*10</f>
        <v>14.227474999999998</v>
      </c>
      <c r="C39" s="338">
        <f t="shared" si="17"/>
        <v>202.42104487562494</v>
      </c>
      <c r="D39" s="339">
        <v>30</v>
      </c>
      <c r="E39" s="345">
        <f t="shared" si="27"/>
        <v>5.5555555555555554</v>
      </c>
      <c r="F39" s="338">
        <f t="shared" si="18"/>
        <v>7375.3702935371584</v>
      </c>
      <c r="G39" t="s">
        <v>1382</v>
      </c>
      <c r="K39" s="341"/>
      <c r="S39" s="307"/>
      <c r="AB39" s="307"/>
      <c r="AC39" s="308"/>
      <c r="AD39" s="309"/>
      <c r="AE39" s="308"/>
      <c r="AF39" s="309"/>
      <c r="AG39" s="310"/>
      <c r="AH39" t="e">
        <f t="shared" si="19"/>
        <v>#N/A</v>
      </c>
      <c r="AI39" t="e">
        <f t="shared" si="20"/>
        <v>#N/A</v>
      </c>
      <c r="AJ39" s="314" t="e">
        <f t="shared" si="21"/>
        <v>#N/A</v>
      </c>
      <c r="AK39" s="314" t="e">
        <f t="shared" si="22"/>
        <v>#N/A</v>
      </c>
      <c r="AL39" t="e">
        <f t="shared" si="23"/>
        <v>#N/A</v>
      </c>
      <c r="AM39" s="314" t="e">
        <f t="shared" si="24"/>
        <v>#N/A</v>
      </c>
      <c r="AN39" s="314" t="e">
        <f t="shared" si="25"/>
        <v>#N/A</v>
      </c>
      <c r="AO39" t="e">
        <f t="shared" si="26"/>
        <v>#N/A</v>
      </c>
      <c r="AQ39" s="315"/>
      <c r="AR39" s="152"/>
      <c r="AS39" s="315"/>
      <c r="AT39" s="152"/>
      <c r="AU39" s="316"/>
      <c r="AV39" s="152"/>
      <c r="AW39" s="316"/>
      <c r="AX39" s="152"/>
    </row>
    <row r="40" spans="1:50">
      <c r="A40" s="343" t="s">
        <v>1399</v>
      </c>
      <c r="B40" s="346">
        <f>2000/(VLOOKUP(label,Results,9,FALSE())*1000)*10</f>
        <v>12.561078242956377</v>
      </c>
      <c r="C40" s="338">
        <f t="shared" si="17"/>
        <v>157.78068662567208</v>
      </c>
      <c r="D40" s="339">
        <v>30</v>
      </c>
      <c r="E40" s="345">
        <f t="shared" si="27"/>
        <v>5.5555555555555554</v>
      </c>
      <c r="F40" s="338">
        <f t="shared" si="18"/>
        <v>4481.054112972336</v>
      </c>
      <c r="G40" t="s">
        <v>1420</v>
      </c>
      <c r="L40" s="341" t="s">
        <v>1421</v>
      </c>
      <c r="S40" s="307"/>
      <c r="AB40" s="307"/>
      <c r="AC40" s="308"/>
      <c r="AD40" s="309"/>
      <c r="AE40" s="308"/>
      <c r="AF40" s="309"/>
      <c r="AG40" s="310"/>
      <c r="AH40" t="e">
        <f t="shared" si="19"/>
        <v>#N/A</v>
      </c>
      <c r="AI40" t="e">
        <f t="shared" si="20"/>
        <v>#N/A</v>
      </c>
      <c r="AJ40" s="314" t="e">
        <f t="shared" si="21"/>
        <v>#N/A</v>
      </c>
      <c r="AK40" s="314" t="e">
        <f t="shared" si="22"/>
        <v>#N/A</v>
      </c>
      <c r="AL40" t="e">
        <f t="shared" si="23"/>
        <v>#N/A</v>
      </c>
      <c r="AM40" s="314" t="e">
        <f t="shared" si="24"/>
        <v>#N/A</v>
      </c>
      <c r="AN40" s="314" t="e">
        <f t="shared" si="25"/>
        <v>#N/A</v>
      </c>
      <c r="AO40" t="e">
        <f t="shared" si="26"/>
        <v>#N/A</v>
      </c>
      <c r="AQ40" s="315"/>
      <c r="AR40" s="152"/>
      <c r="AS40" s="315"/>
      <c r="AT40" s="152"/>
      <c r="AU40" s="316"/>
      <c r="AV40" s="152"/>
      <c r="AW40" s="316"/>
      <c r="AX40" s="152"/>
    </row>
    <row r="41" spans="1:50">
      <c r="A41" s="336" t="s">
        <v>1385</v>
      </c>
      <c r="B41" s="337">
        <f>17*0.000001*D34</f>
        <v>9.6746829999999999</v>
      </c>
      <c r="C41" s="338">
        <f t="shared" si="17"/>
        <v>93.599491150489001</v>
      </c>
      <c r="D41" s="339">
        <v>30</v>
      </c>
      <c r="E41" s="345">
        <f t="shared" si="27"/>
        <v>5.5555555555555554</v>
      </c>
      <c r="F41" s="338">
        <f t="shared" si="18"/>
        <v>1576.9556538534846</v>
      </c>
      <c r="G41" t="s">
        <v>1422</v>
      </c>
      <c r="K41" s="342" t="s">
        <v>1387</v>
      </c>
      <c r="S41" s="307"/>
      <c r="AB41" s="307"/>
      <c r="AC41" s="308"/>
      <c r="AD41" s="309"/>
      <c r="AE41" s="308"/>
      <c r="AF41" s="309"/>
      <c r="AG41" s="360"/>
      <c r="AH41" t="e">
        <f t="shared" si="19"/>
        <v>#N/A</v>
      </c>
      <c r="AI41" t="e">
        <f t="shared" si="20"/>
        <v>#N/A</v>
      </c>
      <c r="AJ41" s="314" t="e">
        <f t="shared" si="21"/>
        <v>#N/A</v>
      </c>
      <c r="AK41" s="314" t="e">
        <f t="shared" si="22"/>
        <v>#N/A</v>
      </c>
      <c r="AL41" t="e">
        <f t="shared" si="23"/>
        <v>#N/A</v>
      </c>
      <c r="AM41" s="314" t="e">
        <f t="shared" si="24"/>
        <v>#N/A</v>
      </c>
      <c r="AN41" s="314" t="e">
        <f t="shared" si="25"/>
        <v>#N/A</v>
      </c>
      <c r="AO41" t="e">
        <f t="shared" si="26"/>
        <v>#N/A</v>
      </c>
      <c r="AQ41" s="315"/>
      <c r="AR41" s="152"/>
      <c r="AS41" s="315"/>
      <c r="AT41" s="152"/>
      <c r="AU41" s="316"/>
      <c r="AV41" s="152"/>
      <c r="AW41" s="316"/>
      <c r="AX41" s="152"/>
    </row>
    <row r="42" spans="1:50">
      <c r="A42" s="343" t="s">
        <v>1388</v>
      </c>
      <c r="B42" s="344">
        <f>2*0.000001*D34*10</f>
        <v>11.38198</v>
      </c>
      <c r="C42" s="338">
        <f t="shared" si="17"/>
        <v>129.5494687204</v>
      </c>
      <c r="D42" s="339">
        <v>50</v>
      </c>
      <c r="E42" s="345">
        <f t="shared" si="27"/>
        <v>2</v>
      </c>
      <c r="F42" s="338">
        <f t="shared" si="18"/>
        <v>8391.5324228689497</v>
      </c>
      <c r="G42" t="s">
        <v>1389</v>
      </c>
      <c r="K42" s="341"/>
      <c r="S42" s="307"/>
      <c r="AB42" s="307"/>
      <c r="AC42" s="308"/>
      <c r="AD42" s="309"/>
      <c r="AE42" s="308"/>
      <c r="AF42" s="309"/>
      <c r="AG42" s="360"/>
      <c r="AH42" t="e">
        <f t="shared" si="19"/>
        <v>#N/A</v>
      </c>
      <c r="AI42" t="e">
        <f t="shared" si="20"/>
        <v>#N/A</v>
      </c>
      <c r="AJ42" s="314" t="e">
        <f t="shared" si="21"/>
        <v>#N/A</v>
      </c>
      <c r="AK42" s="314" t="e">
        <f t="shared" si="22"/>
        <v>#N/A</v>
      </c>
      <c r="AL42" t="e">
        <f t="shared" si="23"/>
        <v>#N/A</v>
      </c>
      <c r="AM42" s="314" t="e">
        <f t="shared" si="24"/>
        <v>#N/A</v>
      </c>
      <c r="AN42" s="314" t="e">
        <f t="shared" si="25"/>
        <v>#N/A</v>
      </c>
      <c r="AO42" t="e">
        <f t="shared" si="26"/>
        <v>#N/A</v>
      </c>
      <c r="AQ42" s="315"/>
      <c r="AR42" s="152"/>
      <c r="AS42" s="315"/>
      <c r="AT42" s="152"/>
      <c r="AU42" s="316"/>
      <c r="AV42" s="152"/>
      <c r="AW42" s="316"/>
      <c r="AX42" s="152"/>
    </row>
    <row r="43" spans="1:50">
      <c r="A43" s="343" t="s">
        <v>1392</v>
      </c>
      <c r="B43" s="344">
        <f>2*0.000001*D34*10</f>
        <v>11.38198</v>
      </c>
      <c r="C43" s="338">
        <f t="shared" si="17"/>
        <v>129.5494687204</v>
      </c>
      <c r="D43" s="339">
        <v>30</v>
      </c>
      <c r="E43" s="345">
        <f t="shared" si="27"/>
        <v>5.5555555555555554</v>
      </c>
      <c r="F43" s="338">
        <f t="shared" si="18"/>
        <v>3020.9516722328221</v>
      </c>
      <c r="G43" t="s">
        <v>1423</v>
      </c>
      <c r="K43" s="341"/>
      <c r="S43" s="307"/>
      <c r="AB43" s="307"/>
      <c r="AC43" s="308"/>
      <c r="AD43" s="309"/>
      <c r="AE43" s="308"/>
      <c r="AF43" s="309"/>
      <c r="AG43" s="360"/>
      <c r="AH43" t="e">
        <f t="shared" si="19"/>
        <v>#N/A</v>
      </c>
      <c r="AI43" t="e">
        <f t="shared" si="20"/>
        <v>#N/A</v>
      </c>
      <c r="AJ43" s="314" t="e">
        <f t="shared" si="21"/>
        <v>#N/A</v>
      </c>
      <c r="AK43" s="314" t="e">
        <f t="shared" si="22"/>
        <v>#N/A</v>
      </c>
      <c r="AL43" t="e">
        <f t="shared" si="23"/>
        <v>#N/A</v>
      </c>
      <c r="AM43" s="314" t="e">
        <f t="shared" si="24"/>
        <v>#N/A</v>
      </c>
      <c r="AN43" s="314" t="e">
        <f t="shared" si="25"/>
        <v>#N/A</v>
      </c>
      <c r="AO43" t="e">
        <f t="shared" si="26"/>
        <v>#N/A</v>
      </c>
      <c r="AQ43" s="315"/>
      <c r="AR43" s="152"/>
      <c r="AS43" s="315"/>
      <c r="AT43" s="152"/>
      <c r="AU43" s="316"/>
      <c r="AV43" s="152"/>
      <c r="AW43" s="316"/>
      <c r="AX43" s="152"/>
    </row>
    <row r="44" spans="1:50">
      <c r="B44" s="340">
        <v>0</v>
      </c>
      <c r="C44" s="338">
        <f t="shared" si="17"/>
        <v>0</v>
      </c>
      <c r="D44" s="339">
        <v>50</v>
      </c>
      <c r="E44" s="345">
        <f t="shared" si="27"/>
        <v>2</v>
      </c>
      <c r="F44" s="338">
        <f t="shared" si="18"/>
        <v>0</v>
      </c>
      <c r="K44" s="342" t="s">
        <v>1424</v>
      </c>
      <c r="S44" s="307"/>
      <c r="AB44" s="307"/>
      <c r="AC44" s="308"/>
      <c r="AD44" s="309"/>
      <c r="AE44" s="308"/>
      <c r="AF44" s="309"/>
      <c r="AG44" s="310"/>
      <c r="AH44" t="e">
        <f t="shared" si="19"/>
        <v>#N/A</v>
      </c>
      <c r="AI44" t="e">
        <f t="shared" si="20"/>
        <v>#N/A</v>
      </c>
      <c r="AJ44" s="314" t="e">
        <f t="shared" si="21"/>
        <v>#N/A</v>
      </c>
      <c r="AK44" s="314" t="e">
        <f t="shared" si="22"/>
        <v>#N/A</v>
      </c>
      <c r="AL44" t="e">
        <f t="shared" si="23"/>
        <v>#N/A</v>
      </c>
      <c r="AM44" s="314" t="e">
        <f t="shared" si="24"/>
        <v>#N/A</v>
      </c>
      <c r="AN44" s="314" t="e">
        <f t="shared" si="25"/>
        <v>#N/A</v>
      </c>
      <c r="AO44" t="e">
        <f t="shared" si="26"/>
        <v>#N/A</v>
      </c>
      <c r="AQ44" s="315"/>
      <c r="AR44" s="152"/>
      <c r="AS44" s="315"/>
      <c r="AT44" s="152"/>
      <c r="AU44" s="316"/>
      <c r="AV44" s="152"/>
      <c r="AW44" s="316"/>
      <c r="AX44" s="152"/>
    </row>
    <row r="45" spans="1:50">
      <c r="A45" s="343"/>
      <c r="B45" s="340">
        <v>0</v>
      </c>
      <c r="C45" s="338">
        <f t="shared" si="17"/>
        <v>0</v>
      </c>
      <c r="D45" s="339">
        <v>1</v>
      </c>
      <c r="E45" s="345">
        <f t="shared" si="27"/>
        <v>5000</v>
      </c>
      <c r="F45" s="338">
        <f t="shared" si="18"/>
        <v>0</v>
      </c>
      <c r="S45" s="307"/>
      <c r="AB45" s="307"/>
      <c r="AC45" s="308"/>
      <c r="AD45" s="309"/>
      <c r="AE45" s="308"/>
      <c r="AF45" s="309"/>
      <c r="AG45" s="310"/>
      <c r="AH45" t="e">
        <f t="shared" si="19"/>
        <v>#N/A</v>
      </c>
      <c r="AI45" t="e">
        <f t="shared" si="20"/>
        <v>#N/A</v>
      </c>
      <c r="AJ45" s="314" t="e">
        <f t="shared" si="21"/>
        <v>#N/A</v>
      </c>
      <c r="AK45" s="314" t="e">
        <f t="shared" si="22"/>
        <v>#N/A</v>
      </c>
      <c r="AL45" t="e">
        <f t="shared" si="23"/>
        <v>#N/A</v>
      </c>
      <c r="AM45" s="314" t="e">
        <f t="shared" si="24"/>
        <v>#N/A</v>
      </c>
      <c r="AN45" s="314" t="e">
        <f t="shared" si="25"/>
        <v>#N/A</v>
      </c>
      <c r="AO45" t="e">
        <f t="shared" si="26"/>
        <v>#N/A</v>
      </c>
      <c r="AQ45" s="315"/>
      <c r="AR45" s="152"/>
      <c r="AS45" s="315"/>
      <c r="AT45" s="152"/>
      <c r="AU45" s="316"/>
      <c r="AV45" s="152"/>
      <c r="AW45" s="316"/>
      <c r="AX45" s="152"/>
    </row>
    <row r="46" spans="1:50" ht="13">
      <c r="B46" s="348" t="s">
        <v>1402</v>
      </c>
      <c r="C46" s="361">
        <f>SUM(C37:C45)</f>
        <v>1065.8322868381861</v>
      </c>
      <c r="E46" s="302" t="s">
        <v>1403</v>
      </c>
      <c r="F46" s="338">
        <f>SUM(F37:F45)</f>
        <v>31566.991904699538</v>
      </c>
      <c r="S46" s="307"/>
      <c r="AB46" s="307"/>
      <c r="AC46" s="308"/>
      <c r="AD46" s="309"/>
      <c r="AE46" s="308"/>
      <c r="AF46" s="309"/>
      <c r="AG46" s="310"/>
      <c r="AH46" t="e">
        <f t="shared" si="19"/>
        <v>#N/A</v>
      </c>
      <c r="AI46" t="e">
        <f t="shared" si="20"/>
        <v>#N/A</v>
      </c>
      <c r="AJ46" s="314" t="e">
        <f t="shared" si="21"/>
        <v>#N/A</v>
      </c>
      <c r="AK46" s="314" t="e">
        <f t="shared" si="22"/>
        <v>#N/A</v>
      </c>
      <c r="AL46" t="e">
        <f t="shared" si="23"/>
        <v>#N/A</v>
      </c>
      <c r="AM46" s="314" t="e">
        <f t="shared" si="24"/>
        <v>#N/A</v>
      </c>
      <c r="AN46" s="314" t="e">
        <f t="shared" si="25"/>
        <v>#N/A</v>
      </c>
      <c r="AO46" t="e">
        <f t="shared" si="26"/>
        <v>#N/A</v>
      </c>
      <c r="AQ46" s="315"/>
      <c r="AR46" s="152"/>
      <c r="AS46" s="315"/>
      <c r="AT46" s="152"/>
      <c r="AU46" s="316"/>
      <c r="AV46" s="152"/>
      <c r="AW46" s="316"/>
      <c r="AX46" s="152"/>
    </row>
    <row r="47" spans="1:50" ht="13">
      <c r="B47" s="348" t="s">
        <v>1404</v>
      </c>
      <c r="C47" s="362">
        <f>SQRT(C46)</f>
        <v>32.647086957923001</v>
      </c>
      <c r="E47" s="350" t="s">
        <v>1405</v>
      </c>
      <c r="F47" s="351">
        <f>R_standard_uncertainty^4/F46</f>
        <v>35.986908955287419</v>
      </c>
      <c r="S47" s="307"/>
      <c r="AB47" s="307"/>
      <c r="AC47" s="308"/>
      <c r="AD47" s="309"/>
      <c r="AE47" s="308"/>
      <c r="AF47" s="309"/>
      <c r="AG47" s="313"/>
      <c r="AH47" t="e">
        <f t="shared" si="19"/>
        <v>#N/A</v>
      </c>
      <c r="AI47" t="e">
        <f t="shared" si="20"/>
        <v>#N/A</v>
      </c>
      <c r="AJ47" s="314" t="e">
        <f t="shared" si="21"/>
        <v>#N/A</v>
      </c>
      <c r="AK47" s="314" t="e">
        <f t="shared" si="22"/>
        <v>#N/A</v>
      </c>
      <c r="AL47" t="e">
        <f t="shared" si="23"/>
        <v>#N/A</v>
      </c>
      <c r="AM47" s="314" t="e">
        <f t="shared" si="24"/>
        <v>#N/A</v>
      </c>
      <c r="AN47" s="314" t="e">
        <f t="shared" si="25"/>
        <v>#N/A</v>
      </c>
      <c r="AO47" t="e">
        <f t="shared" si="26"/>
        <v>#N/A</v>
      </c>
      <c r="AQ47" s="315"/>
      <c r="AR47" s="152"/>
      <c r="AS47" s="315"/>
      <c r="AT47" s="152"/>
      <c r="AU47" s="316"/>
      <c r="AV47" s="152"/>
      <c r="AW47" s="316"/>
      <c r="AX47" s="152"/>
    </row>
    <row r="48" spans="1:50" ht="13">
      <c r="B48" s="311"/>
      <c r="E48" s="352" t="s">
        <v>103</v>
      </c>
      <c r="F48" s="353">
        <f>$G$3+$G$4/F47+$G$5/F47^2+$G$6/F47^3</f>
        <v>2.0270486280540463</v>
      </c>
      <c r="S48" s="307"/>
      <c r="AB48" s="307"/>
      <c r="AC48" s="308"/>
      <c r="AD48" s="309"/>
      <c r="AE48" s="308"/>
      <c r="AF48" s="309"/>
      <c r="AG48" s="313"/>
      <c r="AH48" t="e">
        <f t="shared" si="19"/>
        <v>#N/A</v>
      </c>
      <c r="AI48" t="e">
        <f t="shared" si="20"/>
        <v>#N/A</v>
      </c>
      <c r="AJ48" s="314" t="e">
        <f t="shared" si="21"/>
        <v>#N/A</v>
      </c>
      <c r="AK48" s="314" t="e">
        <f t="shared" si="22"/>
        <v>#N/A</v>
      </c>
      <c r="AL48" t="e">
        <f t="shared" si="23"/>
        <v>#N/A</v>
      </c>
      <c r="AM48" s="314" t="e">
        <f t="shared" si="24"/>
        <v>#N/A</v>
      </c>
      <c r="AN48" s="314" t="e">
        <f t="shared" si="25"/>
        <v>#N/A</v>
      </c>
      <c r="AO48" t="e">
        <f t="shared" si="26"/>
        <v>#N/A</v>
      </c>
      <c r="AQ48" s="315"/>
      <c r="AR48" s="152"/>
      <c r="AS48" s="315"/>
      <c r="AT48" s="152"/>
      <c r="AU48" s="316"/>
      <c r="AV48" s="152"/>
      <c r="AW48" s="316"/>
      <c r="AX48" s="152"/>
    </row>
    <row r="49" spans="1:50" ht="13">
      <c r="A49" s="302" t="s">
        <v>1406</v>
      </c>
      <c r="B49" s="311"/>
      <c r="E49" s="354" t="s">
        <v>1407</v>
      </c>
      <c r="F49" s="355">
        <f>F48*R_standard_uncertainty</f>
        <v>66.177232828018973</v>
      </c>
      <c r="S49" s="307"/>
      <c r="AB49" s="307"/>
      <c r="AC49" s="308"/>
      <c r="AD49" s="309"/>
      <c r="AE49" s="308"/>
      <c r="AF49" s="309"/>
      <c r="AG49" s="313"/>
      <c r="AH49" t="e">
        <f t="shared" si="19"/>
        <v>#N/A</v>
      </c>
      <c r="AI49" t="e">
        <f t="shared" si="20"/>
        <v>#N/A</v>
      </c>
      <c r="AJ49" s="314" t="e">
        <f t="shared" si="21"/>
        <v>#N/A</v>
      </c>
      <c r="AK49" s="314" t="e">
        <f t="shared" si="22"/>
        <v>#N/A</v>
      </c>
      <c r="AL49" t="e">
        <f t="shared" si="23"/>
        <v>#N/A</v>
      </c>
      <c r="AM49" s="314" t="e">
        <f t="shared" si="24"/>
        <v>#N/A</v>
      </c>
      <c r="AN49" s="314" t="e">
        <f t="shared" si="25"/>
        <v>#N/A</v>
      </c>
      <c r="AO49" t="e">
        <f t="shared" si="26"/>
        <v>#N/A</v>
      </c>
      <c r="AQ49" s="315"/>
      <c r="AR49" s="152"/>
      <c r="AS49" s="315"/>
      <c r="AT49" s="152"/>
      <c r="AU49" s="316"/>
      <c r="AV49" s="152"/>
      <c r="AW49" s="316"/>
      <c r="AX49" s="152"/>
    </row>
    <row r="50" spans="1:50">
      <c r="A50" s="304" t="s">
        <v>1425</v>
      </c>
      <c r="B50" s="311"/>
      <c r="S50" s="307"/>
      <c r="AB50" s="307"/>
      <c r="AC50" s="308"/>
      <c r="AD50" s="309"/>
      <c r="AE50" s="308"/>
      <c r="AF50" s="309"/>
      <c r="AG50" s="310"/>
      <c r="AH50" t="e">
        <f t="shared" si="19"/>
        <v>#N/A</v>
      </c>
      <c r="AI50" t="e">
        <f t="shared" si="20"/>
        <v>#N/A</v>
      </c>
      <c r="AJ50" s="314" t="e">
        <f t="shared" si="21"/>
        <v>#N/A</v>
      </c>
      <c r="AK50" s="314" t="e">
        <f t="shared" si="22"/>
        <v>#N/A</v>
      </c>
      <c r="AL50" t="e">
        <f t="shared" si="23"/>
        <v>#N/A</v>
      </c>
      <c r="AM50" s="314" t="e">
        <f t="shared" si="24"/>
        <v>#N/A</v>
      </c>
      <c r="AN50" s="314" t="e">
        <f t="shared" si="25"/>
        <v>#N/A</v>
      </c>
      <c r="AO50" t="e">
        <f t="shared" si="26"/>
        <v>#N/A</v>
      </c>
      <c r="AQ50" s="315"/>
      <c r="AR50" s="152"/>
      <c r="AS50" s="315"/>
      <c r="AT50" s="152"/>
      <c r="AU50" s="316"/>
      <c r="AV50" s="152"/>
      <c r="AW50" s="316"/>
      <c r="AX50" s="152"/>
    </row>
    <row r="51" spans="1:50">
      <c r="A51" t="s">
        <v>1426</v>
      </c>
      <c r="B51" s="311"/>
      <c r="E51" s="304"/>
      <c r="F51" s="356"/>
      <c r="S51" s="307"/>
      <c r="AB51" s="307"/>
      <c r="AC51" s="308"/>
      <c r="AD51" s="309"/>
      <c r="AE51" s="308"/>
      <c r="AF51" s="309"/>
      <c r="AG51" s="310"/>
      <c r="AH51" t="e">
        <f t="shared" si="19"/>
        <v>#N/A</v>
      </c>
      <c r="AI51" t="e">
        <f t="shared" si="20"/>
        <v>#N/A</v>
      </c>
      <c r="AJ51" s="314" t="e">
        <f t="shared" si="21"/>
        <v>#N/A</v>
      </c>
      <c r="AK51" s="314" t="e">
        <f t="shared" si="22"/>
        <v>#N/A</v>
      </c>
      <c r="AL51" t="e">
        <f t="shared" si="23"/>
        <v>#N/A</v>
      </c>
      <c r="AM51" s="314" t="e">
        <f t="shared" si="24"/>
        <v>#N/A</v>
      </c>
      <c r="AN51" s="314" t="e">
        <f t="shared" si="25"/>
        <v>#N/A</v>
      </c>
      <c r="AO51" t="e">
        <f t="shared" si="26"/>
        <v>#N/A</v>
      </c>
      <c r="AQ51" s="315"/>
      <c r="AR51" s="152"/>
      <c r="AS51" s="315"/>
      <c r="AT51" s="152"/>
      <c r="AU51" s="316"/>
      <c r="AV51" s="152"/>
      <c r="AW51" s="316"/>
      <c r="AX51" s="152"/>
    </row>
    <row r="52" spans="1:50">
      <c r="B52" s="311"/>
      <c r="S52" s="307"/>
      <c r="AB52" s="307"/>
      <c r="AC52" s="308"/>
      <c r="AD52" s="309"/>
      <c r="AE52" s="308"/>
      <c r="AF52" s="309"/>
      <c r="AG52" s="310"/>
      <c r="AH52" t="e">
        <f t="shared" si="19"/>
        <v>#N/A</v>
      </c>
      <c r="AI52" t="e">
        <f t="shared" si="20"/>
        <v>#N/A</v>
      </c>
      <c r="AJ52" s="314" t="e">
        <f t="shared" si="21"/>
        <v>#N/A</v>
      </c>
      <c r="AK52" s="314" t="e">
        <f t="shared" si="22"/>
        <v>#N/A</v>
      </c>
      <c r="AL52" t="e">
        <f t="shared" si="23"/>
        <v>#N/A</v>
      </c>
      <c r="AM52" s="314" t="e">
        <f t="shared" si="24"/>
        <v>#N/A</v>
      </c>
      <c r="AN52" s="314" t="e">
        <f t="shared" si="25"/>
        <v>#N/A</v>
      </c>
      <c r="AO52" t="e">
        <f t="shared" si="26"/>
        <v>#N/A</v>
      </c>
      <c r="AQ52" s="315"/>
      <c r="AR52" s="152"/>
      <c r="AS52" s="315"/>
      <c r="AT52" s="152"/>
      <c r="AU52" s="316"/>
      <c r="AV52" s="152"/>
      <c r="AW52" s="316"/>
      <c r="AX52" s="152"/>
    </row>
    <row r="53" spans="1:50">
      <c r="S53" s="307"/>
      <c r="AB53" s="307"/>
      <c r="AC53" s="308"/>
      <c r="AD53" s="309"/>
      <c r="AE53" s="308"/>
      <c r="AF53" s="309"/>
      <c r="AG53" s="310"/>
      <c r="AH53" t="e">
        <f t="shared" si="19"/>
        <v>#N/A</v>
      </c>
      <c r="AI53" t="e">
        <f t="shared" si="20"/>
        <v>#N/A</v>
      </c>
      <c r="AJ53" s="314" t="e">
        <f t="shared" si="21"/>
        <v>#N/A</v>
      </c>
      <c r="AK53" s="314" t="e">
        <f t="shared" si="22"/>
        <v>#N/A</v>
      </c>
      <c r="AL53" t="e">
        <f t="shared" si="23"/>
        <v>#N/A</v>
      </c>
      <c r="AM53" s="314" t="e">
        <f t="shared" si="24"/>
        <v>#N/A</v>
      </c>
      <c r="AN53" s="314" t="e">
        <f t="shared" si="25"/>
        <v>#N/A</v>
      </c>
      <c r="AO53" t="e">
        <f t="shared" si="26"/>
        <v>#N/A</v>
      </c>
      <c r="AQ53" s="315"/>
      <c r="AR53" s="152"/>
      <c r="AS53" s="315"/>
      <c r="AT53" s="152"/>
      <c r="AU53" s="316"/>
      <c r="AV53" s="152"/>
      <c r="AW53" s="316"/>
      <c r="AX53" s="152"/>
    </row>
    <row r="54" spans="1:50" ht="15.5">
      <c r="A54" s="324" t="s">
        <v>1427</v>
      </c>
      <c r="B54" s="325"/>
      <c r="C54" s="326"/>
      <c r="D54" s="327"/>
      <c r="F54" s="304" t="s">
        <v>1368</v>
      </c>
      <c r="S54" s="307"/>
      <c r="AB54" s="307"/>
      <c r="AC54" s="308"/>
      <c r="AD54" s="309"/>
      <c r="AE54" s="308"/>
      <c r="AF54" s="309"/>
      <c r="AG54" s="310"/>
      <c r="AH54" t="e">
        <f t="shared" si="19"/>
        <v>#N/A</v>
      </c>
      <c r="AI54" t="e">
        <f t="shared" si="20"/>
        <v>#N/A</v>
      </c>
      <c r="AJ54" s="314" t="e">
        <f t="shared" si="21"/>
        <v>#N/A</v>
      </c>
      <c r="AK54" s="314" t="e">
        <f t="shared" si="22"/>
        <v>#N/A</v>
      </c>
      <c r="AL54" t="e">
        <f t="shared" si="23"/>
        <v>#N/A</v>
      </c>
      <c r="AM54" s="314" t="e">
        <f t="shared" si="24"/>
        <v>#N/A</v>
      </c>
      <c r="AN54" s="314" t="e">
        <f t="shared" si="25"/>
        <v>#N/A</v>
      </c>
      <c r="AO54" t="e">
        <f t="shared" si="26"/>
        <v>#N/A</v>
      </c>
      <c r="AQ54" s="363"/>
      <c r="AR54" s="364"/>
      <c r="AS54" s="151"/>
      <c r="AT54" s="152"/>
    </row>
    <row r="55" spans="1:50" ht="13">
      <c r="A55" s="328"/>
      <c r="B55" s="329" t="s">
        <v>1369</v>
      </c>
      <c r="C55" s="339"/>
      <c r="D55" s="361"/>
      <c r="E55" s="328"/>
      <c r="F55" s="328"/>
      <c r="S55" s="307"/>
      <c r="AB55" s="307"/>
      <c r="AC55" s="308"/>
      <c r="AD55" s="309"/>
      <c r="AE55" s="308"/>
      <c r="AF55" s="309"/>
      <c r="AG55" s="310"/>
      <c r="AH55" t="e">
        <f t="shared" si="19"/>
        <v>#N/A</v>
      </c>
      <c r="AI55" t="e">
        <f t="shared" si="20"/>
        <v>#N/A</v>
      </c>
      <c r="AJ55" s="314" t="e">
        <f t="shared" si="21"/>
        <v>#N/A</v>
      </c>
      <c r="AK55" s="314" t="e">
        <f t="shared" si="22"/>
        <v>#N/A</v>
      </c>
      <c r="AL55" t="e">
        <f t="shared" si="23"/>
        <v>#N/A</v>
      </c>
      <c r="AM55" s="314" t="e">
        <f t="shared" si="24"/>
        <v>#N/A</v>
      </c>
      <c r="AN55" s="314" t="e">
        <f t="shared" si="25"/>
        <v>#N/A</v>
      </c>
      <c r="AO55" t="e">
        <f t="shared" si="26"/>
        <v>#N/A</v>
      </c>
      <c r="AQ55" s="363"/>
      <c r="AR55" s="364"/>
      <c r="AS55" s="151"/>
      <c r="AT55" s="152"/>
    </row>
    <row r="56" spans="1:50" ht="13">
      <c r="A56" s="331" t="s">
        <v>1372</v>
      </c>
      <c r="B56" s="329" t="s">
        <v>1373</v>
      </c>
      <c r="E56" s="331" t="s">
        <v>1374</v>
      </c>
      <c r="S56" s="307"/>
      <c r="AB56" s="307"/>
      <c r="AC56" s="308"/>
      <c r="AD56" s="309"/>
      <c r="AE56" s="308"/>
      <c r="AF56" s="309"/>
      <c r="AG56" s="310"/>
      <c r="AH56" t="e">
        <f t="shared" si="19"/>
        <v>#N/A</v>
      </c>
      <c r="AI56" t="e">
        <f t="shared" si="20"/>
        <v>#N/A</v>
      </c>
      <c r="AJ56" s="314" t="e">
        <f t="shared" si="21"/>
        <v>#N/A</v>
      </c>
      <c r="AK56" s="314" t="e">
        <f t="shared" si="22"/>
        <v>#N/A</v>
      </c>
      <c r="AL56" t="e">
        <f t="shared" si="23"/>
        <v>#N/A</v>
      </c>
      <c r="AM56" s="314" t="e">
        <f t="shared" si="24"/>
        <v>#N/A</v>
      </c>
      <c r="AN56" s="314" t="e">
        <f t="shared" si="25"/>
        <v>#N/A</v>
      </c>
      <c r="AO56" t="e">
        <f t="shared" si="26"/>
        <v>#N/A</v>
      </c>
      <c r="AQ56" s="363"/>
      <c r="AR56" s="364"/>
      <c r="AS56" s="151"/>
      <c r="AT56" s="152"/>
    </row>
    <row r="57" spans="1:50" ht="15.5">
      <c r="A57" s="334"/>
      <c r="B57" s="329" t="s">
        <v>1375</v>
      </c>
      <c r="C57" s="331" t="s">
        <v>1376</v>
      </c>
      <c r="D57" s="331" t="s">
        <v>1377</v>
      </c>
      <c r="E57" s="331" t="s">
        <v>1378</v>
      </c>
      <c r="F57" s="331" t="s">
        <v>1379</v>
      </c>
      <c r="S57" s="307"/>
      <c r="AB57" s="307"/>
      <c r="AC57" s="308"/>
      <c r="AD57" s="309"/>
      <c r="AE57" s="308"/>
      <c r="AF57" s="309"/>
      <c r="AG57" s="310"/>
      <c r="AH57" t="e">
        <f t="shared" si="19"/>
        <v>#N/A</v>
      </c>
      <c r="AI57" t="e">
        <f t="shared" si="20"/>
        <v>#N/A</v>
      </c>
      <c r="AJ57" s="314" t="e">
        <f t="shared" si="21"/>
        <v>#N/A</v>
      </c>
      <c r="AK57" s="314" t="e">
        <f t="shared" si="22"/>
        <v>#N/A</v>
      </c>
      <c r="AL57" t="e">
        <f t="shared" si="23"/>
        <v>#N/A</v>
      </c>
      <c r="AM57" s="314" t="e">
        <f t="shared" si="24"/>
        <v>#N/A</v>
      </c>
      <c r="AN57" s="314" t="e">
        <f t="shared" si="25"/>
        <v>#N/A</v>
      </c>
      <c r="AO57" t="e">
        <f t="shared" si="26"/>
        <v>#N/A</v>
      </c>
      <c r="AQ57" s="363"/>
      <c r="AR57" s="364"/>
      <c r="AS57" s="151"/>
      <c r="AT57" s="152"/>
    </row>
    <row r="58" spans="1:50">
      <c r="A58" s="336" t="s">
        <v>1428</v>
      </c>
      <c r="B58" s="346">
        <f>R_standard_uncertainty</f>
        <v>32.647086957923001</v>
      </c>
      <c r="C58" s="338">
        <f>B58^2</f>
        <v>1065.8322868381861</v>
      </c>
      <c r="D58" s="359" t="s">
        <v>1396</v>
      </c>
      <c r="E58" s="345">
        <f>R_v</f>
        <v>35.986908955287419</v>
      </c>
      <c r="F58" s="338">
        <f>B58^4/E58</f>
        <v>31566.991904699538</v>
      </c>
      <c r="G58" t="s">
        <v>1429</v>
      </c>
      <c r="S58" s="307"/>
      <c r="AB58" s="307"/>
      <c r="AC58" s="308"/>
      <c r="AD58" s="309"/>
      <c r="AE58" s="308"/>
      <c r="AF58" s="309"/>
      <c r="AG58" s="310"/>
      <c r="AH58" t="e">
        <f t="shared" si="19"/>
        <v>#N/A</v>
      </c>
      <c r="AI58" t="e">
        <f t="shared" si="20"/>
        <v>#N/A</v>
      </c>
      <c r="AJ58" s="314" t="e">
        <f t="shared" si="21"/>
        <v>#N/A</v>
      </c>
      <c r="AK58" s="314" t="e">
        <f t="shared" si="22"/>
        <v>#N/A</v>
      </c>
      <c r="AL58" t="e">
        <f t="shared" si="23"/>
        <v>#N/A</v>
      </c>
      <c r="AM58" s="314" t="e">
        <f t="shared" si="24"/>
        <v>#N/A</v>
      </c>
      <c r="AN58" s="314" t="e">
        <f t="shared" si="25"/>
        <v>#N/A</v>
      </c>
      <c r="AO58" t="e">
        <f t="shared" si="26"/>
        <v>#N/A</v>
      </c>
      <c r="AQ58" s="363"/>
      <c r="AR58" s="364"/>
      <c r="AS58" s="151"/>
      <c r="AT58" s="152"/>
    </row>
    <row r="59" spans="1:50">
      <c r="A59" s="336" t="s">
        <v>1430</v>
      </c>
      <c r="B59" s="365">
        <v>0</v>
      </c>
      <c r="C59" s="338">
        <f>B59^2</f>
        <v>0</v>
      </c>
      <c r="D59" s="339">
        <v>30</v>
      </c>
      <c r="E59" s="345">
        <f>0.5*(1/(0.01*D59)^2)</f>
        <v>5.5555555555555554</v>
      </c>
      <c r="F59" s="338">
        <f>B59^4/E59</f>
        <v>0</v>
      </c>
      <c r="S59" s="307"/>
      <c r="AB59" s="307"/>
      <c r="AC59" s="308"/>
      <c r="AD59" s="309"/>
      <c r="AE59" s="308"/>
      <c r="AF59" s="309"/>
      <c r="AG59" s="310"/>
      <c r="AH59" t="e">
        <f t="shared" si="19"/>
        <v>#N/A</v>
      </c>
      <c r="AI59" t="e">
        <f t="shared" si="20"/>
        <v>#N/A</v>
      </c>
      <c r="AJ59" s="314" t="e">
        <f t="shared" si="21"/>
        <v>#N/A</v>
      </c>
      <c r="AK59" s="314" t="e">
        <f t="shared" si="22"/>
        <v>#N/A</v>
      </c>
      <c r="AL59" t="e">
        <f t="shared" si="23"/>
        <v>#N/A</v>
      </c>
      <c r="AM59" s="314" t="e">
        <f t="shared" si="24"/>
        <v>#N/A</v>
      </c>
      <c r="AN59" s="314" t="e">
        <f t="shared" si="25"/>
        <v>#N/A</v>
      </c>
      <c r="AO59" t="e">
        <f t="shared" si="26"/>
        <v>#N/A</v>
      </c>
      <c r="AQ59" s="363"/>
      <c r="AR59" s="364"/>
      <c r="AS59" s="151"/>
      <c r="AT59" s="152"/>
    </row>
    <row r="60" spans="1:50">
      <c r="A60" s="336" t="s">
        <v>1431</v>
      </c>
      <c r="B60" s="337">
        <f>SQRT((VLOOKUP(label, Params,2,FALSE())*0.5)^2+(0.5*VLOOKUP(label, Params,3,FALSE()))^2)*D34</f>
        <v>1139.6198593926001</v>
      </c>
      <c r="C60" s="338">
        <f>B60^2</f>
        <v>1298733.4239220098</v>
      </c>
      <c r="D60" s="339">
        <v>20</v>
      </c>
      <c r="E60" s="345">
        <f>0.5*(1/(0.01*D60)^2)</f>
        <v>12.499999999999998</v>
      </c>
      <c r="F60" s="338">
        <f>B60^4/E60</f>
        <v>134936680512.97496</v>
      </c>
      <c r="G60" t="s">
        <v>1432</v>
      </c>
    </row>
    <row r="61" spans="1:50">
      <c r="A61" s="336" t="s">
        <v>1433</v>
      </c>
      <c r="B61" s="337">
        <f>VLOOKUP(label,Params,7,FALSE())</f>
        <v>0</v>
      </c>
      <c r="C61" s="338">
        <f>B61^2</f>
        <v>0</v>
      </c>
      <c r="D61" s="339">
        <v>30</v>
      </c>
      <c r="E61" s="345">
        <f>0.5*(1/(0.01*D61)^2)</f>
        <v>5.5555555555555554</v>
      </c>
      <c r="F61" s="338">
        <f>B61^4/E61</f>
        <v>0</v>
      </c>
      <c r="G61" t="s">
        <v>1434</v>
      </c>
    </row>
    <row r="62" spans="1:50" ht="13">
      <c r="B62" s="348" t="s">
        <v>1402</v>
      </c>
      <c r="C62" s="361">
        <f>SUM(C58:C61)</f>
        <v>1299799.256208848</v>
      </c>
      <c r="E62" s="302" t="s">
        <v>1403</v>
      </c>
      <c r="F62" s="338">
        <f>SUM(F58:F61)</f>
        <v>134936712079.96686</v>
      </c>
    </row>
    <row r="63" spans="1:50" ht="13">
      <c r="B63" s="348" t="s">
        <v>1404</v>
      </c>
      <c r="C63" s="340">
        <f>SQRT(C62)</f>
        <v>1140.0873897245106</v>
      </c>
      <c r="E63" s="350" t="s">
        <v>1405</v>
      </c>
      <c r="F63" s="351">
        <f>C63^4/F62</f>
        <v>12.520522253720305</v>
      </c>
    </row>
    <row r="64" spans="1:50" ht="13">
      <c r="B64" s="311"/>
      <c r="E64" s="352" t="s">
        <v>103</v>
      </c>
      <c r="F64" s="366">
        <f>$G$3+$G$4/F63+$G$5/F63^2+$G$6/F63^3</f>
        <v>2.1611893636399615</v>
      </c>
    </row>
    <row r="65" spans="1:7" ht="13">
      <c r="A65" s="302" t="s">
        <v>1406</v>
      </c>
      <c r="B65" s="311"/>
      <c r="E65" s="354" t="s">
        <v>1407</v>
      </c>
      <c r="F65" s="367">
        <f>F64*C63</f>
        <v>2463.9447402926598</v>
      </c>
    </row>
    <row r="66" spans="1:7">
      <c r="A66" s="304" t="s">
        <v>1435</v>
      </c>
      <c r="B66" s="311"/>
      <c r="F66" s="312">
        <f>F65*VLOOKUP(VLOOKUP(label,Results,2,FALSE()),multiplier,5,FALSE())</f>
        <v>2.46394474029266E-2</v>
      </c>
      <c r="G66" s="312" t="str">
        <f>VLOOKUP(label,Results,8,FALSE())</f>
        <v>ohm</v>
      </c>
    </row>
    <row r="67" spans="1:7">
      <c r="B67" s="311"/>
      <c r="E67" s="304"/>
      <c r="F67" s="356"/>
    </row>
    <row r="68" spans="1:7" ht="15.5">
      <c r="A68" s="324" t="s">
        <v>1436</v>
      </c>
      <c r="B68" s="325"/>
      <c r="C68" s="326"/>
      <c r="D68" s="368"/>
      <c r="F68" s="304" t="s">
        <v>1368</v>
      </c>
    </row>
    <row r="69" spans="1:7" ht="13">
      <c r="A69" s="328"/>
      <c r="B69" s="329" t="s">
        <v>1369</v>
      </c>
      <c r="C69" s="328"/>
      <c r="D69" s="328"/>
      <c r="E69" s="328"/>
      <c r="F69" s="328"/>
    </row>
    <row r="70" spans="1:7" ht="13">
      <c r="A70" s="331" t="s">
        <v>1372</v>
      </c>
      <c r="B70" s="329" t="s">
        <v>1373</v>
      </c>
      <c r="E70" s="331" t="s">
        <v>1374</v>
      </c>
    </row>
    <row r="71" spans="1:7" ht="15.5">
      <c r="A71" s="334"/>
      <c r="B71" s="329" t="s">
        <v>1375</v>
      </c>
      <c r="C71" s="331" t="s">
        <v>1376</v>
      </c>
      <c r="D71" s="331" t="s">
        <v>1377</v>
      </c>
      <c r="E71" s="331" t="s">
        <v>1378</v>
      </c>
      <c r="F71" s="331" t="s">
        <v>1379</v>
      </c>
    </row>
    <row r="72" spans="1:7">
      <c r="A72" s="336" t="s">
        <v>1428</v>
      </c>
      <c r="B72" s="369">
        <f>L_standard_uncertainty</f>
        <v>2.5730227159301435</v>
      </c>
      <c r="C72" s="338">
        <f>B72^2</f>
        <v>6.6204458966925319</v>
      </c>
      <c r="D72" s="359" t="s">
        <v>1396</v>
      </c>
      <c r="E72" s="345">
        <f>L_v</f>
        <v>14.722144162424373</v>
      </c>
      <c r="F72" s="338">
        <f>B72^4/E72</f>
        <v>2.9771685012365219</v>
      </c>
    </row>
    <row r="73" spans="1:7">
      <c r="A73" s="336" t="s">
        <v>1431</v>
      </c>
      <c r="B73" s="337">
        <f>SQRT((VLOOKUP(label, Params,4,FALSE())*0.5)^2+(0.5*VLOOKUP(label, Params,5,FALSE()))^2)*D11</f>
        <v>0.99523171191449178</v>
      </c>
      <c r="C73" s="338">
        <f>B73^2</f>
        <v>0.99048616040024995</v>
      </c>
      <c r="D73" s="339">
        <v>30</v>
      </c>
      <c r="E73" s="345">
        <f>0.5*(1/(0.01*D73)^2)</f>
        <v>5.5555555555555554</v>
      </c>
      <c r="F73" s="338">
        <f>B73^4/E73</f>
        <v>0.17659131010999735</v>
      </c>
      <c r="G73" s="1" t="s">
        <v>1437</v>
      </c>
    </row>
    <row r="74" spans="1:7">
      <c r="A74" s="336" t="s">
        <v>1430</v>
      </c>
      <c r="B74" s="337">
        <f>0.00002*D11</f>
        <v>1.9879800000000001</v>
      </c>
      <c r="C74" s="338">
        <f>B74^2</f>
        <v>3.9520644804000002</v>
      </c>
      <c r="D74" s="339">
        <v>30</v>
      </c>
      <c r="E74" s="345">
        <f>0.5*(1/(0.01*D74)^2)</f>
        <v>5.5555555555555554</v>
      </c>
      <c r="F74" s="338">
        <f>B74^4/E74</f>
        <v>2.8113864583030783</v>
      </c>
      <c r="G74" t="s">
        <v>1438</v>
      </c>
    </row>
    <row r="75" spans="1:7">
      <c r="A75" s="336" t="s">
        <v>1439</v>
      </c>
      <c r="B75" s="337">
        <f>VLOOKUP(label,Params,6,FALSE())</f>
        <v>0</v>
      </c>
      <c r="C75" s="338">
        <f>B75^2</f>
        <v>0</v>
      </c>
      <c r="D75" s="339">
        <v>30</v>
      </c>
      <c r="E75" s="345">
        <f>0.5*(1/(0.01*D75)^2)</f>
        <v>5.5555555555555554</v>
      </c>
      <c r="F75" s="338">
        <f>B75^4/E75</f>
        <v>0</v>
      </c>
      <c r="G75" t="s">
        <v>1434</v>
      </c>
    </row>
    <row r="76" spans="1:7" ht="13">
      <c r="B76" s="348" t="s">
        <v>1402</v>
      </c>
      <c r="C76" s="361">
        <f>SUM(C72:C75)</f>
        <v>11.562996537492783</v>
      </c>
      <c r="E76" s="302" t="s">
        <v>1403</v>
      </c>
      <c r="F76" s="338">
        <f>SUM(F72:F75)</f>
        <v>5.9651462696495976</v>
      </c>
    </row>
    <row r="77" spans="1:7" ht="13">
      <c r="B77" s="348" t="s">
        <v>1440</v>
      </c>
      <c r="C77" s="362">
        <f>SQRT(C76)</f>
        <v>3.4004406387250437</v>
      </c>
      <c r="E77" s="350" t="s">
        <v>1405</v>
      </c>
      <c r="F77" s="351">
        <f>C77^4/F76</f>
        <v>22.414016837498941</v>
      </c>
    </row>
    <row r="78" spans="1:7" ht="13">
      <c r="B78" s="311"/>
      <c r="E78" s="352" t="s">
        <v>103</v>
      </c>
      <c r="F78" s="366">
        <f>$G$3+$G$4/F77+$G$5/F77^2+$G$6/F77^3</f>
        <v>2.0689921097547925</v>
      </c>
    </row>
    <row r="79" spans="1:7" ht="13">
      <c r="A79" s="302" t="s">
        <v>1406</v>
      </c>
      <c r="B79" s="311"/>
      <c r="E79" s="354" t="s">
        <v>1441</v>
      </c>
      <c r="F79" s="370">
        <f>F78*C77</f>
        <v>7.0354848512116623</v>
      </c>
    </row>
    <row r="80" spans="1:7">
      <c r="A80" s="304" t="s">
        <v>1435</v>
      </c>
      <c r="B80" s="311"/>
      <c r="F80" s="312">
        <f>F79*VLOOKUP(VLOOKUP(label,Results,2,FALSE()),multiplier,2,FALSE())</f>
        <v>7.0354848512116632E-5</v>
      </c>
      <c r="G80" s="251" t="str">
        <f>VLOOKUP(label,Results,6,FALSE())</f>
        <v>milliH</v>
      </c>
    </row>
  </sheetData>
  <conditionalFormatting sqref="AV5:AV53 AX5:AX53 AR5:AR59 AT5:AT59">
    <cfRule type="cellIs" dxfId="1" priority="2" operator="lessThan">
      <formula>1</formula>
    </cfRule>
    <cfRule type="cellIs" dxfId="0" priority="3" operator="greaterThanOrEqual">
      <formula>1</formula>
    </cfRule>
  </conditionalFormatting>
  <pageMargins left="0.75" right="0.75" top="1" bottom="1" header="0.5" footer="0.5"/>
  <pageSetup paperSize="9" orientation="landscape" horizontalDpi="300" verticalDpi="300"/>
  <headerFooter>
    <oddHeader>&amp;C&amp;A</oddHeader>
    <oddFooter>&amp;CPage &amp;P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65"/>
  <sheetViews>
    <sheetView zoomScale="110" zoomScaleNormal="110" workbookViewId="0">
      <selection activeCell="I57" sqref="I57"/>
    </sheetView>
  </sheetViews>
  <sheetFormatPr defaultColWidth="8.6328125" defaultRowHeight="12.5"/>
  <cols>
    <col min="1" max="1" width="10.7265625" customWidth="1"/>
    <col min="2" max="2" width="9.26953125" customWidth="1"/>
    <col min="7" max="7" width="10.81640625" customWidth="1"/>
    <col min="9" max="9" width="18.1796875" customWidth="1"/>
  </cols>
  <sheetData>
    <row r="1" spans="1:25">
      <c r="A1" s="371"/>
      <c r="B1" s="371"/>
      <c r="C1" s="371"/>
      <c r="D1" s="371"/>
      <c r="G1" s="9" t="s">
        <v>1154</v>
      </c>
      <c r="H1" s="372" t="s">
        <v>1442</v>
      </c>
      <c r="I1" s="372"/>
      <c r="J1" s="373"/>
      <c r="K1" s="373"/>
      <c r="L1" s="373"/>
      <c r="M1" s="373"/>
    </row>
    <row r="2" spans="1:25">
      <c r="A2" s="371"/>
      <c r="B2" s="374">
        <v>38398</v>
      </c>
      <c r="C2" s="371" t="s">
        <v>1144</v>
      </c>
      <c r="D2" s="371"/>
      <c r="F2" s="374">
        <v>38398</v>
      </c>
      <c r="J2" s="373"/>
      <c r="K2" s="375">
        <v>36749</v>
      </c>
      <c r="L2" s="373" t="s">
        <v>1143</v>
      </c>
      <c r="M2" s="373"/>
      <c r="R2" s="374">
        <v>38408</v>
      </c>
    </row>
    <row r="3" spans="1:25" ht="13">
      <c r="A3" s="371"/>
      <c r="B3" s="376" t="s">
        <v>1443</v>
      </c>
      <c r="C3" s="371"/>
      <c r="D3" s="371"/>
      <c r="J3" s="373"/>
      <c r="K3" s="377" t="s">
        <v>1443</v>
      </c>
      <c r="L3" s="373"/>
      <c r="M3" s="373"/>
      <c r="R3" s="62" t="s">
        <v>1158</v>
      </c>
      <c r="S3" s="378" t="s">
        <v>108</v>
      </c>
      <c r="T3" s="379" t="s">
        <v>1159</v>
      </c>
      <c r="U3" s="380" t="s">
        <v>1160</v>
      </c>
      <c r="V3" s="381" t="s">
        <v>1161</v>
      </c>
      <c r="W3" s="380" t="s">
        <v>1162</v>
      </c>
      <c r="X3" s="379" t="s">
        <v>1160</v>
      </c>
      <c r="Y3" s="382" t="s">
        <v>1163</v>
      </c>
    </row>
    <row r="4" spans="1:25" ht="13">
      <c r="A4" s="371" t="s">
        <v>76</v>
      </c>
      <c r="B4" s="376" t="s">
        <v>1444</v>
      </c>
      <c r="C4" s="371"/>
      <c r="D4" s="371"/>
      <c r="J4" s="373" t="s">
        <v>76</v>
      </c>
      <c r="K4" s="377" t="s">
        <v>1444</v>
      </c>
      <c r="L4" s="373"/>
      <c r="M4" s="373"/>
      <c r="R4" s="62"/>
      <c r="S4" s="383"/>
      <c r="T4" s="384"/>
      <c r="U4" s="211" t="s">
        <v>1164</v>
      </c>
      <c r="V4" s="385" t="s">
        <v>1165</v>
      </c>
      <c r="W4" s="211"/>
      <c r="X4" s="384" t="s">
        <v>1164</v>
      </c>
      <c r="Y4" s="386" t="s">
        <v>1165</v>
      </c>
    </row>
    <row r="5" spans="1:25" ht="13">
      <c r="A5" s="376" t="s">
        <v>75</v>
      </c>
      <c r="B5" s="376">
        <v>10</v>
      </c>
      <c r="C5" s="387">
        <v>984646</v>
      </c>
      <c r="D5" s="387">
        <v>4821626</v>
      </c>
      <c r="J5" s="377" t="s">
        <v>75</v>
      </c>
      <c r="K5" s="377">
        <v>10</v>
      </c>
      <c r="L5" s="388">
        <v>984617</v>
      </c>
      <c r="M5" s="388">
        <v>4827668</v>
      </c>
      <c r="O5" s="247"/>
      <c r="P5" s="247"/>
      <c r="R5" s="62"/>
      <c r="S5" s="389"/>
      <c r="T5" s="390" t="s">
        <v>1168</v>
      </c>
      <c r="U5" s="391" t="s">
        <v>1168</v>
      </c>
      <c r="V5" s="392"/>
      <c r="W5" s="391"/>
      <c r="X5" s="390"/>
      <c r="Y5" s="393"/>
    </row>
    <row r="6" spans="1:25" ht="13">
      <c r="A6" s="376" t="s">
        <v>74</v>
      </c>
      <c r="B6" s="376">
        <v>9</v>
      </c>
      <c r="C6" s="387">
        <v>887241</v>
      </c>
      <c r="D6" s="387">
        <v>4512760</v>
      </c>
      <c r="J6" s="377" t="s">
        <v>74</v>
      </c>
      <c r="K6" s="377">
        <v>9</v>
      </c>
      <c r="L6" s="388">
        <v>887225</v>
      </c>
      <c r="M6" s="388">
        <v>4520316</v>
      </c>
      <c r="O6" s="247"/>
      <c r="P6" s="247"/>
      <c r="R6" s="62" t="s">
        <v>55</v>
      </c>
      <c r="S6" s="383">
        <v>1</v>
      </c>
      <c r="T6" s="394">
        <v>993.99162212954604</v>
      </c>
      <c r="U6" s="395">
        <v>0.11571013513209</v>
      </c>
      <c r="V6" s="385">
        <v>2.1007662692614399</v>
      </c>
      <c r="W6" s="212">
        <v>5.6915848571207999</v>
      </c>
      <c r="X6" s="396">
        <v>2.4610920554940099E-2</v>
      </c>
      <c r="Y6" s="386">
        <v>2.1611030292603002</v>
      </c>
    </row>
    <row r="7" spans="1:25" ht="13">
      <c r="A7" s="376" t="s">
        <v>73</v>
      </c>
      <c r="B7" s="376">
        <v>8</v>
      </c>
      <c r="C7" s="387">
        <v>789040</v>
      </c>
      <c r="D7" s="387">
        <v>4195500</v>
      </c>
      <c r="J7" s="377" t="s">
        <v>73</v>
      </c>
      <c r="K7" s="377">
        <v>8</v>
      </c>
      <c r="L7" s="388">
        <v>789013</v>
      </c>
      <c r="M7" s="388">
        <v>4202536</v>
      </c>
      <c r="O7" s="247"/>
      <c r="P7" s="247"/>
      <c r="R7" s="62" t="s">
        <v>56</v>
      </c>
      <c r="S7" s="383">
        <v>2</v>
      </c>
      <c r="T7" s="394">
        <v>1980.4119370007099</v>
      </c>
      <c r="U7" s="395">
        <v>5.8868538212128803</v>
      </c>
      <c r="V7" s="385">
        <v>2.1614514700241001</v>
      </c>
      <c r="W7" s="395">
        <v>8.3816783988960104</v>
      </c>
      <c r="X7" s="394">
        <v>3.66402904608178E-2</v>
      </c>
      <c r="Y7" s="386">
        <v>2.1473018941809401</v>
      </c>
    </row>
    <row r="8" spans="1:25" ht="13">
      <c r="A8" s="376" t="s">
        <v>72</v>
      </c>
      <c r="B8" s="376">
        <v>7</v>
      </c>
      <c r="C8" s="387">
        <v>691266</v>
      </c>
      <c r="D8" s="387">
        <v>3892830</v>
      </c>
      <c r="J8" s="377" t="s">
        <v>72</v>
      </c>
      <c r="K8" s="377">
        <v>7</v>
      </c>
      <c r="L8" s="388">
        <v>691241</v>
      </c>
      <c r="M8" s="388">
        <v>3899426</v>
      </c>
      <c r="O8" s="247"/>
      <c r="P8" s="247"/>
      <c r="R8" s="62" t="s">
        <v>57</v>
      </c>
      <c r="S8" s="383">
        <v>3</v>
      </c>
      <c r="T8" s="394">
        <v>2968.8225955236899</v>
      </c>
      <c r="U8" s="395">
        <v>2.0201527351532</v>
      </c>
      <c r="V8" s="385">
        <v>2.1598891677846099</v>
      </c>
      <c r="W8" s="395">
        <v>10.661008495632</v>
      </c>
      <c r="X8" s="394">
        <v>4.61648198704806E-2</v>
      </c>
      <c r="Y8" s="386">
        <v>2.1591011846410901</v>
      </c>
    </row>
    <row r="9" spans="1:25" ht="13">
      <c r="A9" s="376" t="s">
        <v>71</v>
      </c>
      <c r="B9" s="376">
        <v>6</v>
      </c>
      <c r="C9" s="388">
        <v>593428</v>
      </c>
      <c r="D9" s="388">
        <v>3543346</v>
      </c>
      <c r="F9" s="397">
        <v>594040</v>
      </c>
      <c r="G9" s="397">
        <v>3533330</v>
      </c>
      <c r="J9" s="377" t="s">
        <v>71</v>
      </c>
      <c r="K9" s="377">
        <v>6</v>
      </c>
      <c r="L9" s="388">
        <v>593428</v>
      </c>
      <c r="M9" s="388">
        <v>3543346</v>
      </c>
      <c r="O9" s="247"/>
      <c r="P9" s="247"/>
      <c r="R9" s="62" t="s">
        <v>58</v>
      </c>
      <c r="S9" s="383">
        <v>4</v>
      </c>
      <c r="T9" s="394">
        <v>3948.7117827334</v>
      </c>
      <c r="U9" s="395">
        <v>0.178995545000142</v>
      </c>
      <c r="V9" s="385">
        <v>2.1114097918526098</v>
      </c>
      <c r="W9" s="395">
        <v>12.64622180514</v>
      </c>
      <c r="X9" s="394">
        <v>5.4673058381042902E-2</v>
      </c>
      <c r="Y9" s="386">
        <v>2.1613897184366202</v>
      </c>
    </row>
    <row r="10" spans="1:25" ht="13">
      <c r="A10" s="376" t="s">
        <v>70</v>
      </c>
      <c r="B10" s="376">
        <v>5</v>
      </c>
      <c r="C10" s="387">
        <v>494427</v>
      </c>
      <c r="D10" s="387">
        <v>3176330</v>
      </c>
      <c r="J10" s="377" t="s">
        <v>70</v>
      </c>
      <c r="K10" s="377">
        <v>5</v>
      </c>
      <c r="L10" s="388">
        <v>494412</v>
      </c>
      <c r="M10" s="388">
        <v>3181644</v>
      </c>
      <c r="O10" s="247"/>
      <c r="P10" s="247"/>
      <c r="R10" s="62" t="s">
        <v>59</v>
      </c>
      <c r="S10" s="383">
        <v>5</v>
      </c>
      <c r="T10" s="394">
        <v>4932.4416330702197</v>
      </c>
      <c r="U10" s="395">
        <v>0.216475819745264</v>
      </c>
      <c r="V10" s="385">
        <v>2.1361772180119099</v>
      </c>
      <c r="W10" s="395">
        <v>14.413922699747999</v>
      </c>
      <c r="X10" s="394">
        <v>6.2314743472247899E-2</v>
      </c>
      <c r="Y10" s="386">
        <v>2.1614042842246701</v>
      </c>
    </row>
    <row r="11" spans="1:25" ht="13">
      <c r="A11" s="376" t="s">
        <v>69</v>
      </c>
      <c r="B11" s="376">
        <v>4</v>
      </c>
      <c r="C11" s="387">
        <v>396493</v>
      </c>
      <c r="D11" s="387">
        <v>2793140</v>
      </c>
      <c r="J11" s="377" t="s">
        <v>69</v>
      </c>
      <c r="K11" s="377">
        <v>4</v>
      </c>
      <c r="L11" s="388">
        <v>396485</v>
      </c>
      <c r="M11" s="388">
        <v>2797540</v>
      </c>
      <c r="O11" s="247"/>
      <c r="P11" s="247"/>
      <c r="R11" s="62" t="s">
        <v>60</v>
      </c>
      <c r="S11" s="383">
        <v>6</v>
      </c>
      <c r="T11" s="394">
        <v>5914.8612571839903</v>
      </c>
      <c r="U11" s="395">
        <v>0.25412328163134501</v>
      </c>
      <c r="V11" s="385">
        <v>2.1586386355683298</v>
      </c>
      <c r="W11" s="395">
        <v>16.099118885256001</v>
      </c>
      <c r="X11" s="394">
        <v>6.9599105048537294E-2</v>
      </c>
      <c r="Y11" s="386">
        <v>2.1614289165480001</v>
      </c>
    </row>
    <row r="12" spans="1:25" ht="13">
      <c r="A12" s="376" t="s">
        <v>68</v>
      </c>
      <c r="B12" s="376">
        <v>3</v>
      </c>
      <c r="C12" s="387">
        <v>298240</v>
      </c>
      <c r="D12" s="387">
        <v>2207660</v>
      </c>
      <c r="J12" s="377" t="s">
        <v>68</v>
      </c>
      <c r="K12" s="377">
        <v>3</v>
      </c>
      <c r="L12" s="388">
        <v>298228</v>
      </c>
      <c r="M12" s="388">
        <v>2208660</v>
      </c>
      <c r="O12" s="247"/>
      <c r="P12" s="247"/>
      <c r="R12" s="62" t="s">
        <v>61</v>
      </c>
      <c r="S12" s="383">
        <v>7</v>
      </c>
      <c r="T12" s="394">
        <v>6891.6899159642999</v>
      </c>
      <c r="U12" s="395">
        <v>0.29240336894860602</v>
      </c>
      <c r="V12" s="385">
        <v>2.1754299682082601</v>
      </c>
      <c r="W12" s="395">
        <v>17.741712639155999</v>
      </c>
      <c r="X12" s="394">
        <v>7.66997235749136E-2</v>
      </c>
      <c r="Y12" s="386">
        <v>2.1614407175446302</v>
      </c>
    </row>
    <row r="13" spans="1:25" ht="13">
      <c r="A13" s="376" t="s">
        <v>67</v>
      </c>
      <c r="B13" s="376">
        <v>2</v>
      </c>
      <c r="C13" s="387">
        <v>198990</v>
      </c>
      <c r="D13" s="387">
        <v>1740140</v>
      </c>
      <c r="J13" s="377" t="s">
        <v>67</v>
      </c>
      <c r="K13" s="377">
        <v>2</v>
      </c>
      <c r="L13" s="388">
        <v>198994</v>
      </c>
      <c r="M13" s="388">
        <v>1740961</v>
      </c>
      <c r="O13" s="247"/>
      <c r="P13" s="247"/>
      <c r="R13" s="62" t="s">
        <v>62</v>
      </c>
      <c r="S13" s="383">
        <v>8</v>
      </c>
      <c r="T13" s="394">
        <v>7864.0478028232101</v>
      </c>
      <c r="U13" s="395">
        <v>0.330833250975066</v>
      </c>
      <c r="V13" s="385">
        <v>2.1889453057153299</v>
      </c>
      <c r="W13" s="395">
        <v>19.256869119351599</v>
      </c>
      <c r="X13" s="394">
        <v>8.3249655026290906E-2</v>
      </c>
      <c r="Y13" s="386">
        <v>2.1614463425434298</v>
      </c>
    </row>
    <row r="14" spans="1:25" ht="13">
      <c r="A14" s="376" t="s">
        <v>66</v>
      </c>
      <c r="B14" s="376">
        <v>1</v>
      </c>
      <c r="C14" s="387">
        <v>99142</v>
      </c>
      <c r="D14" s="387">
        <v>1167100</v>
      </c>
      <c r="J14" s="377" t="s">
        <v>66</v>
      </c>
      <c r="K14" s="377">
        <v>1</v>
      </c>
      <c r="L14" s="388">
        <v>99140</v>
      </c>
      <c r="M14" s="388">
        <v>1167446</v>
      </c>
      <c r="O14" s="247"/>
      <c r="P14" s="247"/>
      <c r="R14" s="62" t="s">
        <v>63</v>
      </c>
      <c r="S14" s="383">
        <v>9</v>
      </c>
      <c r="T14" s="394">
        <v>8833.3751664333904</v>
      </c>
      <c r="U14" s="395">
        <v>0.36924187058692898</v>
      </c>
      <c r="V14" s="385">
        <v>2.2005909318960799</v>
      </c>
      <c r="W14" s="395">
        <v>20.713282246668001</v>
      </c>
      <c r="X14" s="394">
        <v>8.9545714147612601E-2</v>
      </c>
      <c r="Y14" s="386">
        <v>2.1614498148140102</v>
      </c>
    </row>
    <row r="15" spans="1:25" ht="13">
      <c r="A15" s="371"/>
      <c r="B15" s="376">
        <v>0</v>
      </c>
      <c r="C15" s="387"/>
      <c r="D15" s="387"/>
      <c r="J15" s="373"/>
      <c r="K15" s="377">
        <v>0</v>
      </c>
      <c r="L15" s="388"/>
      <c r="M15" s="388"/>
      <c r="O15" s="247"/>
      <c r="P15" s="247"/>
      <c r="R15" s="62" t="s">
        <v>64</v>
      </c>
      <c r="S15" s="389">
        <v>10</v>
      </c>
      <c r="T15" s="398">
        <v>9803.9927528128301</v>
      </c>
      <c r="U15" s="399">
        <v>0.40859064034550902</v>
      </c>
      <c r="V15" s="392">
        <v>2.2065546232503301</v>
      </c>
      <c r="W15" s="399">
        <v>22.195966873475999</v>
      </c>
      <c r="X15" s="398">
        <v>9.5955077158408897E-2</v>
      </c>
      <c r="Y15" s="393">
        <v>2.1614569214522001</v>
      </c>
    </row>
    <row r="16" spans="1:25" ht="13">
      <c r="A16" s="371"/>
      <c r="B16" s="376" t="s">
        <v>1445</v>
      </c>
      <c r="C16" s="387"/>
      <c r="D16" s="387"/>
      <c r="J16" s="373"/>
      <c r="K16" s="377" t="s">
        <v>1445</v>
      </c>
      <c r="L16" s="388"/>
      <c r="M16" s="388"/>
      <c r="O16" s="247"/>
      <c r="P16" s="247"/>
      <c r="R16" s="62"/>
      <c r="S16" s="211"/>
      <c r="T16" s="156"/>
      <c r="U16" s="156"/>
      <c r="V16" s="156"/>
      <c r="W16" s="212"/>
      <c r="X16" s="212"/>
      <c r="Y16" s="156"/>
    </row>
    <row r="17" spans="1:25" ht="13">
      <c r="A17" s="371"/>
      <c r="B17" s="376" t="s">
        <v>1446</v>
      </c>
      <c r="C17" s="387"/>
      <c r="D17" s="387"/>
      <c r="J17" s="373"/>
      <c r="K17" s="377" t="s">
        <v>1446</v>
      </c>
      <c r="L17" s="388"/>
      <c r="M17" s="388"/>
      <c r="O17" s="247"/>
      <c r="P17" s="247"/>
      <c r="R17" s="62"/>
      <c r="S17" s="211"/>
      <c r="T17" s="156"/>
      <c r="U17" s="156"/>
      <c r="V17" s="156"/>
      <c r="W17" s="212"/>
      <c r="X17" s="212"/>
      <c r="Y17" s="156"/>
    </row>
    <row r="18" spans="1:25" ht="13">
      <c r="A18" s="376" t="s">
        <v>64</v>
      </c>
      <c r="B18" s="376">
        <v>10</v>
      </c>
      <c r="C18" s="372">
        <v>980229</v>
      </c>
      <c r="D18" s="372">
        <v>2219460</v>
      </c>
      <c r="J18" s="377" t="s">
        <v>64</v>
      </c>
      <c r="K18" s="377">
        <v>10</v>
      </c>
      <c r="L18" s="388">
        <v>980273</v>
      </c>
      <c r="M18" s="388">
        <v>2221419</v>
      </c>
      <c r="O18" s="247"/>
      <c r="P18" s="247"/>
      <c r="R18" s="62"/>
      <c r="S18" s="211"/>
      <c r="T18" s="62"/>
      <c r="U18" s="62"/>
      <c r="V18" s="215"/>
      <c r="W18" s="62"/>
      <c r="X18" s="62"/>
      <c r="Y18" s="215"/>
    </row>
    <row r="19" spans="1:25" ht="13">
      <c r="A19" s="376" t="s">
        <v>63</v>
      </c>
      <c r="B19" s="376">
        <v>9</v>
      </c>
      <c r="C19" s="387">
        <v>883184</v>
      </c>
      <c r="D19" s="387">
        <v>2071200</v>
      </c>
      <c r="J19" s="377" t="s">
        <v>63</v>
      </c>
      <c r="K19" s="377">
        <v>9</v>
      </c>
      <c r="L19" s="388">
        <v>883227</v>
      </c>
      <c r="M19" s="388">
        <v>2073654</v>
      </c>
      <c r="O19" s="247"/>
      <c r="P19" s="247"/>
      <c r="R19" s="62"/>
      <c r="S19" s="378" t="s">
        <v>108</v>
      </c>
      <c r="T19" s="379" t="s">
        <v>1159</v>
      </c>
      <c r="U19" s="380" t="s">
        <v>1160</v>
      </c>
      <c r="V19" s="381" t="s">
        <v>1163</v>
      </c>
      <c r="W19" s="380" t="s">
        <v>1162</v>
      </c>
      <c r="X19" s="379" t="s">
        <v>1160</v>
      </c>
      <c r="Y19" s="382" t="s">
        <v>1163</v>
      </c>
    </row>
    <row r="20" spans="1:25" ht="13">
      <c r="A20" s="376" t="s">
        <v>62</v>
      </c>
      <c r="B20" s="376">
        <v>8</v>
      </c>
      <c r="C20" s="387">
        <v>786268</v>
      </c>
      <c r="D20" s="387">
        <v>1925567</v>
      </c>
      <c r="J20" s="377" t="s">
        <v>62</v>
      </c>
      <c r="K20" s="377">
        <v>8</v>
      </c>
      <c r="L20" s="388">
        <v>786313</v>
      </c>
      <c r="M20" s="388">
        <v>1928038</v>
      </c>
      <c r="O20" s="247"/>
      <c r="P20" s="247"/>
      <c r="R20" s="62"/>
      <c r="S20" s="383"/>
      <c r="T20" s="384"/>
      <c r="U20" s="211" t="s">
        <v>1164</v>
      </c>
      <c r="V20" s="385" t="s">
        <v>1165</v>
      </c>
      <c r="W20" s="211"/>
      <c r="X20" s="384" t="s">
        <v>1164</v>
      </c>
      <c r="Y20" s="386" t="s">
        <v>1165</v>
      </c>
    </row>
    <row r="21" spans="1:25" ht="13">
      <c r="A21" s="376" t="s">
        <v>61</v>
      </c>
      <c r="B21" s="376">
        <v>7</v>
      </c>
      <c r="C21" s="387">
        <v>689049</v>
      </c>
      <c r="D21" s="387">
        <v>1774060</v>
      </c>
      <c r="J21" s="377" t="s">
        <v>61</v>
      </c>
      <c r="K21" s="377">
        <v>7</v>
      </c>
      <c r="L21" s="388">
        <v>689092</v>
      </c>
      <c r="M21" s="388">
        <v>1776493</v>
      </c>
      <c r="O21" s="247"/>
      <c r="P21" s="247"/>
      <c r="R21" s="62"/>
      <c r="S21" s="389"/>
      <c r="T21" s="390" t="s">
        <v>1168</v>
      </c>
      <c r="U21" s="391" t="s">
        <v>1168</v>
      </c>
      <c r="V21" s="392"/>
      <c r="W21" s="391" t="s">
        <v>1169</v>
      </c>
      <c r="X21" s="390" t="s">
        <v>1169</v>
      </c>
      <c r="Y21" s="393"/>
    </row>
    <row r="22" spans="1:25" ht="13">
      <c r="A22" s="376" t="s">
        <v>60</v>
      </c>
      <c r="B22" s="376">
        <v>6</v>
      </c>
      <c r="C22" s="387">
        <v>591383</v>
      </c>
      <c r="D22" s="387">
        <v>1609810</v>
      </c>
      <c r="J22" s="377" t="s">
        <v>60</v>
      </c>
      <c r="K22" s="377">
        <v>6</v>
      </c>
      <c r="L22" s="388">
        <v>591422</v>
      </c>
      <c r="M22" s="388">
        <v>1612197</v>
      </c>
      <c r="O22" s="247"/>
      <c r="P22" s="247"/>
      <c r="R22" s="62" t="s">
        <v>66</v>
      </c>
      <c r="S22" s="383">
        <v>1</v>
      </c>
      <c r="T22" s="394">
        <v>99.161121112889404</v>
      </c>
      <c r="U22" s="212">
        <v>6.1381350745899803E-3</v>
      </c>
      <c r="V22" s="385">
        <v>2.0412955130539499</v>
      </c>
      <c r="W22" s="212">
        <v>1.1671766186388</v>
      </c>
      <c r="X22" s="396">
        <v>5.0456073616774403E-3</v>
      </c>
      <c r="Y22" s="386">
        <v>2.1615078194274799</v>
      </c>
    </row>
    <row r="23" spans="1:25" ht="13">
      <c r="A23" s="376" t="s">
        <v>59</v>
      </c>
      <c r="B23" s="376">
        <v>5</v>
      </c>
      <c r="C23" s="387">
        <v>493158</v>
      </c>
      <c r="D23" s="387">
        <v>1441300</v>
      </c>
      <c r="J23" s="377" t="s">
        <v>59</v>
      </c>
      <c r="K23" s="377">
        <v>5</v>
      </c>
      <c r="L23" s="388">
        <v>493192</v>
      </c>
      <c r="M23" s="388">
        <v>1443680</v>
      </c>
      <c r="O23" s="247"/>
      <c r="P23" s="247"/>
      <c r="R23" s="62" t="s">
        <v>67</v>
      </c>
      <c r="S23" s="383">
        <v>2</v>
      </c>
      <c r="T23" s="394">
        <v>199.026363799081</v>
      </c>
      <c r="U23" s="212">
        <v>9.9933281432231392E-3</v>
      </c>
      <c r="V23" s="385">
        <v>2.0699662139145798</v>
      </c>
      <c r="W23" s="212">
        <v>1.7402493277619999</v>
      </c>
      <c r="X23" s="396">
        <v>7.5229625770695798E-3</v>
      </c>
      <c r="Y23" s="386">
        <v>2.1615100593599701</v>
      </c>
    </row>
    <row r="24" spans="1:25" ht="13">
      <c r="A24" s="376" t="s">
        <v>58</v>
      </c>
      <c r="B24" s="376">
        <v>4</v>
      </c>
      <c r="C24" s="387">
        <v>394802</v>
      </c>
      <c r="D24" s="387">
        <v>1264540</v>
      </c>
      <c r="J24" s="377" t="s">
        <v>58</v>
      </c>
      <c r="K24" s="377">
        <v>4</v>
      </c>
      <c r="L24" s="388">
        <v>394829</v>
      </c>
      <c r="M24" s="388">
        <v>1266570</v>
      </c>
      <c r="O24" s="247"/>
      <c r="P24" s="247"/>
      <c r="R24" s="62" t="s">
        <v>68</v>
      </c>
      <c r="S24" s="383">
        <v>3</v>
      </c>
      <c r="T24" s="394">
        <v>298.29350321704101</v>
      </c>
      <c r="U24" s="212">
        <v>1.4440465662377999E-2</v>
      </c>
      <c r="V24" s="385">
        <v>2.07658425687102</v>
      </c>
      <c r="W24" s="212">
        <v>2.2077960138036001</v>
      </c>
      <c r="X24" s="396">
        <v>9.5441297944560792E-3</v>
      </c>
      <c r="Y24" s="386">
        <v>2.1615119395098001</v>
      </c>
    </row>
    <row r="25" spans="1:25" ht="13">
      <c r="A25" s="376" t="s">
        <v>57</v>
      </c>
      <c r="B25" s="376">
        <v>3</v>
      </c>
      <c r="C25" s="387">
        <v>296830</v>
      </c>
      <c r="D25" s="387">
        <v>1066030</v>
      </c>
      <c r="J25" s="377" t="s">
        <v>57</v>
      </c>
      <c r="K25" s="377">
        <v>3</v>
      </c>
      <c r="L25" s="388">
        <v>297330</v>
      </c>
      <c r="M25" s="388">
        <v>1073180</v>
      </c>
      <c r="O25" s="247"/>
      <c r="P25" s="247"/>
      <c r="R25" s="62" t="s">
        <v>69</v>
      </c>
      <c r="S25" s="383">
        <v>4</v>
      </c>
      <c r="T25" s="394">
        <v>396.56347046372002</v>
      </c>
      <c r="U25" s="212">
        <v>1.82525317851647E-2</v>
      </c>
      <c r="V25" s="385">
        <v>2.1064520694323501</v>
      </c>
      <c r="W25" s="212">
        <v>2.7933094330019999</v>
      </c>
      <c r="X25" s="396">
        <v>1.2075408404378801E-2</v>
      </c>
      <c r="Y25" s="386">
        <v>2.1614953340016498</v>
      </c>
    </row>
    <row r="26" spans="1:25" ht="13">
      <c r="A26" s="376" t="s">
        <v>56</v>
      </c>
      <c r="B26" s="376">
        <v>2</v>
      </c>
      <c r="C26" s="387">
        <v>198006</v>
      </c>
      <c r="D26" s="387">
        <v>838110</v>
      </c>
      <c r="J26" s="377" t="s">
        <v>56</v>
      </c>
      <c r="K26" s="377">
        <v>2</v>
      </c>
      <c r="L26" s="388">
        <v>198979</v>
      </c>
      <c r="M26" s="388">
        <v>849340</v>
      </c>
      <c r="O26" s="247"/>
      <c r="P26" s="247"/>
      <c r="R26" s="62" t="s">
        <v>70</v>
      </c>
      <c r="S26" s="383">
        <v>5</v>
      </c>
      <c r="T26" s="394">
        <v>494.51438262249599</v>
      </c>
      <c r="U26" s="212">
        <v>2.2373049606594801E-2</v>
      </c>
      <c r="V26" s="385">
        <v>2.1154354241540498</v>
      </c>
      <c r="W26" s="212">
        <v>3.1765213054872001</v>
      </c>
      <c r="X26" s="396">
        <v>1.37320137615345E-2</v>
      </c>
      <c r="Y26" s="386">
        <v>2.16149703636966</v>
      </c>
    </row>
    <row r="27" spans="1:25" ht="13">
      <c r="A27" s="376" t="s">
        <v>55</v>
      </c>
      <c r="B27" s="376">
        <v>1</v>
      </c>
      <c r="C27" s="387">
        <v>99381</v>
      </c>
      <c r="D27" s="387">
        <v>569116</v>
      </c>
      <c r="J27" s="377" t="s">
        <v>55</v>
      </c>
      <c r="K27" s="377">
        <v>1</v>
      </c>
      <c r="L27" s="388">
        <v>99390</v>
      </c>
      <c r="M27" s="388">
        <v>569920</v>
      </c>
      <c r="O27" s="247"/>
      <c r="P27" s="247"/>
      <c r="R27" s="62" t="s">
        <v>71</v>
      </c>
      <c r="S27" s="383">
        <v>6</v>
      </c>
      <c r="T27" s="394">
        <v>594.14458472669105</v>
      </c>
      <c r="U27" s="395">
        <v>0.12517757023635101</v>
      </c>
      <c r="V27" s="385">
        <v>2.1431976058264</v>
      </c>
      <c r="W27" s="212">
        <v>3.5335416830472002</v>
      </c>
      <c r="X27" s="396">
        <v>1.5275653934598499E-2</v>
      </c>
      <c r="Y27" s="386">
        <v>2.1614736933941399</v>
      </c>
    </row>
    <row r="28" spans="1:25" ht="13">
      <c r="A28" s="371"/>
      <c r="B28" s="376">
        <v>0</v>
      </c>
      <c r="C28" s="387">
        <v>-1</v>
      </c>
      <c r="D28" s="387">
        <v>-10</v>
      </c>
      <c r="F28" s="151"/>
      <c r="J28" s="373"/>
      <c r="K28" s="377">
        <v>0</v>
      </c>
      <c r="L28" s="373"/>
      <c r="M28" s="373"/>
      <c r="R28" s="62" t="s">
        <v>72</v>
      </c>
      <c r="S28" s="383">
        <v>7</v>
      </c>
      <c r="T28" s="394">
        <v>691.38737462140705</v>
      </c>
      <c r="U28" s="212">
        <v>3.0514135058359201E-2</v>
      </c>
      <c r="V28" s="385">
        <v>2.1338650544071198</v>
      </c>
      <c r="W28" s="212">
        <v>3.8930622033072</v>
      </c>
      <c r="X28" s="396">
        <v>1.6829566170225501E-2</v>
      </c>
      <c r="Y28" s="386">
        <v>2.16150081060252</v>
      </c>
    </row>
    <row r="29" spans="1:25" ht="13">
      <c r="R29" s="62" t="s">
        <v>73</v>
      </c>
      <c r="S29" s="383">
        <v>8</v>
      </c>
      <c r="T29" s="394">
        <v>789.17825914988805</v>
      </c>
      <c r="U29" s="212">
        <v>3.44883117308886E-2</v>
      </c>
      <c r="V29" s="385">
        <v>2.1429920413916701</v>
      </c>
      <c r="W29" s="212">
        <v>4.1957494797108001</v>
      </c>
      <c r="X29" s="396">
        <v>1.8138064605077699E-2</v>
      </c>
      <c r="Y29" s="386">
        <v>2.1615016897139099</v>
      </c>
    </row>
    <row r="30" spans="1:25" ht="13">
      <c r="A30" s="400">
        <v>36749</v>
      </c>
      <c r="B30" t="s">
        <v>1143</v>
      </c>
      <c r="R30" s="62" t="s">
        <v>74</v>
      </c>
      <c r="S30" s="383">
        <v>9</v>
      </c>
      <c r="T30" s="394">
        <v>887.39621741671999</v>
      </c>
      <c r="U30" s="212">
        <v>3.8437383842652099E-2</v>
      </c>
      <c r="V30" s="385">
        <v>2.15266061623081</v>
      </c>
      <c r="W30" s="212">
        <v>4.5130275889115996</v>
      </c>
      <c r="X30" s="396">
        <v>1.9509641616049199E-2</v>
      </c>
      <c r="Y30" s="386">
        <v>2.1615022390830099</v>
      </c>
    </row>
    <row r="31" spans="1:25" ht="13">
      <c r="A31" t="s">
        <v>1443</v>
      </c>
      <c r="R31" t="s">
        <v>75</v>
      </c>
      <c r="S31" s="401">
        <v>10</v>
      </c>
      <c r="T31" s="398">
        <v>984.81803822282995</v>
      </c>
      <c r="U31" s="402">
        <v>4.2525009892841199E-2</v>
      </c>
      <c r="V31" s="392">
        <v>2.1555969699753201</v>
      </c>
      <c r="W31" s="402">
        <v>4.8219112189828799</v>
      </c>
      <c r="X31" s="403">
        <v>2.0844885511304499E-2</v>
      </c>
      <c r="Y31" s="393">
        <v>2.1615057787957799</v>
      </c>
    </row>
    <row r="32" spans="1:25">
      <c r="A32" t="s">
        <v>1444</v>
      </c>
    </row>
    <row r="33" spans="1:7">
      <c r="A33">
        <v>10</v>
      </c>
      <c r="B33">
        <v>984617</v>
      </c>
      <c r="C33">
        <v>4827668</v>
      </c>
      <c r="F33" s="404">
        <v>984617</v>
      </c>
      <c r="G33" s="404">
        <v>4827668</v>
      </c>
    </row>
    <row r="34" spans="1:7">
      <c r="A34">
        <v>9</v>
      </c>
      <c r="B34">
        <v>887225</v>
      </c>
      <c r="C34">
        <v>4520316</v>
      </c>
      <c r="F34" s="404">
        <v>887225</v>
      </c>
      <c r="G34" s="404">
        <v>4520316</v>
      </c>
    </row>
    <row r="35" spans="1:7">
      <c r="A35">
        <v>8</v>
      </c>
      <c r="B35">
        <v>789013</v>
      </c>
      <c r="C35">
        <v>4202536</v>
      </c>
      <c r="F35" s="404">
        <v>789013</v>
      </c>
      <c r="G35" s="404">
        <v>4202536</v>
      </c>
    </row>
    <row r="36" spans="1:7">
      <c r="A36">
        <v>7</v>
      </c>
      <c r="B36">
        <v>691241</v>
      </c>
      <c r="C36">
        <v>3899426</v>
      </c>
      <c r="F36" s="404">
        <v>691241</v>
      </c>
      <c r="G36" s="404">
        <v>3899426</v>
      </c>
    </row>
    <row r="37" spans="1:7">
      <c r="A37">
        <v>6</v>
      </c>
      <c r="B37">
        <v>593428</v>
      </c>
      <c r="C37">
        <v>3543346</v>
      </c>
      <c r="F37" s="404">
        <v>593428</v>
      </c>
      <c r="G37" s="404">
        <v>3543346</v>
      </c>
    </row>
    <row r="38" spans="1:7">
      <c r="A38">
        <v>5</v>
      </c>
      <c r="B38">
        <v>494412</v>
      </c>
      <c r="C38">
        <v>3181644</v>
      </c>
      <c r="F38" s="404">
        <v>494412</v>
      </c>
      <c r="G38" s="404">
        <v>3181644</v>
      </c>
    </row>
    <row r="39" spans="1:7">
      <c r="A39">
        <v>4</v>
      </c>
      <c r="B39">
        <v>396485</v>
      </c>
      <c r="C39">
        <v>2797540</v>
      </c>
      <c r="F39" s="404">
        <v>396485</v>
      </c>
      <c r="G39" s="404">
        <v>2797540</v>
      </c>
    </row>
    <row r="40" spans="1:7">
      <c r="A40">
        <v>3</v>
      </c>
      <c r="B40">
        <v>298228</v>
      </c>
      <c r="C40">
        <v>2208660</v>
      </c>
      <c r="F40" s="404">
        <v>298228</v>
      </c>
      <c r="G40" s="404">
        <v>2208660</v>
      </c>
    </row>
    <row r="41" spans="1:7">
      <c r="A41">
        <v>2</v>
      </c>
      <c r="B41">
        <v>198994</v>
      </c>
      <c r="C41">
        <v>1740961</v>
      </c>
      <c r="F41" s="404">
        <v>198994</v>
      </c>
      <c r="G41" s="404">
        <v>1740961</v>
      </c>
    </row>
    <row r="42" spans="1:7">
      <c r="A42">
        <v>1</v>
      </c>
      <c r="B42">
        <v>99140</v>
      </c>
      <c r="C42">
        <v>1167446</v>
      </c>
      <c r="F42" s="404">
        <v>99140</v>
      </c>
      <c r="G42" s="404">
        <v>1167446</v>
      </c>
    </row>
    <row r="43" spans="1:7">
      <c r="A43">
        <v>0</v>
      </c>
    </row>
    <row r="44" spans="1:7">
      <c r="A44" t="s">
        <v>1445</v>
      </c>
    </row>
    <row r="45" spans="1:7">
      <c r="A45" t="s">
        <v>1446</v>
      </c>
    </row>
    <row r="46" spans="1:7">
      <c r="A46">
        <v>10</v>
      </c>
      <c r="B46">
        <v>980273</v>
      </c>
      <c r="C46">
        <v>2221419</v>
      </c>
      <c r="F46" s="404">
        <v>980273</v>
      </c>
      <c r="G46" s="404">
        <v>2221419</v>
      </c>
    </row>
    <row r="47" spans="1:7">
      <c r="A47">
        <v>9</v>
      </c>
      <c r="B47">
        <v>883227</v>
      </c>
      <c r="C47">
        <v>2073654</v>
      </c>
      <c r="F47" s="404">
        <v>883227</v>
      </c>
      <c r="G47" s="404">
        <v>2073654</v>
      </c>
    </row>
    <row r="48" spans="1:7">
      <c r="A48">
        <v>8</v>
      </c>
      <c r="B48">
        <v>786313</v>
      </c>
      <c r="C48">
        <v>1928038</v>
      </c>
      <c r="F48" s="404">
        <v>786313</v>
      </c>
      <c r="G48" s="404">
        <v>1928038</v>
      </c>
    </row>
    <row r="49" spans="1:30">
      <c r="A49">
        <v>7</v>
      </c>
      <c r="B49">
        <v>689092</v>
      </c>
      <c r="C49">
        <v>1776493</v>
      </c>
      <c r="F49" s="404">
        <v>689092</v>
      </c>
      <c r="G49" s="404">
        <v>1776493</v>
      </c>
    </row>
    <row r="50" spans="1:30">
      <c r="A50">
        <v>6</v>
      </c>
      <c r="B50">
        <v>591422</v>
      </c>
      <c r="C50">
        <v>1612197</v>
      </c>
      <c r="F50" s="404">
        <v>591422</v>
      </c>
      <c r="G50" s="404">
        <v>1612197</v>
      </c>
    </row>
    <row r="51" spans="1:30">
      <c r="A51">
        <v>5</v>
      </c>
      <c r="B51">
        <v>493192</v>
      </c>
      <c r="C51">
        <v>1443680</v>
      </c>
      <c r="F51" s="404">
        <v>493192</v>
      </c>
      <c r="G51" s="404">
        <v>1443680</v>
      </c>
    </row>
    <row r="52" spans="1:30">
      <c r="A52">
        <v>4</v>
      </c>
      <c r="B52">
        <v>394829</v>
      </c>
      <c r="C52">
        <v>1266570</v>
      </c>
      <c r="F52" s="404">
        <v>394829</v>
      </c>
      <c r="G52" s="404">
        <v>1266570</v>
      </c>
    </row>
    <row r="53" spans="1:30">
      <c r="A53">
        <v>3</v>
      </c>
      <c r="B53">
        <v>297330</v>
      </c>
      <c r="C53">
        <v>1073180</v>
      </c>
      <c r="F53" s="404">
        <v>297330</v>
      </c>
      <c r="G53" s="404">
        <v>1073180</v>
      </c>
    </row>
    <row r="54" spans="1:30">
      <c r="A54">
        <v>2</v>
      </c>
      <c r="B54">
        <v>198979</v>
      </c>
      <c r="C54">
        <v>849340</v>
      </c>
      <c r="F54" s="404">
        <v>198979</v>
      </c>
      <c r="G54" s="404">
        <v>849340</v>
      </c>
    </row>
    <row r="55" spans="1:30">
      <c r="A55">
        <v>1</v>
      </c>
      <c r="B55">
        <v>99390</v>
      </c>
      <c r="C55">
        <v>569920</v>
      </c>
      <c r="F55" s="404">
        <v>99390</v>
      </c>
      <c r="G55" s="404">
        <v>569920</v>
      </c>
    </row>
    <row r="56" spans="1:30">
      <c r="A56">
        <v>0</v>
      </c>
    </row>
    <row r="57" spans="1:30">
      <c r="A57" s="400">
        <v>34971</v>
      </c>
      <c r="I57" s="405">
        <v>34971</v>
      </c>
      <c r="Q57" s="400">
        <v>38406</v>
      </c>
    </row>
    <row r="58" spans="1:30" ht="15.5">
      <c r="A58" s="151" t="s">
        <v>1443</v>
      </c>
      <c r="I58" s="406" t="s">
        <v>108</v>
      </c>
      <c r="J58" s="407" t="s">
        <v>1159</v>
      </c>
      <c r="K58" s="407" t="s">
        <v>1447</v>
      </c>
      <c r="L58" s="407" t="s">
        <v>1163</v>
      </c>
      <c r="M58" s="408" t="s">
        <v>1162</v>
      </c>
      <c r="N58" s="408" t="s">
        <v>1447</v>
      </c>
      <c r="O58" s="409" t="s">
        <v>1163</v>
      </c>
      <c r="Q58" s="151" t="s">
        <v>1443</v>
      </c>
      <c r="U58" t="s">
        <v>1448</v>
      </c>
      <c r="V58" t="s">
        <v>1449</v>
      </c>
    </row>
    <row r="59" spans="1:30" ht="15.5">
      <c r="A59" s="151" t="s">
        <v>1444</v>
      </c>
      <c r="I59" s="410"/>
      <c r="J59" s="411" t="s">
        <v>1168</v>
      </c>
      <c r="K59" s="412" t="s">
        <v>1168</v>
      </c>
      <c r="L59" s="413" t="s">
        <v>1450</v>
      </c>
      <c r="M59" s="414" t="s">
        <v>1169</v>
      </c>
      <c r="N59" s="414" t="s">
        <v>1169</v>
      </c>
      <c r="O59" s="415" t="s">
        <v>1450</v>
      </c>
      <c r="Q59" s="151" t="s">
        <v>1444</v>
      </c>
      <c r="V59" t="s">
        <v>1451</v>
      </c>
    </row>
    <row r="60" spans="1:30" ht="15.5">
      <c r="A60" s="151">
        <v>10</v>
      </c>
      <c r="B60" s="416">
        <v>984610</v>
      </c>
      <c r="C60" s="416">
        <v>4837350</v>
      </c>
      <c r="I60" s="417">
        <v>1</v>
      </c>
      <c r="J60" s="418">
        <v>994.03001307</v>
      </c>
      <c r="K60" s="419">
        <v>5.4571777918739302E-2</v>
      </c>
      <c r="L60" s="419">
        <v>2.15235659569991</v>
      </c>
      <c r="M60" s="420">
        <v>5.7182273086500004</v>
      </c>
      <c r="N60" s="420">
        <v>2.4720618609479099E-2</v>
      </c>
      <c r="O60" s="421">
        <v>2.1615327311069099</v>
      </c>
      <c r="Q60" s="151">
        <v>10</v>
      </c>
      <c r="R60">
        <v>984646</v>
      </c>
      <c r="S60">
        <v>4821626</v>
      </c>
      <c r="U60" s="236">
        <f t="shared" ref="U60:U69" si="0">(C5-R60)/($B$2-$Q$57)*90/C5*100</f>
        <v>0</v>
      </c>
      <c r="V60" s="236">
        <f t="shared" ref="V60:V69" si="1">(D5-S60)/($B$2-$Q$57)*90/D5*100</f>
        <v>0</v>
      </c>
      <c r="Y60" s="247"/>
      <c r="Z60" s="247"/>
      <c r="AC60" s="247"/>
      <c r="AD60" s="247"/>
    </row>
    <row r="61" spans="1:30" ht="15.5">
      <c r="A61" s="151">
        <v>9</v>
      </c>
      <c r="B61" s="416">
        <v>887218</v>
      </c>
      <c r="C61" s="416">
        <v>4529080</v>
      </c>
      <c r="I61" s="410">
        <v>2</v>
      </c>
      <c r="J61" s="422">
        <v>1980.3587864399999</v>
      </c>
      <c r="K61" s="419">
        <v>0.103661066152479</v>
      </c>
      <c r="L61" s="419">
        <v>2.2108065863145399</v>
      </c>
      <c r="M61" s="420">
        <v>8.4219489706499999</v>
      </c>
      <c r="N61" s="420">
        <v>3.6409148712398101E-2</v>
      </c>
      <c r="O61" s="421">
        <v>2.1615327311069099</v>
      </c>
      <c r="Q61" s="151">
        <v>9</v>
      </c>
      <c r="R61">
        <v>887241</v>
      </c>
      <c r="S61">
        <v>4512760</v>
      </c>
      <c r="U61" s="236">
        <f t="shared" si="0"/>
        <v>0</v>
      </c>
      <c r="V61" s="236">
        <f t="shared" si="1"/>
        <v>0</v>
      </c>
      <c r="Y61" s="247"/>
      <c r="Z61" s="247"/>
      <c r="AC61" s="247"/>
      <c r="AD61" s="247"/>
    </row>
    <row r="62" spans="1:30" ht="15.5">
      <c r="A62" s="151">
        <v>8</v>
      </c>
      <c r="B62" s="416">
        <v>789017</v>
      </c>
      <c r="C62" s="416">
        <v>4210450</v>
      </c>
      <c r="I62" s="410">
        <v>3</v>
      </c>
      <c r="J62" s="422">
        <v>2968.99793172</v>
      </c>
      <c r="K62" s="419">
        <v>0.154070630829652</v>
      </c>
      <c r="L62" s="419">
        <v>2.2297654987586899</v>
      </c>
      <c r="M62" s="420">
        <v>10.712052020650001</v>
      </c>
      <c r="N62" s="420">
        <v>4.6309553334266902E-2</v>
      </c>
      <c r="O62" s="421">
        <v>2.1615327311069099</v>
      </c>
      <c r="Q62" s="151">
        <v>8</v>
      </c>
      <c r="R62">
        <v>789040</v>
      </c>
      <c r="S62">
        <v>4195500</v>
      </c>
      <c r="U62" s="236">
        <f t="shared" si="0"/>
        <v>0</v>
      </c>
      <c r="V62" s="236">
        <f t="shared" si="1"/>
        <v>0</v>
      </c>
      <c r="Y62" s="247"/>
      <c r="Z62" s="247"/>
      <c r="AC62" s="247"/>
      <c r="AD62" s="247"/>
    </row>
    <row r="63" spans="1:30" ht="15.5">
      <c r="A63" s="151">
        <v>7</v>
      </c>
      <c r="B63" s="416">
        <v>691242</v>
      </c>
      <c r="C63" s="416">
        <v>3906360</v>
      </c>
      <c r="I63" s="410">
        <v>4</v>
      </c>
      <c r="J63" s="422">
        <v>3948.4355958000001</v>
      </c>
      <c r="K63" s="419">
        <v>0.204233789864495</v>
      </c>
      <c r="L63" s="419">
        <v>2.2381480969475702</v>
      </c>
      <c r="M63" s="419">
        <v>12.70634175965</v>
      </c>
      <c r="N63" s="419">
        <v>5.49311196648044E-2</v>
      </c>
      <c r="O63" s="421">
        <v>2.1615327311069099</v>
      </c>
      <c r="Q63" s="151">
        <v>7</v>
      </c>
      <c r="R63">
        <v>691266</v>
      </c>
      <c r="S63">
        <v>3892830</v>
      </c>
      <c r="U63" s="236">
        <f t="shared" si="0"/>
        <v>0</v>
      </c>
      <c r="V63" s="236">
        <f t="shared" si="1"/>
        <v>0</v>
      </c>
      <c r="Y63" s="247"/>
      <c r="Z63" s="247"/>
      <c r="AC63" s="247"/>
      <c r="AD63" s="247"/>
    </row>
    <row r="64" spans="1:30" ht="15.5">
      <c r="A64" s="151">
        <v>6</v>
      </c>
      <c r="B64" s="416">
        <v>593424</v>
      </c>
      <c r="C64" s="416">
        <v>3549500</v>
      </c>
      <c r="I64" s="410">
        <v>5</v>
      </c>
      <c r="J64" s="422">
        <v>4931.9739199799997</v>
      </c>
      <c r="K64" s="419">
        <v>0.25468228969874401</v>
      </c>
      <c r="L64" s="419">
        <v>2.2427976181251599</v>
      </c>
      <c r="M64" s="419">
        <v>14.48182165265</v>
      </c>
      <c r="N64" s="419">
        <v>6.2606743405269796E-2</v>
      </c>
      <c r="O64" s="421">
        <v>2.1615327311069099</v>
      </c>
      <c r="Q64" s="151">
        <v>6</v>
      </c>
      <c r="R64">
        <v>594040</v>
      </c>
      <c r="S64">
        <v>3533330</v>
      </c>
      <c r="U64" s="236">
        <f t="shared" si="0"/>
        <v>1.1602081465653795</v>
      </c>
      <c r="V64" s="236">
        <f t="shared" si="1"/>
        <v>-3.1800450760382981</v>
      </c>
      <c r="Y64" s="247"/>
      <c r="Z64" s="247"/>
      <c r="AC64" s="247"/>
      <c r="AD64" s="247"/>
    </row>
    <row r="65" spans="1:30" ht="15.5">
      <c r="A65" s="151">
        <v>5</v>
      </c>
      <c r="B65" s="416">
        <v>494410</v>
      </c>
      <c r="C65" s="416">
        <v>3186950</v>
      </c>
      <c r="I65" s="410">
        <v>6</v>
      </c>
      <c r="J65" s="422">
        <v>5914.2020332499997</v>
      </c>
      <c r="K65" s="419">
        <v>0.30510597042793802</v>
      </c>
      <c r="L65" s="419">
        <v>2.2456263501076501</v>
      </c>
      <c r="M65" s="419">
        <v>16.174397815150002</v>
      </c>
      <c r="N65" s="419">
        <v>6.9923963851782095E-2</v>
      </c>
      <c r="O65" s="421">
        <v>2.1615327311069099</v>
      </c>
      <c r="Q65" s="151">
        <v>5</v>
      </c>
      <c r="R65">
        <v>494427</v>
      </c>
      <c r="S65">
        <v>3176330</v>
      </c>
      <c r="U65" s="236">
        <f t="shared" si="0"/>
        <v>0</v>
      </c>
      <c r="V65" s="236">
        <f t="shared" si="1"/>
        <v>0</v>
      </c>
      <c r="Y65" s="247"/>
      <c r="Z65" s="247"/>
      <c r="AC65" s="247"/>
      <c r="AD65" s="247"/>
    </row>
    <row r="66" spans="1:30" ht="15.5">
      <c r="A66" s="151">
        <v>4</v>
      </c>
      <c r="B66" s="416">
        <v>396487</v>
      </c>
      <c r="C66" s="416">
        <v>2802060</v>
      </c>
      <c r="I66" s="410">
        <v>7</v>
      </c>
      <c r="J66" s="422">
        <v>6890.9692674600001</v>
      </c>
      <c r="K66" s="419">
        <v>0.35527449141811002</v>
      </c>
      <c r="L66" s="419">
        <v>2.2474804836432698</v>
      </c>
      <c r="M66" s="419">
        <v>17.82237197065</v>
      </c>
      <c r="N66" s="419">
        <v>7.7048364190811597E-2</v>
      </c>
      <c r="O66" s="421">
        <v>2.1615327311069099</v>
      </c>
      <c r="Q66" s="151">
        <v>4</v>
      </c>
      <c r="R66">
        <v>396493</v>
      </c>
      <c r="S66">
        <v>2793140</v>
      </c>
      <c r="U66" s="236">
        <f t="shared" si="0"/>
        <v>0</v>
      </c>
      <c r="V66" s="236">
        <f t="shared" si="1"/>
        <v>0</v>
      </c>
      <c r="Y66" s="247"/>
      <c r="Z66" s="247"/>
      <c r="AC66" s="247"/>
      <c r="AD66" s="247"/>
    </row>
    <row r="67" spans="1:30" ht="15.5">
      <c r="A67" s="151">
        <v>3</v>
      </c>
      <c r="B67" s="416">
        <v>298244</v>
      </c>
      <c r="C67" s="416">
        <v>2214550</v>
      </c>
      <c r="I67" s="410">
        <v>8</v>
      </c>
      <c r="J67" s="422">
        <v>7863.1257594600002</v>
      </c>
      <c r="K67" s="419">
        <v>0.40521193920860998</v>
      </c>
      <c r="L67" s="419">
        <v>2.2488498968863802</v>
      </c>
      <c r="M67" s="419">
        <v>19.342140357150001</v>
      </c>
      <c r="N67" s="419">
        <v>8.3618514803848298E-2</v>
      </c>
      <c r="O67" s="421">
        <v>2.1615327311069099</v>
      </c>
      <c r="Q67" s="151">
        <v>3</v>
      </c>
      <c r="R67">
        <v>298240</v>
      </c>
      <c r="S67">
        <v>2207660</v>
      </c>
      <c r="U67" s="236">
        <f t="shared" si="0"/>
        <v>0</v>
      </c>
      <c r="V67" s="236">
        <f t="shared" si="1"/>
        <v>0</v>
      </c>
      <c r="Y67" s="247"/>
      <c r="Z67" s="247"/>
      <c r="AC67" s="247"/>
      <c r="AD67" s="247"/>
    </row>
    <row r="68" spans="1:30" ht="15.5">
      <c r="A68" s="151">
        <v>2</v>
      </c>
      <c r="B68" s="416">
        <v>198994</v>
      </c>
      <c r="C68" s="416">
        <v>1745600</v>
      </c>
      <c r="I68" s="410">
        <v>9</v>
      </c>
      <c r="J68" s="422">
        <v>8832.1617491399993</v>
      </c>
      <c r="K68" s="419">
        <v>0.45499665544648199</v>
      </c>
      <c r="L68" s="419">
        <v>2.2498773480475598</v>
      </c>
      <c r="M68" s="419">
        <v>20.801806039150001</v>
      </c>
      <c r="N68" s="419">
        <v>8.9928833837070801E-2</v>
      </c>
      <c r="O68" s="421">
        <v>2.1615327311069099</v>
      </c>
      <c r="Q68" s="151">
        <v>2</v>
      </c>
      <c r="R68">
        <v>198990</v>
      </c>
      <c r="S68">
        <v>1740140</v>
      </c>
      <c r="U68" s="236">
        <f t="shared" si="0"/>
        <v>0</v>
      </c>
      <c r="V68" s="236">
        <f t="shared" si="1"/>
        <v>0</v>
      </c>
      <c r="Y68" s="247"/>
      <c r="Z68" s="247"/>
      <c r="AC68" s="247"/>
      <c r="AD68" s="247"/>
    </row>
    <row r="69" spans="1:30" ht="15.5">
      <c r="A69" s="151">
        <v>1</v>
      </c>
      <c r="B69" s="416">
        <v>99144</v>
      </c>
      <c r="C69" s="416">
        <v>1170560</v>
      </c>
      <c r="I69" s="423">
        <v>10</v>
      </c>
      <c r="J69" s="424">
        <v>9802.5679593900004</v>
      </c>
      <c r="K69" s="425">
        <v>0.50486320341276103</v>
      </c>
      <c r="L69" s="426">
        <v>2.2506402239202501</v>
      </c>
      <c r="M69" s="426">
        <v>22.283172697649999</v>
      </c>
      <c r="N69" s="426">
        <v>9.6332968931557406E-2</v>
      </c>
      <c r="O69" s="427">
        <v>2.1615327311069099</v>
      </c>
      <c r="Q69" s="151">
        <v>1</v>
      </c>
      <c r="R69">
        <v>99142</v>
      </c>
      <c r="S69">
        <v>1167100</v>
      </c>
      <c r="U69" s="236">
        <f t="shared" si="0"/>
        <v>0</v>
      </c>
      <c r="V69" s="236">
        <f t="shared" si="1"/>
        <v>0</v>
      </c>
      <c r="Y69" s="247"/>
      <c r="Z69" s="247"/>
      <c r="AC69" s="247"/>
      <c r="AD69" s="247"/>
    </row>
    <row r="70" spans="1:30">
      <c r="A70" s="151">
        <v>0</v>
      </c>
      <c r="B70" s="247"/>
      <c r="C70" s="247"/>
      <c r="Q70" s="151">
        <v>0</v>
      </c>
      <c r="Y70" s="247"/>
      <c r="Z70" s="247"/>
    </row>
    <row r="71" spans="1:30">
      <c r="A71" s="151" t="s">
        <v>1445</v>
      </c>
      <c r="B71" s="247"/>
      <c r="C71" s="247"/>
      <c r="R71" s="151" t="s">
        <v>1445</v>
      </c>
      <c r="U71" s="236"/>
      <c r="V71" s="236"/>
      <c r="Y71" s="247"/>
      <c r="Z71" s="247"/>
    </row>
    <row r="72" spans="1:30">
      <c r="A72" s="151" t="s">
        <v>1446</v>
      </c>
      <c r="B72" s="247"/>
      <c r="C72" s="247"/>
      <c r="R72" s="151" t="s">
        <v>1446</v>
      </c>
      <c r="U72" s="236"/>
      <c r="V72" s="236"/>
      <c r="Y72" s="247"/>
      <c r="Z72" s="247"/>
    </row>
    <row r="73" spans="1:30">
      <c r="A73" s="151">
        <v>10</v>
      </c>
      <c r="B73" s="416">
        <v>980098</v>
      </c>
      <c r="C73" s="416">
        <v>2228210</v>
      </c>
      <c r="Q73" s="151">
        <v>10</v>
      </c>
      <c r="R73">
        <v>980229</v>
      </c>
      <c r="S73">
        <v>2219460</v>
      </c>
      <c r="U73" s="236">
        <f t="shared" ref="U73:U82" si="2">(C18-R73)/($B$2-$Q$57)*90/C18*100</f>
        <v>0</v>
      </c>
      <c r="V73" s="236">
        <f t="shared" ref="V73:V82" si="3">(D18-S73)/($B$2-$Q$57)*90/D18*100</f>
        <v>0</v>
      </c>
      <c r="Y73" s="247"/>
      <c r="Z73" s="247"/>
      <c r="AC73" s="247"/>
      <c r="AD73" s="247"/>
    </row>
    <row r="74" spans="1:30">
      <c r="A74" s="151">
        <v>9</v>
      </c>
      <c r="B74" s="416">
        <v>883073</v>
      </c>
      <c r="C74" s="416">
        <v>2080080</v>
      </c>
      <c r="Q74" s="151">
        <v>9</v>
      </c>
      <c r="R74">
        <v>883184</v>
      </c>
      <c r="S74">
        <v>2071200</v>
      </c>
      <c r="U74" s="236">
        <f t="shared" si="2"/>
        <v>0</v>
      </c>
      <c r="V74" s="236">
        <f t="shared" si="3"/>
        <v>0</v>
      </c>
      <c r="Y74" s="247"/>
      <c r="Z74" s="247"/>
      <c r="AC74" s="247"/>
      <c r="AD74" s="247"/>
    </row>
    <row r="75" spans="1:30" ht="15.5">
      <c r="A75" s="151">
        <v>8</v>
      </c>
      <c r="B75" s="416">
        <v>786185</v>
      </c>
      <c r="C75" s="416">
        <v>1934120</v>
      </c>
      <c r="I75" s="406" t="s">
        <v>108</v>
      </c>
      <c r="J75" s="407" t="s">
        <v>1159</v>
      </c>
      <c r="K75" s="407" t="s">
        <v>1447</v>
      </c>
      <c r="L75" s="407" t="s">
        <v>1163</v>
      </c>
      <c r="M75" s="408" t="s">
        <v>1162</v>
      </c>
      <c r="N75" s="408" t="s">
        <v>1447</v>
      </c>
      <c r="O75" s="409" t="s">
        <v>1163</v>
      </c>
      <c r="Q75" s="151">
        <v>8</v>
      </c>
      <c r="R75">
        <v>786268</v>
      </c>
      <c r="S75">
        <v>1925567</v>
      </c>
      <c r="U75" s="236">
        <f t="shared" si="2"/>
        <v>0</v>
      </c>
      <c r="V75" s="236">
        <f t="shared" si="3"/>
        <v>0</v>
      </c>
      <c r="Y75" s="247"/>
      <c r="Z75" s="247"/>
      <c r="AC75" s="247"/>
      <c r="AD75" s="247"/>
    </row>
    <row r="76" spans="1:30" ht="15.5">
      <c r="A76" s="151">
        <v>7</v>
      </c>
      <c r="B76" s="416">
        <v>688985</v>
      </c>
      <c r="C76" s="416">
        <v>1782150</v>
      </c>
      <c r="I76" s="410"/>
      <c r="J76" s="411" t="s">
        <v>1168</v>
      </c>
      <c r="K76" s="412" t="s">
        <v>1168</v>
      </c>
      <c r="L76" s="413" t="s">
        <v>1450</v>
      </c>
      <c r="M76" s="414" t="s">
        <v>1169</v>
      </c>
      <c r="N76" s="414" t="s">
        <v>1169</v>
      </c>
      <c r="O76" s="415" t="s">
        <v>1450</v>
      </c>
      <c r="Q76" s="151">
        <v>7</v>
      </c>
      <c r="R76">
        <v>689049</v>
      </c>
      <c r="S76">
        <v>1774060</v>
      </c>
      <c r="U76" s="236">
        <f t="shared" si="2"/>
        <v>0</v>
      </c>
      <c r="V76" s="236">
        <f t="shared" si="3"/>
        <v>0</v>
      </c>
      <c r="Y76" s="247"/>
      <c r="Z76" s="247"/>
      <c r="AC76" s="247"/>
      <c r="AD76" s="247"/>
    </row>
    <row r="77" spans="1:30" ht="15.5">
      <c r="A77" s="151">
        <v>6</v>
      </c>
      <c r="B77" s="416">
        <v>591324</v>
      </c>
      <c r="C77" s="416">
        <v>1617360</v>
      </c>
      <c r="I77" s="417">
        <v>1</v>
      </c>
      <c r="J77" s="428">
        <v>99.161962505999995</v>
      </c>
      <c r="K77" s="420">
        <v>5.72788266205463E-3</v>
      </c>
      <c r="L77" s="419">
        <v>2.0996200740162898</v>
      </c>
      <c r="M77" s="420">
        <v>1.17062267565</v>
      </c>
      <c r="N77" s="420">
        <v>5.0607496236772798E-3</v>
      </c>
      <c r="O77" s="421">
        <v>2.1615327311069099</v>
      </c>
      <c r="Q77" s="151">
        <v>6</v>
      </c>
      <c r="R77">
        <v>591383</v>
      </c>
      <c r="S77">
        <v>1609810</v>
      </c>
      <c r="U77" s="236">
        <f t="shared" si="2"/>
        <v>0</v>
      </c>
      <c r="V77" s="236">
        <f t="shared" si="3"/>
        <v>0</v>
      </c>
      <c r="Y77" s="247"/>
      <c r="Z77" s="247"/>
      <c r="AC77" s="247"/>
      <c r="AD77" s="247"/>
    </row>
    <row r="78" spans="1:30" ht="15.5">
      <c r="A78" s="151">
        <v>5</v>
      </c>
      <c r="B78" s="416">
        <v>493117</v>
      </c>
      <c r="C78" s="416">
        <v>1448110</v>
      </c>
      <c r="I78" s="410">
        <v>2</v>
      </c>
      <c r="J78" s="429">
        <v>199.028038356</v>
      </c>
      <c r="K78" s="420">
        <v>1.07085520170825E-2</v>
      </c>
      <c r="L78" s="419">
        <v>2.1618213162850299</v>
      </c>
      <c r="M78" s="420">
        <v>1.7456885524500001</v>
      </c>
      <c r="N78" s="420">
        <v>7.5468320139652498E-3</v>
      </c>
      <c r="O78" s="421">
        <v>2.1615327311069099</v>
      </c>
      <c r="Q78" s="151">
        <v>5</v>
      </c>
      <c r="R78">
        <v>493158</v>
      </c>
      <c r="S78">
        <v>1441300</v>
      </c>
      <c r="U78" s="236">
        <f t="shared" si="2"/>
        <v>0</v>
      </c>
      <c r="V78" s="236">
        <f t="shared" si="3"/>
        <v>0</v>
      </c>
      <c r="Y78" s="247"/>
      <c r="Z78" s="247"/>
      <c r="AC78" s="247"/>
      <c r="AD78" s="247"/>
    </row>
    <row r="79" spans="1:30" ht="15.5">
      <c r="A79" s="151">
        <v>4</v>
      </c>
      <c r="B79" s="416">
        <v>394779</v>
      </c>
      <c r="C79" s="416">
        <v>1270570</v>
      </c>
      <c r="I79" s="410">
        <v>3</v>
      </c>
      <c r="J79" s="429">
        <v>298.29401760600001</v>
      </c>
      <c r="K79" s="420">
        <v>1.5774483799450401E-2</v>
      </c>
      <c r="L79" s="419">
        <v>2.1887867535812999</v>
      </c>
      <c r="M79" s="420">
        <v>2.2146596552000002</v>
      </c>
      <c r="N79" s="420">
        <v>9.5742533010505608E-3</v>
      </c>
      <c r="O79" s="421">
        <v>2.1615327311069099</v>
      </c>
      <c r="Q79" s="151">
        <v>4</v>
      </c>
      <c r="R79">
        <v>394802</v>
      </c>
      <c r="S79">
        <v>1264540</v>
      </c>
      <c r="U79" s="236">
        <f t="shared" si="2"/>
        <v>0</v>
      </c>
      <c r="V79" s="236">
        <f t="shared" si="3"/>
        <v>0</v>
      </c>
      <c r="Y79" s="247"/>
      <c r="Z79" s="247"/>
      <c r="AC79" s="247"/>
      <c r="AD79" s="247"/>
    </row>
    <row r="80" spans="1:30" ht="15.5">
      <c r="A80" s="151">
        <v>3</v>
      </c>
      <c r="B80" s="416">
        <v>296852</v>
      </c>
      <c r="C80" s="416">
        <v>1071150</v>
      </c>
      <c r="I80" s="410">
        <v>4</v>
      </c>
      <c r="J80" s="429">
        <v>396.55283472899998</v>
      </c>
      <c r="K80" s="420">
        <v>2.08721497287555E-2</v>
      </c>
      <c r="L80" s="419">
        <v>2.1975047179327101</v>
      </c>
      <c r="M80" s="420">
        <v>2.8021960931500001</v>
      </c>
      <c r="N80" s="420">
        <v>1.21142475016594E-2</v>
      </c>
      <c r="O80" s="421">
        <v>2.1615327311069099</v>
      </c>
      <c r="Q80" s="151">
        <v>3</v>
      </c>
      <c r="R80">
        <v>296830</v>
      </c>
      <c r="S80">
        <v>1066030</v>
      </c>
      <c r="U80" s="236">
        <f t="shared" si="2"/>
        <v>0</v>
      </c>
      <c r="V80" s="236">
        <f t="shared" si="3"/>
        <v>0</v>
      </c>
      <c r="Y80" s="247"/>
      <c r="Z80" s="247"/>
      <c r="AC80" s="247"/>
      <c r="AD80" s="247"/>
    </row>
    <row r="81" spans="1:30" ht="15.5">
      <c r="A81" s="151">
        <v>2</v>
      </c>
      <c r="B81" s="416">
        <v>198003</v>
      </c>
      <c r="C81" s="416">
        <v>842150</v>
      </c>
      <c r="I81" s="410">
        <v>5</v>
      </c>
      <c r="J81" s="429">
        <v>494.49160033200002</v>
      </c>
      <c r="K81" s="420">
        <v>2.59009633251116E-2</v>
      </c>
      <c r="L81" s="419">
        <v>2.20743070345083</v>
      </c>
      <c r="M81" s="420">
        <v>3.1871034132</v>
      </c>
      <c r="N81" s="420">
        <v>1.37782504426686E-2</v>
      </c>
      <c r="O81" s="421">
        <v>2.1615327311069099</v>
      </c>
      <c r="Q81" s="151">
        <v>2</v>
      </c>
      <c r="R81">
        <v>198006</v>
      </c>
      <c r="S81">
        <v>838110</v>
      </c>
      <c r="U81" s="236">
        <f t="shared" si="2"/>
        <v>0</v>
      </c>
      <c r="V81" s="236">
        <f t="shared" si="3"/>
        <v>0</v>
      </c>
      <c r="Y81" s="247"/>
      <c r="Z81" s="247"/>
      <c r="AC81" s="247"/>
      <c r="AD81" s="247"/>
    </row>
    <row r="82" spans="1:30" ht="15.5">
      <c r="A82" s="151">
        <v>1</v>
      </c>
      <c r="B82" s="416">
        <v>99384</v>
      </c>
      <c r="C82" s="416">
        <v>571790</v>
      </c>
      <c r="I82" s="410">
        <v>6</v>
      </c>
      <c r="J82" s="429">
        <v>593.52154158600001</v>
      </c>
      <c r="K82" s="420">
        <v>3.0990853143765401E-2</v>
      </c>
      <c r="L82" s="419">
        <v>2.2143257298374799</v>
      </c>
      <c r="M82" s="420">
        <v>3.54966972795</v>
      </c>
      <c r="N82" s="420">
        <v>1.53456703971046E-2</v>
      </c>
      <c r="O82" s="421">
        <v>2.1615327311069099</v>
      </c>
      <c r="Q82" s="151">
        <v>1</v>
      </c>
      <c r="R82">
        <v>99381</v>
      </c>
      <c r="S82">
        <v>569116</v>
      </c>
      <c r="U82" s="236">
        <f t="shared" si="2"/>
        <v>0</v>
      </c>
      <c r="V82" s="236">
        <f t="shared" si="3"/>
        <v>0</v>
      </c>
      <c r="Y82" s="247"/>
      <c r="Z82" s="247"/>
      <c r="AC82" s="247"/>
      <c r="AD82" s="247"/>
    </row>
    <row r="83" spans="1:30" ht="15.5">
      <c r="A83" s="151">
        <v>0</v>
      </c>
      <c r="I83" s="410">
        <v>7</v>
      </c>
      <c r="J83" s="429">
        <v>691.35529028400003</v>
      </c>
      <c r="K83" s="420">
        <v>3.6026377145224601E-2</v>
      </c>
      <c r="L83" s="419">
        <v>2.2190060524542199</v>
      </c>
      <c r="M83" s="420">
        <v>3.9065457866500002</v>
      </c>
      <c r="N83" s="420">
        <v>1.6888490656213801E-2</v>
      </c>
      <c r="O83" s="421">
        <v>2.1615327311069099</v>
      </c>
      <c r="Q83" s="151">
        <v>0</v>
      </c>
    </row>
    <row r="84" spans="1:30" ht="15.5">
      <c r="I84" s="410">
        <v>8</v>
      </c>
      <c r="J84" s="429">
        <v>789.14603205900005</v>
      </c>
      <c r="K84" s="420">
        <v>4.1051582488194599E-2</v>
      </c>
      <c r="L84" s="419">
        <v>2.2231444384949701</v>
      </c>
      <c r="M84" s="420">
        <v>4.2106494707</v>
      </c>
      <c r="N84" s="420">
        <v>1.82031692769405E-2</v>
      </c>
      <c r="O84" s="421">
        <v>2.1615327311069099</v>
      </c>
    </row>
    <row r="85" spans="1:30" ht="15.5">
      <c r="A85" s="75">
        <v>33388</v>
      </c>
      <c r="I85" s="410">
        <v>9</v>
      </c>
      <c r="J85" s="430">
        <v>887.36284241999999</v>
      </c>
      <c r="K85" s="419">
        <v>4.6106047718343E-2</v>
      </c>
      <c r="L85" s="419">
        <v>2.22609166619208</v>
      </c>
      <c r="M85" s="420">
        <v>4.5292938090500003</v>
      </c>
      <c r="N85" s="420">
        <v>1.9580708982034799E-2</v>
      </c>
      <c r="O85" s="421">
        <v>2.1615327311069099</v>
      </c>
      <c r="R85" s="75">
        <v>36749</v>
      </c>
    </row>
    <row r="86" spans="1:30" ht="15.5">
      <c r="A86" s="151" t="s">
        <v>1443</v>
      </c>
      <c r="I86" s="423">
        <v>10</v>
      </c>
      <c r="J86" s="424">
        <v>984.77052253199997</v>
      </c>
      <c r="K86" s="426">
        <v>5.1119815729893998E-2</v>
      </c>
      <c r="L86" s="426">
        <v>2.2284438999154199</v>
      </c>
      <c r="M86" s="431">
        <v>4.8375776812</v>
      </c>
      <c r="N86" s="431">
        <v>2.0913459083687001E-2</v>
      </c>
      <c r="O86" s="427">
        <v>2.1615327311069099</v>
      </c>
    </row>
    <row r="87" spans="1:30" ht="15.5">
      <c r="A87" s="151" t="s">
        <v>1444</v>
      </c>
      <c r="B87" s="151" t="s">
        <v>105</v>
      </c>
      <c r="C87" s="151" t="s">
        <v>101</v>
      </c>
      <c r="R87" s="406" t="s">
        <v>108</v>
      </c>
      <c r="S87" s="407" t="s">
        <v>1159</v>
      </c>
      <c r="T87" s="407" t="s">
        <v>1447</v>
      </c>
      <c r="U87" s="407" t="s">
        <v>1163</v>
      </c>
      <c r="V87" s="408" t="s">
        <v>1162</v>
      </c>
      <c r="W87" s="408" t="s">
        <v>1447</v>
      </c>
      <c r="X87" s="409" t="s">
        <v>1163</v>
      </c>
    </row>
    <row r="88" spans="1:30" ht="15.5">
      <c r="A88" s="151">
        <v>10</v>
      </c>
      <c r="B88" s="151">
        <v>1004838</v>
      </c>
      <c r="C88" s="151">
        <v>4788256</v>
      </c>
      <c r="R88" s="410"/>
      <c r="S88" s="411" t="s">
        <v>1168</v>
      </c>
      <c r="T88" s="412" t="s">
        <v>1168</v>
      </c>
      <c r="U88" s="413" t="s">
        <v>1450</v>
      </c>
      <c r="V88" s="414" t="s">
        <v>1169</v>
      </c>
      <c r="W88" s="414" t="s">
        <v>1169</v>
      </c>
      <c r="X88" s="415" t="s">
        <v>1450</v>
      </c>
    </row>
    <row r="89" spans="1:30" ht="15.5">
      <c r="A89" s="151">
        <v>9</v>
      </c>
      <c r="B89" s="151">
        <v>904811</v>
      </c>
      <c r="C89" s="151">
        <v>4485090</v>
      </c>
      <c r="R89" s="417">
        <v>1</v>
      </c>
      <c r="S89" s="418">
        <v>994.07001950999995</v>
      </c>
      <c r="T89" s="419">
        <v>5.4568316340096401E-2</v>
      </c>
      <c r="U89" s="419">
        <v>2.1524953351720502</v>
      </c>
      <c r="V89" s="420">
        <v>5.6995264671500001</v>
      </c>
      <c r="W89" s="420">
        <v>2.4639772510601898E-2</v>
      </c>
      <c r="X89" s="421">
        <v>2.1615327311069099</v>
      </c>
    </row>
    <row r="90" spans="1:30" ht="15.5">
      <c r="A90" s="151">
        <v>8</v>
      </c>
      <c r="B90" s="151">
        <v>803682</v>
      </c>
      <c r="C90" s="151">
        <v>4172580</v>
      </c>
      <c r="R90" s="410">
        <v>2</v>
      </c>
      <c r="S90" s="422">
        <v>1990.1203578</v>
      </c>
      <c r="T90" s="419">
        <v>0.104178079174034</v>
      </c>
      <c r="U90" s="419">
        <v>2.2106783922279201</v>
      </c>
      <c r="V90" s="420">
        <v>8.4938522061500006</v>
      </c>
      <c r="W90" s="420">
        <v>3.67199954776E-2</v>
      </c>
      <c r="X90" s="421">
        <v>2.1615327311069099</v>
      </c>
    </row>
    <row r="91" spans="1:30" ht="15.5">
      <c r="A91" s="151">
        <v>7</v>
      </c>
      <c r="B91" s="151">
        <v>703119</v>
      </c>
      <c r="C91" s="151">
        <v>3873825</v>
      </c>
      <c r="R91" s="410">
        <v>3</v>
      </c>
      <c r="S91" s="422">
        <v>2973.7887029100002</v>
      </c>
      <c r="T91" s="419">
        <v>0.15431972084697801</v>
      </c>
      <c r="U91" s="419">
        <v>2.22975739514722</v>
      </c>
      <c r="V91" s="420">
        <v>10.732352934150001</v>
      </c>
      <c r="W91" s="420">
        <v>4.6397316746417103E-2</v>
      </c>
      <c r="X91" s="421">
        <v>2.1615327311069099</v>
      </c>
    </row>
    <row r="92" spans="1:30" ht="15.5">
      <c r="A92" s="151">
        <v>6</v>
      </c>
      <c r="B92" s="151">
        <v>602695</v>
      </c>
      <c r="C92" s="151">
        <v>3522505</v>
      </c>
      <c r="R92" s="410">
        <v>4</v>
      </c>
      <c r="S92" s="422">
        <v>3948.9356763000001</v>
      </c>
      <c r="T92" s="419">
        <v>0.20425389265182101</v>
      </c>
      <c r="U92" s="419">
        <v>2.23822681288256</v>
      </c>
      <c r="V92" s="419">
        <v>12.666339959649999</v>
      </c>
      <c r="W92" s="419">
        <v>5.4758186832981399E-2</v>
      </c>
      <c r="X92" s="421">
        <v>2.1615327311069099</v>
      </c>
    </row>
    <row r="93" spans="1:30" ht="15.5">
      <c r="A93" s="151">
        <v>5</v>
      </c>
      <c r="B93" s="151">
        <v>501222</v>
      </c>
      <c r="C93" s="151">
        <v>3164915</v>
      </c>
      <c r="R93" s="410">
        <v>5</v>
      </c>
      <c r="S93" s="422">
        <v>4932.7240407299996</v>
      </c>
      <c r="T93" s="419">
        <v>0.25471523702584298</v>
      </c>
      <c r="U93" s="419">
        <v>2.2428635907643502</v>
      </c>
      <c r="V93" s="419">
        <v>14.43751965915</v>
      </c>
      <c r="W93" s="419">
        <v>6.2415220294025797E-2</v>
      </c>
      <c r="X93" s="421">
        <v>2.1615327311069099</v>
      </c>
    </row>
    <row r="94" spans="1:30" ht="15.5">
      <c r="A94" s="151">
        <v>4</v>
      </c>
      <c r="B94" s="151">
        <v>401408</v>
      </c>
      <c r="C94" s="151">
        <v>2783495</v>
      </c>
      <c r="R94" s="410">
        <v>6</v>
      </c>
      <c r="S94" s="422">
        <v>5915.1821910299996</v>
      </c>
      <c r="T94" s="419">
        <v>0.305150300226189</v>
      </c>
      <c r="U94" s="419">
        <v>2.2456871402154901</v>
      </c>
      <c r="V94" s="419">
        <v>16.122765491799999</v>
      </c>
      <c r="W94" s="419">
        <v>6.9700750799106495E-2</v>
      </c>
      <c r="X94" s="421">
        <v>2.1615327311069099</v>
      </c>
    </row>
    <row r="95" spans="1:30" ht="15.5">
      <c r="A95" s="151">
        <v>3</v>
      </c>
      <c r="B95" s="151">
        <v>301525</v>
      </c>
      <c r="C95" s="151">
        <v>220245</v>
      </c>
      <c r="R95" s="410">
        <v>7</v>
      </c>
      <c r="S95" s="422">
        <v>6892.0394397299997</v>
      </c>
      <c r="T95" s="419">
        <v>0.35532326451607699</v>
      </c>
      <c r="U95" s="419">
        <v>2.2475349472455299</v>
      </c>
      <c r="V95" s="419">
        <v>17.765799425000001</v>
      </c>
      <c r="W95" s="419">
        <v>7.6803793933405903E-2</v>
      </c>
      <c r="X95" s="421">
        <v>2.1615327311069099</v>
      </c>
    </row>
    <row r="96" spans="1:30" ht="15.5">
      <c r="A96" s="151">
        <v>2</v>
      </c>
      <c r="B96" s="151">
        <v>200942</v>
      </c>
      <c r="C96" s="151">
        <v>1734921</v>
      </c>
      <c r="R96" s="410">
        <v>8</v>
      </c>
      <c r="S96" s="422">
        <v>7864.4059655399997</v>
      </c>
      <c r="T96" s="419">
        <v>0.40527138033421001</v>
      </c>
      <c r="U96" s="419">
        <v>2.24889920526507</v>
      </c>
      <c r="V96" s="419">
        <v>19.28131762025</v>
      </c>
      <c r="W96" s="419">
        <v>8.3355570433061299E-2</v>
      </c>
      <c r="X96" s="421">
        <v>2.1615327311069099</v>
      </c>
    </row>
    <row r="97" spans="1:24" ht="15.5">
      <c r="A97" s="151">
        <v>1</v>
      </c>
      <c r="B97" s="151">
        <v>99878</v>
      </c>
      <c r="C97" s="151">
        <v>1163301</v>
      </c>
      <c r="R97" s="410">
        <v>9</v>
      </c>
      <c r="S97" s="422">
        <v>8833.7019970799993</v>
      </c>
      <c r="T97" s="419">
        <v>0.45506938940064501</v>
      </c>
      <c r="U97" s="419">
        <v>2.2499222057736898</v>
      </c>
      <c r="V97" s="419">
        <v>20.737543147450001</v>
      </c>
      <c r="W97" s="419">
        <v>8.96510172427471E-2</v>
      </c>
      <c r="X97" s="421">
        <v>2.1615327311069099</v>
      </c>
    </row>
    <row r="98" spans="1:24" ht="15.5">
      <c r="A98" s="151">
        <v>0</v>
      </c>
      <c r="B98" s="151"/>
      <c r="C98" s="151"/>
      <c r="R98" s="423">
        <v>10</v>
      </c>
      <c r="S98" s="424">
        <v>9804.3182411399994</v>
      </c>
      <c r="T98" s="425">
        <v>0.50494660757426302</v>
      </c>
      <c r="U98" s="426">
        <v>2.2506817049190899</v>
      </c>
      <c r="V98" s="426">
        <v>22.215259641700001</v>
      </c>
      <c r="W98" s="426">
        <v>9.6039372216329896E-2</v>
      </c>
      <c r="X98" s="427">
        <v>2.1615327311069099</v>
      </c>
    </row>
    <row r="99" spans="1:24">
      <c r="A99" s="151" t="s">
        <v>1445</v>
      </c>
      <c r="B99" s="151"/>
      <c r="C99" s="151"/>
    </row>
    <row r="100" spans="1:24">
      <c r="A100" s="151" t="s">
        <v>1446</v>
      </c>
      <c r="B100" s="151" t="s">
        <v>105</v>
      </c>
      <c r="C100" s="151" t="s">
        <v>101</v>
      </c>
    </row>
    <row r="101" spans="1:24" ht="15.5">
      <c r="A101" s="151">
        <v>10</v>
      </c>
      <c r="B101" s="151">
        <v>1000042</v>
      </c>
      <c r="C101" s="151">
        <v>2185630</v>
      </c>
      <c r="R101" s="406" t="s">
        <v>108</v>
      </c>
      <c r="S101" s="407" t="s">
        <v>1159</v>
      </c>
      <c r="T101" s="407" t="s">
        <v>1447</v>
      </c>
      <c r="U101" s="407" t="s">
        <v>1163</v>
      </c>
      <c r="V101" s="408" t="s">
        <v>1162</v>
      </c>
      <c r="W101" s="408" t="s">
        <v>1447</v>
      </c>
      <c r="X101" s="409" t="s">
        <v>1163</v>
      </c>
    </row>
    <row r="102" spans="1:24" ht="15.5">
      <c r="A102" s="151">
        <v>9</v>
      </c>
      <c r="B102" s="151">
        <v>900119</v>
      </c>
      <c r="C102" s="151">
        <v>2043361</v>
      </c>
      <c r="R102" s="410"/>
      <c r="S102" s="411" t="s">
        <v>1168</v>
      </c>
      <c r="T102" s="412" t="s">
        <v>1168</v>
      </c>
      <c r="U102" s="413" t="s">
        <v>1450</v>
      </c>
      <c r="V102" s="414" t="s">
        <v>1169</v>
      </c>
      <c r="W102" s="414" t="s">
        <v>1169</v>
      </c>
      <c r="X102" s="415" t="s">
        <v>1450</v>
      </c>
    </row>
    <row r="103" spans="1:24" ht="15.5">
      <c r="A103" s="151">
        <v>8</v>
      </c>
      <c r="B103" s="151">
        <v>800504</v>
      </c>
      <c r="C103" s="151">
        <v>1903129</v>
      </c>
      <c r="R103" s="417">
        <v>1</v>
      </c>
      <c r="S103" s="428">
        <v>99.157961861999993</v>
      </c>
      <c r="T103" s="420">
        <v>5.7256553518006299E-3</v>
      </c>
      <c r="U103" s="419">
        <v>2.0999032341638402</v>
      </c>
      <c r="V103" s="420">
        <v>1.1674995351149999</v>
      </c>
      <c r="W103" s="420">
        <v>5.0472478928326996E-3</v>
      </c>
      <c r="X103" s="421">
        <v>2.1615327311069099</v>
      </c>
    </row>
    <row r="104" spans="1:24" ht="15.5">
      <c r="A104" s="151">
        <v>7</v>
      </c>
      <c r="B104" s="151">
        <v>700510</v>
      </c>
      <c r="C104" s="151">
        <v>1756857</v>
      </c>
      <c r="R104" s="410">
        <v>2</v>
      </c>
      <c r="S104" s="429">
        <v>199.028038356</v>
      </c>
      <c r="T104" s="420">
        <v>1.0706437831241001E-2</v>
      </c>
      <c r="U104" s="419">
        <v>2.1621086779434302</v>
      </c>
      <c r="V104" s="420">
        <v>1.7410403432899999</v>
      </c>
      <c r="W104" s="420">
        <v>7.5267372189074099E-3</v>
      </c>
      <c r="X104" s="421">
        <v>2.1615327311069099</v>
      </c>
    </row>
    <row r="105" spans="1:24" ht="15.5">
      <c r="A105" s="151">
        <v>6</v>
      </c>
      <c r="B105" s="151">
        <v>600413</v>
      </c>
      <c r="C105" s="151">
        <v>1596577</v>
      </c>
      <c r="R105" s="410">
        <v>3</v>
      </c>
      <c r="S105" s="429">
        <v>298.27801503000001</v>
      </c>
      <c r="T105" s="420">
        <v>1.5771525056987801E-2</v>
      </c>
      <c r="U105" s="419">
        <v>2.1890325436168498</v>
      </c>
      <c r="V105" s="420">
        <v>2.2087603897450001</v>
      </c>
      <c r="W105" s="420">
        <v>9.5487500316774592E-3</v>
      </c>
      <c r="X105" s="421">
        <v>2.1615327311069099</v>
      </c>
    </row>
    <row r="106" spans="1:24" ht="15.5">
      <c r="A106" s="151">
        <v>5</v>
      </c>
      <c r="B106" s="151">
        <v>500100</v>
      </c>
      <c r="C106" s="151">
        <v>1431956</v>
      </c>
      <c r="R106" s="410">
        <v>4</v>
      </c>
      <c r="S106" s="429">
        <v>396.55083440700002</v>
      </c>
      <c r="T106" s="420">
        <v>2.0870503957503402E-2</v>
      </c>
      <c r="U106" s="419">
        <v>2.1976505133267401</v>
      </c>
      <c r="V106" s="420">
        <v>2.7976668893449999</v>
      </c>
      <c r="W106" s="420">
        <v>1.20946671817762E-2</v>
      </c>
      <c r="X106" s="421">
        <v>2.1615327311069099</v>
      </c>
    </row>
    <row r="107" spans="1:24" ht="15.5">
      <c r="A107" s="151">
        <v>4</v>
      </c>
      <c r="B107" s="151">
        <v>399841</v>
      </c>
      <c r="C107" s="151">
        <v>1258189</v>
      </c>
      <c r="R107" s="410">
        <v>5</v>
      </c>
      <c r="S107" s="429">
        <v>494.49360065399998</v>
      </c>
      <c r="T107" s="420">
        <v>2.5899450295097701E-2</v>
      </c>
      <c r="U107" s="419">
        <v>2.2075649003395901</v>
      </c>
      <c r="V107" s="420">
        <v>3.1817881740249998</v>
      </c>
      <c r="W107" s="420">
        <v>1.37552719926401E-2</v>
      </c>
      <c r="X107" s="421">
        <v>2.1615327311069099</v>
      </c>
    </row>
    <row r="108" spans="1:24" ht="15.5">
      <c r="A108" s="151">
        <v>3</v>
      </c>
      <c r="B108" s="151">
        <v>300168</v>
      </c>
      <c r="C108" s="151">
        <v>1062034</v>
      </c>
      <c r="R108" s="410">
        <v>6</v>
      </c>
      <c r="S108" s="429">
        <v>593.52554223000004</v>
      </c>
      <c r="T108" s="420">
        <v>3.09893503936957E-2</v>
      </c>
      <c r="U108" s="419">
        <v>2.2144515208934399</v>
      </c>
      <c r="V108" s="420">
        <v>3.5435064506149998</v>
      </c>
      <c r="W108" s="420">
        <v>1.53190257710415E-2</v>
      </c>
      <c r="X108" s="421">
        <v>2.1615327311069099</v>
      </c>
    </row>
    <row r="109" spans="1:24" ht="15.5">
      <c r="A109" s="151">
        <v>2</v>
      </c>
      <c r="B109" s="151">
        <v>199991</v>
      </c>
      <c r="C109" s="151">
        <v>836012</v>
      </c>
      <c r="R109" s="410">
        <v>7</v>
      </c>
      <c r="S109" s="429">
        <v>691.35429012300006</v>
      </c>
      <c r="T109" s="420">
        <v>3.6024535110045497E-2</v>
      </c>
      <c r="U109" s="419">
        <v>2.2191237862163899</v>
      </c>
      <c r="V109" s="420">
        <v>3.8996024742149999</v>
      </c>
      <c r="W109" s="420">
        <v>1.68584738399301E-2</v>
      </c>
      <c r="X109" s="421">
        <v>2.1615327311069099</v>
      </c>
    </row>
    <row r="110" spans="1:24" ht="15.5">
      <c r="A110" s="151">
        <v>1</v>
      </c>
      <c r="B110" s="151">
        <v>100176</v>
      </c>
      <c r="C110" s="151">
        <v>568494</v>
      </c>
      <c r="R110" s="410">
        <v>8</v>
      </c>
      <c r="S110" s="429">
        <v>789.14203141500002</v>
      </c>
      <c r="T110" s="420">
        <v>4.1049472069006297E-2</v>
      </c>
      <c r="U110" s="419">
        <v>2.2232581731871499</v>
      </c>
      <c r="V110" s="420">
        <v>4.2027261141650003</v>
      </c>
      <c r="W110" s="420">
        <v>1.8168915606277199E-2</v>
      </c>
      <c r="X110" s="421">
        <v>2.1615327311069099</v>
      </c>
    </row>
    <row r="111" spans="1:24" ht="15.5">
      <c r="A111" s="151">
        <v>0</v>
      </c>
      <c r="B111" s="151"/>
      <c r="C111" s="151"/>
      <c r="R111" s="410">
        <v>9</v>
      </c>
      <c r="S111" s="430">
        <v>887.36984354699996</v>
      </c>
      <c r="T111" s="419">
        <v>4.6104400421217898E-2</v>
      </c>
      <c r="U111" s="419">
        <v>2.2262014363351499</v>
      </c>
      <c r="V111" s="420">
        <v>4.5205204142650004</v>
      </c>
      <c r="W111" s="420">
        <v>1.9542780488695299E-2</v>
      </c>
      <c r="X111" s="421">
        <v>2.1615327311069099</v>
      </c>
    </row>
    <row r="112" spans="1:24" ht="15.5">
      <c r="R112" s="423">
        <v>10</v>
      </c>
      <c r="S112" s="424">
        <v>984.77752365900005</v>
      </c>
      <c r="T112" s="426">
        <v>5.1118057396939497E-2</v>
      </c>
      <c r="U112" s="426">
        <v>2.22855046624022</v>
      </c>
      <c r="V112" s="431">
        <v>4.8278862451049998</v>
      </c>
      <c r="W112" s="431">
        <v>2.08715617818571E-2</v>
      </c>
      <c r="X112" s="427">
        <v>2.1615327311069099</v>
      </c>
    </row>
    <row r="113" spans="1:5">
      <c r="A113" s="75">
        <v>30728</v>
      </c>
    </row>
    <row r="114" spans="1:5">
      <c r="A114" t="s">
        <v>1443</v>
      </c>
      <c r="D114" t="s">
        <v>1449</v>
      </c>
      <c r="E114" t="s">
        <v>1448</v>
      </c>
    </row>
    <row r="115" spans="1:5">
      <c r="A115" s="151" t="s">
        <v>1444</v>
      </c>
      <c r="B115" s="151" t="s">
        <v>105</v>
      </c>
      <c r="C115" s="151" t="s">
        <v>101</v>
      </c>
      <c r="D115" t="s">
        <v>1451</v>
      </c>
    </row>
    <row r="116" spans="1:5">
      <c r="A116" s="151">
        <v>10</v>
      </c>
      <c r="B116" s="151">
        <v>1005990</v>
      </c>
      <c r="C116" s="151">
        <v>4806400</v>
      </c>
      <c r="D116" s="356">
        <f t="shared" ref="D116:D126" si="4">(C116-C88)/($A$85-$A$113)*90/C116*100</f>
        <v>1.2772443759198259E-2</v>
      </c>
      <c r="E116" s="356">
        <f t="shared" ref="E116:E126" si="5">(B116-B88)/($A$85-$A$113)*90/B116*100</f>
        <v>3.8745358909156712E-3</v>
      </c>
    </row>
    <row r="117" spans="1:5">
      <c r="A117" s="151">
        <v>9</v>
      </c>
      <c r="B117" s="151">
        <v>905840</v>
      </c>
      <c r="C117" s="151">
        <v>4507200</v>
      </c>
      <c r="D117" s="356">
        <f t="shared" si="4"/>
        <v>1.6597504143745945E-2</v>
      </c>
      <c r="E117" s="356">
        <f t="shared" si="5"/>
        <v>3.8434811306283898E-3</v>
      </c>
    </row>
    <row r="118" spans="1:5">
      <c r="A118" s="151">
        <v>8</v>
      </c>
      <c r="B118" s="151">
        <v>804560</v>
      </c>
      <c r="C118">
        <v>4198900</v>
      </c>
      <c r="D118" s="356">
        <f t="shared" si="4"/>
        <v>2.1208562142215191E-2</v>
      </c>
      <c r="E118" s="356">
        <f t="shared" si="5"/>
        <v>3.6922997560521571E-3</v>
      </c>
    </row>
    <row r="119" spans="1:5">
      <c r="A119" s="151">
        <v>7</v>
      </c>
      <c r="B119" s="151">
        <v>704300</v>
      </c>
      <c r="C119" s="151">
        <v>3900100</v>
      </c>
      <c r="D119" s="356">
        <f t="shared" si="4"/>
        <v>2.2794383718327638E-2</v>
      </c>
      <c r="E119" s="356">
        <f t="shared" si="5"/>
        <v>5.6735264257477425E-3</v>
      </c>
    </row>
    <row r="120" spans="1:5">
      <c r="A120" s="151">
        <v>6</v>
      </c>
      <c r="B120" s="151">
        <v>604250</v>
      </c>
      <c r="C120">
        <v>3550300</v>
      </c>
      <c r="D120" s="356">
        <f t="shared" si="4"/>
        <v>2.6488813081347144E-2</v>
      </c>
      <c r="E120" s="356">
        <f t="shared" si="5"/>
        <v>8.7071215481815834E-3</v>
      </c>
    </row>
    <row r="121" spans="1:5">
      <c r="A121" s="151">
        <v>5</v>
      </c>
      <c r="B121" s="151">
        <v>503200</v>
      </c>
      <c r="C121" s="151">
        <v>3193100</v>
      </c>
      <c r="D121" s="356">
        <f t="shared" si="4"/>
        <v>2.9865266341451008E-2</v>
      </c>
      <c r="E121" s="356">
        <f t="shared" si="5"/>
        <v>1.329984340820254E-2</v>
      </c>
    </row>
    <row r="122" spans="1:5">
      <c r="A122" s="151">
        <v>4</v>
      </c>
      <c r="B122" s="151">
        <v>401510</v>
      </c>
      <c r="C122" s="151">
        <v>2810300</v>
      </c>
      <c r="D122" s="356">
        <f t="shared" si="4"/>
        <v>3.227186030763847E-2</v>
      </c>
      <c r="E122" s="356">
        <f t="shared" si="5"/>
        <v>8.5953720194985718E-4</v>
      </c>
    </row>
    <row r="123" spans="1:5">
      <c r="A123" s="151">
        <v>3</v>
      </c>
      <c r="B123" s="151">
        <v>301630</v>
      </c>
      <c r="C123" s="151">
        <v>2224200</v>
      </c>
      <c r="D123" s="356">
        <f t="shared" si="4"/>
        <v>3.0484213974374841</v>
      </c>
      <c r="E123" s="356">
        <f t="shared" si="5"/>
        <v>1.1778110860814137E-3</v>
      </c>
    </row>
    <row r="124" spans="1:5">
      <c r="A124" s="151">
        <v>2</v>
      </c>
      <c r="B124" s="151">
        <v>201130</v>
      </c>
      <c r="C124" s="151">
        <v>1756160</v>
      </c>
      <c r="D124" s="356">
        <f t="shared" si="4"/>
        <v>4.0919550721738744E-2</v>
      </c>
      <c r="E124" s="356">
        <f t="shared" si="5"/>
        <v>3.1625825364883899E-3</v>
      </c>
    </row>
    <row r="125" spans="1:5">
      <c r="A125" s="151">
        <v>1</v>
      </c>
      <c r="B125" s="151">
        <v>100040</v>
      </c>
      <c r="C125" s="151">
        <v>1180150</v>
      </c>
      <c r="D125" s="356">
        <f t="shared" si="4"/>
        <v>4.8305634653935607E-2</v>
      </c>
      <c r="E125" s="356">
        <f t="shared" si="5"/>
        <v>5.4790114029576141E-3</v>
      </c>
    </row>
    <row r="126" spans="1:5">
      <c r="A126" s="151">
        <v>0</v>
      </c>
      <c r="B126" s="151">
        <v>358</v>
      </c>
      <c r="C126" s="151">
        <v>5860</v>
      </c>
      <c r="D126" s="356">
        <f t="shared" si="4"/>
        <v>3.3834586466165413</v>
      </c>
      <c r="E126" s="356">
        <f t="shared" si="5"/>
        <v>3.3834586466165413</v>
      </c>
    </row>
    <row r="127" spans="1:5">
      <c r="A127" s="151" t="s">
        <v>1445</v>
      </c>
      <c r="B127" s="151"/>
      <c r="C127" s="151"/>
    </row>
    <row r="128" spans="1:5">
      <c r="A128" s="151" t="s">
        <v>1446</v>
      </c>
      <c r="B128" s="151" t="s">
        <v>105</v>
      </c>
      <c r="C128" s="151" t="s">
        <v>101</v>
      </c>
    </row>
    <row r="129" spans="1:27">
      <c r="A129" s="151">
        <v>10</v>
      </c>
      <c r="B129" s="151">
        <v>1000616</v>
      </c>
      <c r="C129" s="151">
        <v>2191510</v>
      </c>
      <c r="D129" s="356">
        <f t="shared" ref="D129:D139" si="6">(C129-C101)/($A$85-$A$113)*90/C129*100</f>
        <v>9.078095396372941E-3</v>
      </c>
      <c r="E129" s="356">
        <f t="shared" ref="E129:E139" si="7">(B129-B101)/($A$85-$A$113)*90/B129*100</f>
        <v>1.9409096628056064E-3</v>
      </c>
    </row>
    <row r="130" spans="1:27">
      <c r="A130" s="151">
        <v>9</v>
      </c>
      <c r="B130" s="151">
        <v>900587</v>
      </c>
      <c r="C130" s="151">
        <v>2049680</v>
      </c>
      <c r="D130" s="356">
        <f t="shared" si="6"/>
        <v>1.0430933212974671E-2</v>
      </c>
      <c r="E130" s="356">
        <f t="shared" si="7"/>
        <v>1.7582517253930396E-3</v>
      </c>
    </row>
    <row r="131" spans="1:27">
      <c r="A131" s="151">
        <v>8</v>
      </c>
      <c r="B131" s="151">
        <v>800915</v>
      </c>
      <c r="C131" s="151">
        <v>1910750</v>
      </c>
      <c r="D131" s="356">
        <f t="shared" si="6"/>
        <v>1.3494878108525274E-2</v>
      </c>
      <c r="E131" s="356">
        <f t="shared" si="7"/>
        <v>1.7362660254326596E-3</v>
      </c>
    </row>
    <row r="132" spans="1:27">
      <c r="A132" s="151">
        <v>7</v>
      </c>
      <c r="B132" s="151">
        <v>701003</v>
      </c>
      <c r="C132" s="151">
        <v>1766150</v>
      </c>
      <c r="D132" s="356">
        <f t="shared" si="6"/>
        <v>1.7802837359798158E-2</v>
      </c>
      <c r="E132" s="356">
        <f t="shared" si="7"/>
        <v>2.3795120887955615E-3</v>
      </c>
    </row>
    <row r="133" spans="1:27">
      <c r="A133" s="151">
        <v>6</v>
      </c>
      <c r="B133" s="151">
        <v>601187</v>
      </c>
      <c r="C133" s="151">
        <v>1605900</v>
      </c>
      <c r="D133" s="356">
        <f t="shared" si="6"/>
        <v>1.9642558666421329E-2</v>
      </c>
      <c r="E133" s="356">
        <f t="shared" si="7"/>
        <v>4.3560439471931412E-3</v>
      </c>
    </row>
    <row r="134" spans="1:27">
      <c r="A134" s="151">
        <v>5</v>
      </c>
      <c r="B134" s="151">
        <v>500064</v>
      </c>
      <c r="C134" s="151">
        <v>1441700</v>
      </c>
      <c r="D134" s="356">
        <f t="shared" si="6"/>
        <v>2.2867740204363999E-2</v>
      </c>
      <c r="E134" s="356">
        <f t="shared" si="7"/>
        <v>-2.4357784459228319E-4</v>
      </c>
    </row>
    <row r="135" spans="1:27">
      <c r="A135" s="151">
        <v>4</v>
      </c>
      <c r="B135" s="151">
        <v>399832</v>
      </c>
      <c r="C135" s="151">
        <v>1267980</v>
      </c>
      <c r="D135" s="356">
        <f t="shared" si="6"/>
        <v>2.6126156255636964E-2</v>
      </c>
      <c r="E135" s="356">
        <f t="shared" si="7"/>
        <v>-7.6159806667672615E-5</v>
      </c>
    </row>
    <row r="136" spans="1:27">
      <c r="A136" s="151">
        <v>3</v>
      </c>
      <c r="B136" s="151">
        <v>300175</v>
      </c>
      <c r="C136" s="151">
        <v>1071200</v>
      </c>
      <c r="D136" s="356">
        <f t="shared" si="6"/>
        <v>2.8951439464980598E-2</v>
      </c>
      <c r="E136" s="356">
        <f t="shared" si="7"/>
        <v>7.8901342637847222E-5</v>
      </c>
    </row>
    <row r="137" spans="1:27">
      <c r="A137" s="151">
        <v>2</v>
      </c>
      <c r="B137" s="151">
        <v>199984</v>
      </c>
      <c r="C137" s="151">
        <v>844290</v>
      </c>
      <c r="D137" s="356">
        <f t="shared" si="6"/>
        <v>3.3173756264662298E-2</v>
      </c>
      <c r="E137" s="356">
        <f t="shared" si="7"/>
        <v>-1.1843052707374484E-4</v>
      </c>
    </row>
    <row r="138" spans="1:27">
      <c r="A138" s="151">
        <v>1</v>
      </c>
      <c r="B138" s="151">
        <v>100176</v>
      </c>
      <c r="C138" s="151">
        <v>574990</v>
      </c>
      <c r="D138" s="356">
        <f t="shared" si="6"/>
        <v>3.822492107414225E-2</v>
      </c>
      <c r="E138" s="356">
        <f t="shared" si="7"/>
        <v>0</v>
      </c>
    </row>
    <row r="139" spans="1:27">
      <c r="A139" s="151">
        <v>0</v>
      </c>
      <c r="B139" s="151">
        <v>30</v>
      </c>
      <c r="C139" s="151">
        <v>602</v>
      </c>
      <c r="D139" s="356">
        <f t="shared" si="6"/>
        <v>3.3834586466165413</v>
      </c>
      <c r="E139" s="356">
        <f t="shared" si="7"/>
        <v>3.3834586466165413</v>
      </c>
    </row>
    <row r="141" spans="1:27">
      <c r="G141" s="75">
        <f>A113</f>
        <v>30728</v>
      </c>
      <c r="H141" s="151">
        <v>1005990</v>
      </c>
      <c r="I141" s="151">
        <v>905840</v>
      </c>
      <c r="J141" s="151">
        <v>804560</v>
      </c>
      <c r="K141" s="151">
        <v>704300</v>
      </c>
      <c r="L141" s="151">
        <v>604250</v>
      </c>
      <c r="M141" s="151">
        <v>503200</v>
      </c>
      <c r="N141" s="151">
        <v>401510</v>
      </c>
      <c r="O141" s="151">
        <v>100040</v>
      </c>
      <c r="P141" s="151">
        <v>358</v>
      </c>
      <c r="Q141" s="151">
        <v>1000616</v>
      </c>
      <c r="R141" s="151">
        <v>900587</v>
      </c>
      <c r="S141" s="151">
        <v>800915</v>
      </c>
      <c r="T141" s="151">
        <v>701003</v>
      </c>
      <c r="U141" s="151">
        <v>601187</v>
      </c>
      <c r="V141" s="151">
        <v>500064</v>
      </c>
      <c r="W141" s="151">
        <v>399832</v>
      </c>
      <c r="X141" s="151">
        <v>300175</v>
      </c>
      <c r="Y141" s="151">
        <v>199984</v>
      </c>
      <c r="Z141" s="151">
        <v>100176</v>
      </c>
      <c r="AA141" s="151">
        <v>30</v>
      </c>
    </row>
    <row r="142" spans="1:27">
      <c r="G142" s="75">
        <f>A85</f>
        <v>33388</v>
      </c>
      <c r="H142" s="151">
        <v>1004838</v>
      </c>
      <c r="I142" s="151">
        <v>904811</v>
      </c>
      <c r="J142" s="151">
        <v>803682</v>
      </c>
      <c r="K142" s="151">
        <v>703119</v>
      </c>
      <c r="L142" s="151">
        <v>602695</v>
      </c>
      <c r="M142" s="151">
        <v>501222</v>
      </c>
      <c r="N142" s="151">
        <v>401408</v>
      </c>
      <c r="O142" s="151">
        <v>99878</v>
      </c>
      <c r="P142" s="151"/>
      <c r="Q142" s="151">
        <v>1000042</v>
      </c>
      <c r="R142" s="151">
        <v>900119</v>
      </c>
      <c r="S142" s="151">
        <v>800504</v>
      </c>
      <c r="T142" s="151">
        <v>700510</v>
      </c>
      <c r="U142" s="151">
        <v>600413</v>
      </c>
      <c r="V142" s="151">
        <v>500100</v>
      </c>
      <c r="W142" s="151">
        <v>399841</v>
      </c>
      <c r="X142" s="151">
        <v>300168</v>
      </c>
      <c r="Y142" s="151">
        <v>199991</v>
      </c>
      <c r="Z142" s="151">
        <v>100176</v>
      </c>
      <c r="AA142" s="151"/>
    </row>
    <row r="143" spans="1:27">
      <c r="G143" s="75">
        <f>A57</f>
        <v>34971</v>
      </c>
      <c r="H143" s="416">
        <v>984610</v>
      </c>
      <c r="I143" s="416">
        <v>887218</v>
      </c>
      <c r="J143" s="416">
        <v>789017</v>
      </c>
      <c r="K143" s="416">
        <v>691242</v>
      </c>
      <c r="L143" s="416">
        <v>593424</v>
      </c>
      <c r="M143" s="416">
        <v>494410</v>
      </c>
      <c r="N143" s="416">
        <v>396487</v>
      </c>
      <c r="O143" s="416">
        <v>99144</v>
      </c>
      <c r="P143" s="247"/>
      <c r="Q143" s="416">
        <v>980098</v>
      </c>
      <c r="R143" s="416">
        <v>883073</v>
      </c>
      <c r="S143" s="416">
        <v>786185</v>
      </c>
      <c r="T143" s="416">
        <v>688985</v>
      </c>
      <c r="U143" s="416">
        <v>591324</v>
      </c>
      <c r="V143" s="416">
        <v>493117</v>
      </c>
      <c r="W143" s="416">
        <v>394779</v>
      </c>
      <c r="X143" s="416">
        <v>296852</v>
      </c>
      <c r="Y143" s="416">
        <v>198003</v>
      </c>
      <c r="Z143" s="416">
        <v>99384</v>
      </c>
    </row>
    <row r="144" spans="1:27">
      <c r="G144" s="75">
        <f>A30</f>
        <v>36749</v>
      </c>
      <c r="H144">
        <v>984617</v>
      </c>
      <c r="I144">
        <v>887225</v>
      </c>
      <c r="J144">
        <v>789013</v>
      </c>
      <c r="K144">
        <v>691241</v>
      </c>
      <c r="L144">
        <v>593428</v>
      </c>
      <c r="M144">
        <v>494412</v>
      </c>
      <c r="N144">
        <v>396485</v>
      </c>
      <c r="O144">
        <v>99140</v>
      </c>
      <c r="Q144">
        <v>980273</v>
      </c>
      <c r="R144">
        <v>883227</v>
      </c>
      <c r="S144">
        <v>786313</v>
      </c>
      <c r="T144">
        <v>689092</v>
      </c>
      <c r="U144">
        <v>591422</v>
      </c>
      <c r="V144">
        <v>493192</v>
      </c>
      <c r="W144">
        <v>394829</v>
      </c>
      <c r="X144">
        <v>297330</v>
      </c>
      <c r="Y144">
        <v>198979</v>
      </c>
      <c r="Z144">
        <v>99390</v>
      </c>
    </row>
    <row r="145" spans="3:27">
      <c r="G145" s="75">
        <f>B2</f>
        <v>38398</v>
      </c>
      <c r="H145" s="397">
        <v>984646</v>
      </c>
      <c r="I145" s="397">
        <v>887241</v>
      </c>
      <c r="J145" s="397">
        <v>789040</v>
      </c>
      <c r="K145" s="397">
        <v>691266</v>
      </c>
      <c r="L145" s="388">
        <v>594040</v>
      </c>
      <c r="M145" s="397">
        <v>494427</v>
      </c>
      <c r="N145" s="397">
        <v>396493</v>
      </c>
      <c r="O145" s="397">
        <v>99142</v>
      </c>
      <c r="Q145" s="371">
        <v>980229</v>
      </c>
      <c r="R145" s="397">
        <v>883184</v>
      </c>
      <c r="S145" s="397">
        <v>786268</v>
      </c>
      <c r="T145" s="397">
        <v>689049</v>
      </c>
      <c r="U145" s="397">
        <v>591383</v>
      </c>
      <c r="V145" s="397">
        <v>493158</v>
      </c>
      <c r="W145" s="397">
        <v>394802</v>
      </c>
      <c r="X145" s="397">
        <v>296830</v>
      </c>
      <c r="Y145" s="397">
        <v>198006</v>
      </c>
      <c r="Z145" s="397">
        <v>99381</v>
      </c>
      <c r="AA145" s="397">
        <v>-1</v>
      </c>
    </row>
    <row r="146" spans="3:27">
      <c r="G146" s="75">
        <v>39997</v>
      </c>
      <c r="H146" s="432">
        <v>984766</v>
      </c>
      <c r="I146" s="432">
        <v>887330</v>
      </c>
      <c r="J146" s="432">
        <v>789093</v>
      </c>
      <c r="K146" s="432">
        <v>691310</v>
      </c>
      <c r="L146" s="433">
        <v>593513</v>
      </c>
      <c r="M146" s="432">
        <v>494446</v>
      </c>
      <c r="N146" s="432">
        <v>396503</v>
      </c>
      <c r="O146" s="432">
        <v>99136</v>
      </c>
      <c r="Q146" s="235">
        <v>980190</v>
      </c>
      <c r="R146" s="432">
        <v>883164</v>
      </c>
      <c r="S146" s="432">
        <v>786276</v>
      </c>
      <c r="T146" s="432">
        <v>689060</v>
      </c>
      <c r="U146" s="432">
        <v>591400</v>
      </c>
      <c r="V146" s="432">
        <v>493172</v>
      </c>
      <c r="W146" s="432">
        <v>394815</v>
      </c>
      <c r="X146" s="432">
        <v>296875</v>
      </c>
      <c r="Y146" s="432">
        <v>198015</v>
      </c>
      <c r="Z146" s="432">
        <v>99388</v>
      </c>
    </row>
    <row r="149" spans="3:27">
      <c r="G149" s="75">
        <f>G143</f>
        <v>34971</v>
      </c>
      <c r="H149">
        <f t="shared" ref="H149:O152" si="8">H143/H$142</f>
        <v>0.97986939188207456</v>
      </c>
      <c r="I149">
        <f t="shared" si="8"/>
        <v>0.98055616034729909</v>
      </c>
      <c r="J149">
        <f t="shared" si="8"/>
        <v>0.98175273304615507</v>
      </c>
      <c r="K149">
        <f t="shared" si="8"/>
        <v>0.98310812252264557</v>
      </c>
      <c r="L149">
        <f t="shared" si="8"/>
        <v>0.98461742672496033</v>
      </c>
      <c r="M149">
        <f t="shared" si="8"/>
        <v>0.98640921587639807</v>
      </c>
      <c r="N149">
        <f t="shared" si="8"/>
        <v>0.9877406529017857</v>
      </c>
      <c r="O149">
        <f t="shared" si="8"/>
        <v>0.99265103426179935</v>
      </c>
      <c r="Q149">
        <f t="shared" ref="Q149:Z149" si="9">Q143/Q$142</f>
        <v>0.98005683761282025</v>
      </c>
      <c r="R149">
        <f t="shared" si="9"/>
        <v>0.98106250395781003</v>
      </c>
      <c r="S149">
        <f t="shared" si="9"/>
        <v>0.98211251911295883</v>
      </c>
      <c r="T149">
        <f t="shared" si="9"/>
        <v>0.98354770096072863</v>
      </c>
      <c r="U149">
        <f t="shared" si="9"/>
        <v>0.98486208659705898</v>
      </c>
      <c r="V149">
        <f t="shared" si="9"/>
        <v>0.9860367926414717</v>
      </c>
      <c r="W149">
        <f t="shared" si="9"/>
        <v>0.98733996763713572</v>
      </c>
      <c r="X149">
        <f t="shared" si="9"/>
        <v>0.98895285306894809</v>
      </c>
      <c r="Y149">
        <f t="shared" si="9"/>
        <v>0.99005955267987056</v>
      </c>
      <c r="Z149">
        <f t="shared" si="9"/>
        <v>0.99209391471011021</v>
      </c>
    </row>
    <row r="150" spans="3:27">
      <c r="G150" s="75">
        <f>G144</f>
        <v>36749</v>
      </c>
      <c r="H150">
        <f t="shared" si="8"/>
        <v>0.97987635817912933</v>
      </c>
      <c r="I150">
        <f t="shared" si="8"/>
        <v>0.98056389676960165</v>
      </c>
      <c r="J150">
        <f t="shared" si="8"/>
        <v>0.98174775595322528</v>
      </c>
      <c r="K150">
        <f t="shared" si="8"/>
        <v>0.98310670028828695</v>
      </c>
      <c r="L150">
        <f t="shared" si="8"/>
        <v>0.98462406358108168</v>
      </c>
      <c r="M150">
        <f t="shared" si="8"/>
        <v>0.98641320612423233</v>
      </c>
      <c r="N150">
        <f t="shared" si="8"/>
        <v>0.98773567044005106</v>
      </c>
      <c r="O150">
        <f t="shared" si="8"/>
        <v>0.99261098540219073</v>
      </c>
      <c r="Q150">
        <f t="shared" ref="Q150:Z150" si="10">Q144/Q$142</f>
        <v>0.98023183026312899</v>
      </c>
      <c r="R150">
        <f t="shared" si="10"/>
        <v>0.98123359244722086</v>
      </c>
      <c r="S150">
        <f t="shared" si="10"/>
        <v>0.98227241837642287</v>
      </c>
      <c r="T150">
        <f t="shared" si="10"/>
        <v>0.98370044681731883</v>
      </c>
      <c r="U150">
        <f t="shared" si="10"/>
        <v>0.98502530757994911</v>
      </c>
      <c r="V150">
        <f t="shared" si="10"/>
        <v>0.98618676264747052</v>
      </c>
      <c r="W150">
        <f t="shared" si="10"/>
        <v>0.9874650173443944</v>
      </c>
      <c r="X150">
        <f t="shared" si="10"/>
        <v>0.9905452946350044</v>
      </c>
      <c r="Y150">
        <f t="shared" si="10"/>
        <v>0.99493977228975305</v>
      </c>
      <c r="Z150">
        <f t="shared" si="10"/>
        <v>0.99215380929563968</v>
      </c>
    </row>
    <row r="151" spans="3:27">
      <c r="C151" s="432">
        <v>984766</v>
      </c>
      <c r="D151" s="235">
        <v>980190</v>
      </c>
      <c r="G151" s="75">
        <f>G145</f>
        <v>38398</v>
      </c>
      <c r="H151">
        <f t="shared" si="8"/>
        <v>0.97990521855264234</v>
      </c>
      <c r="I151">
        <f t="shared" si="8"/>
        <v>0.98058158002057894</v>
      </c>
      <c r="J151">
        <f t="shared" si="8"/>
        <v>0.98178135133050137</v>
      </c>
      <c r="K151">
        <f t="shared" si="8"/>
        <v>0.98314225614725248</v>
      </c>
      <c r="L151">
        <f t="shared" si="8"/>
        <v>0.98563950256763366</v>
      </c>
      <c r="M151">
        <f t="shared" si="8"/>
        <v>0.98644313298298958</v>
      </c>
      <c r="N151">
        <f t="shared" si="8"/>
        <v>0.98775560028698983</v>
      </c>
      <c r="O151">
        <f t="shared" si="8"/>
        <v>0.99263100983199504</v>
      </c>
      <c r="Q151">
        <f t="shared" ref="Q151:Z151" si="11">Q145/Q$142</f>
        <v>0.98018783211105132</v>
      </c>
      <c r="R151">
        <f t="shared" si="11"/>
        <v>0.98118582098589191</v>
      </c>
      <c r="S151">
        <f t="shared" si="11"/>
        <v>0.98221620379161123</v>
      </c>
      <c r="T151">
        <f t="shared" si="11"/>
        <v>0.98363906296840875</v>
      </c>
      <c r="U151">
        <f t="shared" si="11"/>
        <v>0.98496035229083978</v>
      </c>
      <c r="V151">
        <f t="shared" si="11"/>
        <v>0.98611877624475108</v>
      </c>
      <c r="W151">
        <f t="shared" si="11"/>
        <v>0.98739749050247472</v>
      </c>
      <c r="X151">
        <f t="shared" si="11"/>
        <v>0.98887956077929695</v>
      </c>
      <c r="Y151">
        <f t="shared" si="11"/>
        <v>0.99007455335490102</v>
      </c>
      <c r="Z151">
        <f t="shared" si="11"/>
        <v>0.99206396741734548</v>
      </c>
    </row>
    <row r="152" spans="3:27">
      <c r="C152" s="432">
        <v>887330</v>
      </c>
      <c r="D152" s="432">
        <v>883164</v>
      </c>
      <c r="G152" s="75">
        <f>G146</f>
        <v>39997</v>
      </c>
      <c r="H152">
        <f t="shared" si="8"/>
        <v>0.98002464078786833</v>
      </c>
      <c r="I152">
        <f t="shared" si="8"/>
        <v>0.98067994310413997</v>
      </c>
      <c r="J152">
        <f t="shared" si="8"/>
        <v>0.98184729781182112</v>
      </c>
      <c r="K152">
        <f t="shared" si="8"/>
        <v>0.98320483445903184</v>
      </c>
      <c r="L152">
        <f t="shared" si="8"/>
        <v>0.98476509677365831</v>
      </c>
      <c r="M152">
        <f t="shared" si="8"/>
        <v>0.98648104033741535</v>
      </c>
      <c r="N152">
        <f t="shared" si="8"/>
        <v>0.98778051259566324</v>
      </c>
      <c r="O152">
        <f t="shared" si="8"/>
        <v>0.99257093654258199</v>
      </c>
      <c r="Q152">
        <f t="shared" ref="Q152:Z152" si="12">Q146/Q$142</f>
        <v>0.98014883374898254</v>
      </c>
      <c r="R152">
        <f t="shared" si="12"/>
        <v>0.98116360170155281</v>
      </c>
      <c r="S152">
        <f t="shared" si="12"/>
        <v>0.98222619749557782</v>
      </c>
      <c r="T152">
        <f t="shared" si="12"/>
        <v>0.98365476581347877</v>
      </c>
      <c r="U152">
        <f t="shared" si="12"/>
        <v>0.98498866613481051</v>
      </c>
      <c r="V152">
        <f t="shared" si="12"/>
        <v>0.98614677064587086</v>
      </c>
      <c r="W152">
        <f t="shared" si="12"/>
        <v>0.987430003426362</v>
      </c>
      <c r="X152">
        <f t="shared" si="12"/>
        <v>0.98902947682631059</v>
      </c>
      <c r="Y152">
        <f t="shared" si="12"/>
        <v>0.99011955537999208</v>
      </c>
      <c r="Z152">
        <f t="shared" si="12"/>
        <v>0.99213384443379649</v>
      </c>
    </row>
    <row r="153" spans="3:27">
      <c r="C153" s="432"/>
      <c r="D153" s="432"/>
      <c r="G153" s="75"/>
    </row>
    <row r="154" spans="3:27">
      <c r="C154" s="432">
        <v>789093</v>
      </c>
      <c r="D154" s="432">
        <v>786276</v>
      </c>
      <c r="G154" s="75">
        <f>G149</f>
        <v>34971</v>
      </c>
      <c r="H154">
        <f t="shared" ref="H154:O157" si="13">H149/H$149</f>
        <v>1</v>
      </c>
      <c r="I154">
        <f t="shared" si="13"/>
        <v>1</v>
      </c>
      <c r="J154">
        <f t="shared" si="13"/>
        <v>1</v>
      </c>
      <c r="K154">
        <f t="shared" si="13"/>
        <v>1</v>
      </c>
      <c r="L154">
        <f t="shared" si="13"/>
        <v>1</v>
      </c>
      <c r="M154">
        <f t="shared" si="13"/>
        <v>1</v>
      </c>
      <c r="N154">
        <f t="shared" si="13"/>
        <v>1</v>
      </c>
      <c r="O154">
        <f t="shared" si="13"/>
        <v>1</v>
      </c>
      <c r="Q154">
        <f t="shared" ref="Q154:Z154" si="14">Q149/Q$149</f>
        <v>1</v>
      </c>
      <c r="R154">
        <f t="shared" si="14"/>
        <v>1</v>
      </c>
      <c r="S154">
        <f t="shared" si="14"/>
        <v>1</v>
      </c>
      <c r="T154">
        <f t="shared" si="14"/>
        <v>1</v>
      </c>
      <c r="U154">
        <f t="shared" si="14"/>
        <v>1</v>
      </c>
      <c r="V154">
        <f t="shared" si="14"/>
        <v>1</v>
      </c>
      <c r="W154">
        <f t="shared" si="14"/>
        <v>1</v>
      </c>
      <c r="X154">
        <f t="shared" si="14"/>
        <v>1</v>
      </c>
      <c r="Y154">
        <f t="shared" si="14"/>
        <v>1</v>
      </c>
      <c r="Z154">
        <f t="shared" si="14"/>
        <v>1</v>
      </c>
    </row>
    <row r="155" spans="3:27">
      <c r="C155" s="432">
        <v>691310</v>
      </c>
      <c r="D155" s="432">
        <v>689060</v>
      </c>
      <c r="G155" s="75">
        <f>G150</f>
        <v>36749</v>
      </c>
      <c r="H155">
        <f t="shared" si="13"/>
        <v>1.0000071094138796</v>
      </c>
      <c r="I155">
        <f t="shared" si="13"/>
        <v>1.0000078898309097</v>
      </c>
      <c r="J155">
        <f t="shared" si="13"/>
        <v>0.99999493040073917</v>
      </c>
      <c r="K155">
        <f t="shared" si="13"/>
        <v>0.99999855332864618</v>
      </c>
      <c r="L155">
        <f t="shared" si="13"/>
        <v>1.0000067405430182</v>
      </c>
      <c r="M155">
        <f t="shared" si="13"/>
        <v>1.0000040452256225</v>
      </c>
      <c r="N155">
        <f t="shared" si="13"/>
        <v>0.99999495569842145</v>
      </c>
      <c r="O155">
        <f t="shared" si="13"/>
        <v>0.99995965464375058</v>
      </c>
      <c r="Q155">
        <f t="shared" ref="Q155:Z155" si="15">Q150/Q$149</f>
        <v>1.0001785535732142</v>
      </c>
      <c r="R155">
        <f t="shared" si="15"/>
        <v>1.000174391018636</v>
      </c>
      <c r="S155">
        <f t="shared" si="15"/>
        <v>1.0001628115519885</v>
      </c>
      <c r="T155">
        <f t="shared" si="15"/>
        <v>1.0001553009136628</v>
      </c>
      <c r="U155">
        <f t="shared" si="15"/>
        <v>1.0001657297860396</v>
      </c>
      <c r="V155">
        <f t="shared" si="15"/>
        <v>1.0001520937221795</v>
      </c>
      <c r="W155">
        <f t="shared" si="15"/>
        <v>1.0001266531401114</v>
      </c>
      <c r="X155">
        <f t="shared" si="15"/>
        <v>1.0016102300136094</v>
      </c>
      <c r="Y155">
        <f t="shared" si="15"/>
        <v>1.004929218244168</v>
      </c>
      <c r="Z155">
        <f t="shared" si="15"/>
        <v>1.0000603718908476</v>
      </c>
    </row>
    <row r="156" spans="3:27">
      <c r="C156" s="432">
        <v>593513</v>
      </c>
      <c r="D156" s="432">
        <v>591400</v>
      </c>
      <c r="G156" s="75">
        <f>G151</f>
        <v>38398</v>
      </c>
      <c r="H156">
        <f t="shared" si="13"/>
        <v>1.0000365626999523</v>
      </c>
      <c r="I156">
        <f t="shared" si="13"/>
        <v>1.0000259237301317</v>
      </c>
      <c r="J156">
        <f t="shared" si="13"/>
        <v>1.0000291501957499</v>
      </c>
      <c r="K156">
        <f t="shared" si="13"/>
        <v>1.0000347201124931</v>
      </c>
      <c r="L156">
        <f t="shared" si="13"/>
        <v>1.0010380436247943</v>
      </c>
      <c r="M156">
        <f t="shared" si="13"/>
        <v>1.000034384417791</v>
      </c>
      <c r="N156">
        <f t="shared" si="13"/>
        <v>1.000015132904736</v>
      </c>
      <c r="O156">
        <f t="shared" si="13"/>
        <v>0.99997982732187529</v>
      </c>
      <c r="Q156">
        <f t="shared" ref="Q156:Z156" si="16">Q151/Q$149</f>
        <v>1.0001336601033775</v>
      </c>
      <c r="R156">
        <f t="shared" si="16"/>
        <v>1.0001256974225234</v>
      </c>
      <c r="S156">
        <f t="shared" si="16"/>
        <v>1.0001055731157424</v>
      </c>
      <c r="T156">
        <f t="shared" si="16"/>
        <v>1.0000928902661161</v>
      </c>
      <c r="U156">
        <f t="shared" si="16"/>
        <v>1.0000997760956769</v>
      </c>
      <c r="V156">
        <f t="shared" si="16"/>
        <v>1.0000831445681249</v>
      </c>
      <c r="W156">
        <f t="shared" si="16"/>
        <v>1.0000582604444512</v>
      </c>
      <c r="X156">
        <f t="shared" si="16"/>
        <v>0.99992588899518953</v>
      </c>
      <c r="Y156">
        <f t="shared" si="16"/>
        <v>1.0000151512855866</v>
      </c>
      <c r="Z156">
        <f t="shared" si="16"/>
        <v>0.99996981405457619</v>
      </c>
    </row>
    <row r="157" spans="3:27">
      <c r="C157" s="432">
        <v>494446</v>
      </c>
      <c r="D157" s="432">
        <v>493172</v>
      </c>
      <c r="G157" s="75">
        <f>G152</f>
        <v>39997</v>
      </c>
      <c r="H157">
        <f t="shared" si="13"/>
        <v>1.0001584383664599</v>
      </c>
      <c r="I157">
        <f t="shared" si="13"/>
        <v>1.0001262372945543</v>
      </c>
      <c r="J157">
        <f t="shared" si="13"/>
        <v>1.0000963223859562</v>
      </c>
      <c r="K157">
        <f t="shared" si="13"/>
        <v>1.0000983736520639</v>
      </c>
      <c r="L157">
        <f t="shared" si="13"/>
        <v>1.0001499770821538</v>
      </c>
      <c r="M157">
        <f t="shared" si="13"/>
        <v>1.0000728140612043</v>
      </c>
      <c r="N157">
        <f t="shared" si="13"/>
        <v>1.0000403544126288</v>
      </c>
      <c r="O157">
        <f t="shared" si="13"/>
        <v>0.99991930928750106</v>
      </c>
      <c r="Q157">
        <f t="shared" ref="Q157:Z157" si="17">Q152/Q$149</f>
        <v>1.000093868164204</v>
      </c>
      <c r="R157">
        <f t="shared" si="17"/>
        <v>1.000103049238285</v>
      </c>
      <c r="S157">
        <f t="shared" si="17"/>
        <v>1.0001157488377419</v>
      </c>
      <c r="T157">
        <f t="shared" si="17"/>
        <v>1.0001088557806048</v>
      </c>
      <c r="U157">
        <f t="shared" si="17"/>
        <v>1.0001285251401939</v>
      </c>
      <c r="V157">
        <f t="shared" si="17"/>
        <v>1.0001115353962651</v>
      </c>
      <c r="W157">
        <f t="shared" si="17"/>
        <v>1.0000911902608802</v>
      </c>
      <c r="X157">
        <f t="shared" si="17"/>
        <v>1.0000774796868472</v>
      </c>
      <c r="Y157">
        <f t="shared" si="17"/>
        <v>1.0000606051423464</v>
      </c>
      <c r="Z157">
        <f t="shared" si="17"/>
        <v>1.0000402479272317</v>
      </c>
    </row>
    <row r="158" spans="3:27">
      <c r="C158" s="432">
        <v>396503</v>
      </c>
      <c r="D158" s="432">
        <v>394815</v>
      </c>
    </row>
    <row r="159" spans="3:27">
      <c r="C159" s="432">
        <v>298239</v>
      </c>
      <c r="D159" s="432">
        <v>296875</v>
      </c>
    </row>
    <row r="160" spans="3:27">
      <c r="C160" s="432">
        <v>198991</v>
      </c>
      <c r="D160" s="432">
        <v>198015</v>
      </c>
      <c r="H160" s="153">
        <f>G154</f>
        <v>34971</v>
      </c>
    </row>
    <row r="161" spans="3:24">
      <c r="C161" s="432">
        <v>99136</v>
      </c>
      <c r="D161" s="432">
        <v>99388</v>
      </c>
    </row>
    <row r="165" spans="3:24">
      <c r="X165" s="247">
        <f>X144-X145</f>
        <v>500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37</vt:i4>
      </vt:variant>
    </vt:vector>
  </HeadingPairs>
  <TitlesOfParts>
    <vt:vector size="52" baseType="lpstr">
      <vt:lpstr>Commentary</vt:lpstr>
      <vt:lpstr>pyUBreadings</vt:lpstr>
      <vt:lpstr>freq_coeff</vt:lpstr>
      <vt:lpstr>pyUBresults</vt:lpstr>
      <vt:lpstr>pyReport</vt:lpstr>
      <vt:lpstr>environment</vt:lpstr>
      <vt:lpstr>Historical</vt:lpstr>
      <vt:lpstr>Report</vt:lpstr>
      <vt:lpstr>Rpts_screenshots</vt:lpstr>
      <vt:lpstr>Results</vt:lpstr>
      <vt:lpstr>AH2700A results</vt:lpstr>
      <vt:lpstr>Room data logger</vt:lpstr>
      <vt:lpstr>Universal Bridge</vt:lpstr>
      <vt:lpstr>Uncertainty</vt:lpstr>
      <vt:lpstr>Previous History</vt:lpstr>
      <vt:lpstr>alpha</vt:lpstr>
      <vt:lpstr>beta</vt:lpstr>
      <vt:lpstr>C_1</vt:lpstr>
      <vt:lpstr>correction_c</vt:lpstr>
      <vt:lpstr>corrections</vt:lpstr>
      <vt:lpstr>Data</vt:lpstr>
      <vt:lpstr>Date</vt:lpstr>
      <vt:lpstr>G_1</vt:lpstr>
      <vt:lpstr>G_2</vt:lpstr>
      <vt:lpstr>history</vt:lpstr>
      <vt:lpstr>Inductance</vt:lpstr>
      <vt:lpstr>inductor1</vt:lpstr>
      <vt:lpstr>L_standard_uncertainty</vt:lpstr>
      <vt:lpstr>L_unit_multiplier</vt:lpstr>
      <vt:lpstr>L_v</vt:lpstr>
      <vt:lpstr>label</vt:lpstr>
      <vt:lpstr>multiplier</vt:lpstr>
      <vt:lpstr>Nominal_Value</vt:lpstr>
      <vt:lpstr>Old_Inductance</vt:lpstr>
      <vt:lpstr>Old_Resistance</vt:lpstr>
      <vt:lpstr>Params</vt:lpstr>
      <vt:lpstr>previous</vt:lpstr>
      <vt:lpstr>Report!Print_Area</vt:lpstr>
      <vt:lpstr>R_4A</vt:lpstr>
      <vt:lpstr>R_4B</vt:lpstr>
      <vt:lpstr>R_4C</vt:lpstr>
      <vt:lpstr>R_standard_uncertainty</vt:lpstr>
      <vt:lpstr>R_unit_multiplier</vt:lpstr>
      <vt:lpstr>R_v</vt:lpstr>
      <vt:lpstr>Range</vt:lpstr>
      <vt:lpstr>Rangex</vt:lpstr>
      <vt:lpstr>Record</vt:lpstr>
      <vt:lpstr>Resistance</vt:lpstr>
      <vt:lpstr>Results</vt:lpstr>
      <vt:lpstr>ub_uncertainty</vt:lpstr>
      <vt:lpstr>Uncertainty</vt:lpstr>
      <vt:lpstr>zeros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Gabriel</dc:creator>
  <dc:description/>
  <cp:lastModifiedBy>Keith Jones</cp:lastModifiedBy>
  <cp:revision>21</cp:revision>
  <cp:lastPrinted>2020-11-11T04:19:38Z</cp:lastPrinted>
  <dcterms:created xsi:type="dcterms:W3CDTF">1999-09-28T04:51:25Z</dcterms:created>
  <dcterms:modified xsi:type="dcterms:W3CDTF">2025-06-19T01:37:07Z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MSIP_Label_fc0f3317-728b-413c-82e7-a8128c12a6dd_Enabled">
    <vt:lpwstr>True</vt:lpwstr>
  </property>
  <property fmtid="{D5CDD505-2E9C-101B-9397-08002B2CF9AE}" pid="4" name="MSIP_Label_fc0f3317-728b-413c-82e7-a8128c12a6dd_SiteId">
    <vt:lpwstr>ca6b2569-0949-4176-9e40-a0a96aea7b0a</vt:lpwstr>
  </property>
  <property fmtid="{D5CDD505-2E9C-101B-9397-08002B2CF9AE}" pid="5" name="MSIP_Label_fc0f3317-728b-413c-82e7-a8128c12a6dd_SetDate">
    <vt:lpwstr>2025-06-11T22:18:14Z</vt:lpwstr>
  </property>
  <property fmtid="{D5CDD505-2E9C-101B-9397-08002B2CF9AE}" pid="6" name="MSIP_Label_fc0f3317-728b-413c-82e7-a8128c12a6dd_Name">
    <vt:lpwstr>IN CONFIDENCE \ IN CONFIDENCE - GENERAL</vt:lpwstr>
  </property>
  <property fmtid="{D5CDD505-2E9C-101B-9397-08002B2CF9AE}" pid="7" name="MSIP_Label_fc0f3317-728b-413c-82e7-a8128c12a6dd_ActionId">
    <vt:lpwstr>bec9a22e-83ba-4372-9119-19548ca1324a</vt:lpwstr>
  </property>
  <property fmtid="{D5CDD505-2E9C-101B-9397-08002B2CF9AE}" pid="8" name="MSIP_Label_fc0f3317-728b-413c-82e7-a8128c12a6dd_Removed">
    <vt:lpwstr>False</vt:lpwstr>
  </property>
  <property fmtid="{D5CDD505-2E9C-101B-9397-08002B2CF9AE}" pid="9" name="MSIP_Label_fc0f3317-728b-413c-82e7-a8128c12a6dd_Parent">
    <vt:lpwstr>265697db-d5ef-4ba1-9369-9cb9f8da9114</vt:lpwstr>
  </property>
  <property fmtid="{D5CDD505-2E9C-101B-9397-08002B2CF9AE}" pid="10" name="MSIP_Label_fc0f3317-728b-413c-82e7-a8128c12a6dd_Extended_MSFT_Method">
    <vt:lpwstr>Standard</vt:lpwstr>
  </property>
  <property fmtid="{D5CDD505-2E9C-101B-9397-08002B2CF9AE}" pid="11" name="MSIP_Label_265697db-d5ef-4ba1-9369-9cb9f8da9114_Enabled">
    <vt:lpwstr>True</vt:lpwstr>
  </property>
  <property fmtid="{D5CDD505-2E9C-101B-9397-08002B2CF9AE}" pid="12" name="MSIP_Label_265697db-d5ef-4ba1-9369-9cb9f8da9114_SiteId">
    <vt:lpwstr>ca6b2569-0949-4176-9e40-a0a96aea7b0a</vt:lpwstr>
  </property>
  <property fmtid="{D5CDD505-2E9C-101B-9397-08002B2CF9AE}" pid="13" name="MSIP_Label_265697db-d5ef-4ba1-9369-9cb9f8da9114_SetDate">
    <vt:lpwstr>2025-06-11T22:18:14Z</vt:lpwstr>
  </property>
  <property fmtid="{D5CDD505-2E9C-101B-9397-08002B2CF9AE}" pid="14" name="MSIP_Label_265697db-d5ef-4ba1-9369-9cb9f8da9114_Name">
    <vt:lpwstr>IN CONFIDENCE</vt:lpwstr>
  </property>
  <property fmtid="{D5CDD505-2E9C-101B-9397-08002B2CF9AE}" pid="15" name="MSIP_Label_265697db-d5ef-4ba1-9369-9cb9f8da9114_ActionId">
    <vt:lpwstr>e872628c-8ece-4670-8bd8-7712a7ebbc19</vt:lpwstr>
  </property>
  <property fmtid="{D5CDD505-2E9C-101B-9397-08002B2CF9AE}" pid="16" name="MSIP_Label_265697db-d5ef-4ba1-9369-9cb9f8da9114_Extended_MSFT_Method">
    <vt:lpwstr>Standard</vt:lpwstr>
  </property>
  <property fmtid="{D5CDD505-2E9C-101B-9397-08002B2CF9AE}" pid="17" name="Sensitivity">
    <vt:lpwstr>IN CONFIDENCE \ IN CONFIDENCE - GENERAL IN CONFIDENCE</vt:lpwstr>
  </property>
</Properties>
</file>