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KJ\PycharmProjects\UniversalBridge3\"/>
    </mc:Choice>
  </mc:AlternateContent>
  <xr:revisionPtr revIDLastSave="0" documentId="13_ncr:1_{0F428CAE-7075-4EEF-8F06-0367226904A3}" xr6:coauthVersionLast="47" xr6:coauthVersionMax="47" xr10:uidLastSave="{00000000-0000-0000-0000-000000000000}"/>
  <bookViews>
    <workbookView xWindow="14550" yWindow="-16320" windowWidth="29040" windowHeight="15990" firstSheet="3" activeTab="10" xr2:uid="{00000000-000D-0000-FFFF-FFFF00000000}"/>
  </bookViews>
  <sheets>
    <sheet name="DumpWord" sheetId="23" r:id="rId1"/>
    <sheet name="DumpScite" sheetId="22" r:id="rId2"/>
    <sheet name="Read Me" sheetId="19" r:id="rId3"/>
    <sheet name="Calibration" sheetId="17" r:id="rId4"/>
    <sheet name="Comparision" sheetId="25" r:id="rId5"/>
    <sheet name="Original readings" sheetId="24" r:id="rId6"/>
    <sheet name="Short, Open, Phase" sheetId="1" r:id="rId7"/>
    <sheet name="Resistors" sheetId="2" r:id="rId8"/>
    <sheet name="docx" sheetId="20" r:id="rId9"/>
    <sheet name="L and C" sheetId="3" r:id="rId10"/>
    <sheet name="Results" sheetId="27" r:id="rId11"/>
    <sheet name="csv_data" sheetId="26" r:id="rId12"/>
    <sheet name="Corrections" sheetId="4" r:id="rId13"/>
    <sheet name="Uncertainties" sheetId="5" r:id="rId14"/>
    <sheet name="ESI_check" sheetId="21" r:id="rId15"/>
  </sheets>
  <definedNames>
    <definedName name="C_1">Corrections!$C$4</definedName>
    <definedName name="correction_c">Corrections!$E$12</definedName>
    <definedName name="Corrections">Corrections!$B$26:$E$39</definedName>
    <definedName name="Data">Corrections!$I$2:$Q$12</definedName>
    <definedName name="G_1" localSheetId="12">Corrections!$C$8</definedName>
    <definedName name="G_1">'L and C'!$G$7</definedName>
    <definedName name="G_2" localSheetId="12">Corrections!$C$9</definedName>
    <definedName name="G_2">'L and C'!$G$8</definedName>
    <definedName name="label">Uncertainties!$B$18</definedName>
    <definedName name="R_4A" localSheetId="12">Corrections!$C$5</definedName>
    <definedName name="R_4A">'L and C'!$G$4</definedName>
    <definedName name="R_4B" localSheetId="12">Corrections!$C$6</definedName>
    <definedName name="R_4B">'L and C'!$G$5</definedName>
    <definedName name="R_4C" localSheetId="12">Corrections!$C$7</definedName>
    <definedName name="R_4C">'L and C'!$G$6</definedName>
    <definedName name="Record">Corrections!#REF!</definedName>
    <definedName name="Results">Corrections!$A$3:$N$26</definedName>
    <definedName name="test_c">Resistors!$C$76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4" i="27" l="1"/>
  <c r="I85" i="27"/>
  <c r="I86" i="27"/>
  <c r="I87" i="27"/>
  <c r="I88" i="27"/>
  <c r="I89" i="27"/>
  <c r="I90" i="27"/>
  <c r="I91" i="27"/>
  <c r="I83" i="27"/>
  <c r="I76" i="27"/>
  <c r="I77" i="27"/>
  <c r="I78" i="27"/>
  <c r="I79" i="27"/>
  <c r="I75" i="27"/>
  <c r="B141" i="26"/>
  <c r="C141" i="26"/>
  <c r="F141" i="26"/>
  <c r="G141" i="26"/>
  <c r="B142" i="26"/>
  <c r="C142" i="26"/>
  <c r="F142" i="26"/>
  <c r="G142" i="26"/>
  <c r="B143" i="26"/>
  <c r="C143" i="26"/>
  <c r="F143" i="26"/>
  <c r="G143" i="26"/>
  <c r="B144" i="26"/>
  <c r="C144" i="26"/>
  <c r="F144" i="26"/>
  <c r="G144" i="26"/>
  <c r="B145" i="26"/>
  <c r="C145" i="26"/>
  <c r="F145" i="26"/>
  <c r="G145" i="26"/>
  <c r="B146" i="26"/>
  <c r="C146" i="26"/>
  <c r="F146" i="26"/>
  <c r="G146" i="26"/>
  <c r="B147" i="26"/>
  <c r="C147" i="26"/>
  <c r="F147" i="26"/>
  <c r="G147" i="26"/>
  <c r="B148" i="26"/>
  <c r="C148" i="26"/>
  <c r="F148" i="26"/>
  <c r="G148" i="26"/>
  <c r="G140" i="26"/>
  <c r="F140" i="26"/>
  <c r="C140" i="26"/>
  <c r="B140" i="26"/>
  <c r="B134" i="26"/>
  <c r="C134" i="26"/>
  <c r="D134" i="26"/>
  <c r="E134" i="26"/>
  <c r="F134" i="26"/>
  <c r="G134" i="26"/>
  <c r="B135" i="26"/>
  <c r="C135" i="26"/>
  <c r="D135" i="26"/>
  <c r="E135" i="26"/>
  <c r="F135" i="26"/>
  <c r="G135" i="26"/>
  <c r="B136" i="26"/>
  <c r="C136" i="26"/>
  <c r="D136" i="26"/>
  <c r="E136" i="26"/>
  <c r="F136" i="26"/>
  <c r="G136" i="26"/>
  <c r="B137" i="26"/>
  <c r="C137" i="26"/>
  <c r="D137" i="26"/>
  <c r="E137" i="26"/>
  <c r="F137" i="26"/>
  <c r="G137" i="26"/>
  <c r="G133" i="26"/>
  <c r="F133" i="26"/>
  <c r="C133" i="26"/>
  <c r="D133" i="26"/>
  <c r="E133" i="26"/>
  <c r="B133" i="26"/>
  <c r="E117" i="26" l="1"/>
  <c r="E116" i="26"/>
  <c r="D117" i="26"/>
  <c r="D116" i="26"/>
  <c r="C117" i="26"/>
  <c r="C116" i="26"/>
  <c r="B117" i="26"/>
  <c r="B116" i="26"/>
  <c r="E115" i="26"/>
  <c r="E114" i="26"/>
  <c r="D115" i="26"/>
  <c r="D114" i="26"/>
  <c r="C115" i="26"/>
  <c r="C114" i="26"/>
  <c r="B115" i="26"/>
  <c r="B114" i="26"/>
  <c r="E113" i="26"/>
  <c r="E112" i="26"/>
  <c r="D113" i="26"/>
  <c r="D112" i="26"/>
  <c r="C113" i="26"/>
  <c r="C112" i="26"/>
  <c r="B113" i="26"/>
  <c r="B112" i="26"/>
  <c r="E111" i="26"/>
  <c r="E110" i="26"/>
  <c r="D111" i="26"/>
  <c r="D110" i="26"/>
  <c r="C111" i="26"/>
  <c r="C110" i="26"/>
  <c r="B111" i="26"/>
  <c r="B110" i="26"/>
  <c r="E109" i="26"/>
  <c r="E108" i="26"/>
  <c r="D109" i="26"/>
  <c r="D108" i="26"/>
  <c r="C109" i="26"/>
  <c r="C108" i="26"/>
  <c r="B109" i="26"/>
  <c r="B108" i="26"/>
  <c r="E107" i="26"/>
  <c r="E106" i="26"/>
  <c r="D107" i="26"/>
  <c r="D106" i="26"/>
  <c r="C107" i="26"/>
  <c r="C106" i="26"/>
  <c r="B107" i="26"/>
  <c r="B106" i="26"/>
  <c r="E105" i="26"/>
  <c r="D105" i="26"/>
  <c r="E104" i="26"/>
  <c r="D104" i="26"/>
  <c r="C105" i="26"/>
  <c r="B105" i="26"/>
  <c r="C104" i="26"/>
  <c r="B104" i="26"/>
  <c r="B82" i="26"/>
  <c r="B81" i="26"/>
  <c r="N52" i="2"/>
  <c r="H45" i="2"/>
  <c r="E45" i="2"/>
  <c r="E49" i="2"/>
  <c r="L71" i="27"/>
  <c r="L70" i="27"/>
  <c r="L69" i="27"/>
  <c r="L68" i="27"/>
  <c r="L67" i="27"/>
  <c r="L66" i="27"/>
  <c r="L65" i="27"/>
  <c r="L64" i="27"/>
  <c r="L63" i="27"/>
  <c r="L62" i="27"/>
  <c r="L61" i="27"/>
  <c r="L60" i="27"/>
  <c r="L59" i="27"/>
  <c r="L58" i="27"/>
  <c r="K71" i="27"/>
  <c r="J71" i="27"/>
  <c r="I71" i="27"/>
  <c r="K70" i="27"/>
  <c r="J70" i="27"/>
  <c r="I70" i="27"/>
  <c r="K69" i="27"/>
  <c r="J69" i="27"/>
  <c r="I69" i="27"/>
  <c r="K68" i="27"/>
  <c r="J68" i="27"/>
  <c r="I68" i="27"/>
  <c r="K67" i="27"/>
  <c r="J67" i="27"/>
  <c r="I67" i="27"/>
  <c r="K66" i="27"/>
  <c r="J66" i="27"/>
  <c r="I66" i="27"/>
  <c r="K65" i="27"/>
  <c r="J65" i="27"/>
  <c r="I65" i="27"/>
  <c r="K64" i="27"/>
  <c r="J64" i="27"/>
  <c r="I64" i="27"/>
  <c r="K63" i="27"/>
  <c r="J63" i="27"/>
  <c r="I63" i="27"/>
  <c r="K62" i="27"/>
  <c r="J62" i="27"/>
  <c r="I62" i="27"/>
  <c r="K61" i="27"/>
  <c r="J61" i="27"/>
  <c r="N61" i="27" s="1"/>
  <c r="I61" i="27"/>
  <c r="K60" i="27"/>
  <c r="J60" i="27"/>
  <c r="I60" i="27"/>
  <c r="K59" i="27"/>
  <c r="J59" i="27"/>
  <c r="I59" i="27"/>
  <c r="K58" i="27"/>
  <c r="J58" i="27"/>
  <c r="I58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B92" i="26"/>
  <c r="C92" i="26"/>
  <c r="D92" i="26"/>
  <c r="E92" i="26"/>
  <c r="B93" i="26"/>
  <c r="C93" i="26"/>
  <c r="D93" i="26"/>
  <c r="E93" i="26"/>
  <c r="B94" i="26"/>
  <c r="C94" i="26"/>
  <c r="D94" i="26"/>
  <c r="E94" i="26"/>
  <c r="B95" i="26"/>
  <c r="C95" i="26"/>
  <c r="D95" i="26"/>
  <c r="E95" i="26"/>
  <c r="B96" i="26"/>
  <c r="C96" i="26"/>
  <c r="D96" i="26"/>
  <c r="E96" i="26"/>
  <c r="B97" i="26"/>
  <c r="C97" i="26"/>
  <c r="D97" i="26"/>
  <c r="E97" i="26"/>
  <c r="B98" i="26"/>
  <c r="C98" i="26"/>
  <c r="D98" i="26"/>
  <c r="E98" i="26"/>
  <c r="B99" i="26"/>
  <c r="C99" i="26"/>
  <c r="D99" i="26"/>
  <c r="E99" i="26"/>
  <c r="B100" i="26"/>
  <c r="C100" i="26"/>
  <c r="D100" i="26"/>
  <c r="E100" i="26"/>
  <c r="B101" i="26"/>
  <c r="C101" i="26"/>
  <c r="D101" i="26"/>
  <c r="E101" i="26"/>
  <c r="D91" i="26"/>
  <c r="E91" i="26"/>
  <c r="C91" i="26"/>
  <c r="B91" i="26"/>
  <c r="E90" i="26"/>
  <c r="D90" i="26"/>
  <c r="C90" i="26"/>
  <c r="B90" i="26"/>
  <c r="E89" i="26"/>
  <c r="D89" i="26"/>
  <c r="C89" i="26"/>
  <c r="B89" i="26"/>
  <c r="E88" i="26"/>
  <c r="D88" i="26"/>
  <c r="C88" i="26"/>
  <c r="B88" i="26"/>
  <c r="C83" i="26"/>
  <c r="B83" i="26"/>
  <c r="C84" i="26"/>
  <c r="B84" i="26"/>
  <c r="B85" i="26"/>
  <c r="C85" i="26"/>
  <c r="C78" i="26"/>
  <c r="B78" i="26"/>
  <c r="C77" i="26"/>
  <c r="B77" i="26"/>
  <c r="C76" i="26"/>
  <c r="B76" i="26"/>
  <c r="C75" i="26"/>
  <c r="B75" i="26"/>
  <c r="C74" i="26"/>
  <c r="B74" i="26"/>
  <c r="C73" i="26"/>
  <c r="B73" i="26"/>
  <c r="C72" i="26"/>
  <c r="B72" i="26"/>
  <c r="C70" i="26"/>
  <c r="B70" i="26"/>
  <c r="C69" i="26"/>
  <c r="B69" i="26"/>
  <c r="C68" i="26"/>
  <c r="B68" i="26"/>
  <c r="B67" i="26"/>
  <c r="C67" i="26"/>
  <c r="B71" i="26"/>
  <c r="C71" i="26"/>
  <c r="B66" i="26"/>
  <c r="C66" i="26"/>
  <c r="C65" i="26"/>
  <c r="C82" i="26" s="1"/>
  <c r="B65" i="26"/>
  <c r="B64" i="26"/>
  <c r="C64" i="26"/>
  <c r="C81" i="26" s="1"/>
  <c r="C51" i="26"/>
  <c r="B51" i="26"/>
  <c r="D50" i="26"/>
  <c r="D51" i="26" s="1"/>
  <c r="C50" i="26"/>
  <c r="B50" i="26"/>
  <c r="C49" i="26"/>
  <c r="B49" i="26"/>
  <c r="D48" i="26"/>
  <c r="C48" i="26"/>
  <c r="B48" i="26"/>
  <c r="B47" i="26"/>
  <c r="D46" i="26"/>
  <c r="C46" i="26"/>
  <c r="B46" i="26"/>
  <c r="C53" i="26"/>
  <c r="B53" i="26"/>
  <c r="D52" i="26"/>
  <c r="C52" i="26"/>
  <c r="B52" i="26"/>
  <c r="C47" i="26"/>
  <c r="D60" i="26"/>
  <c r="D58" i="26"/>
  <c r="D56" i="26"/>
  <c r="D54" i="26"/>
  <c r="B29" i="26"/>
  <c r="C29" i="26"/>
  <c r="C28" i="26"/>
  <c r="B28" i="26"/>
  <c r="B24" i="26"/>
  <c r="C24" i="26"/>
  <c r="B25" i="26"/>
  <c r="C25" i="26"/>
  <c r="B26" i="26"/>
  <c r="C26" i="26"/>
  <c r="B27" i="26"/>
  <c r="C27" i="26"/>
  <c r="C23" i="26"/>
  <c r="B23" i="26"/>
  <c r="B17" i="26"/>
  <c r="C17" i="26"/>
  <c r="B18" i="26"/>
  <c r="C18" i="26"/>
  <c r="B19" i="26"/>
  <c r="C19" i="26"/>
  <c r="B20" i="26"/>
  <c r="C20" i="26"/>
  <c r="B21" i="26"/>
  <c r="C21" i="26"/>
  <c r="B22" i="26"/>
  <c r="C22" i="26"/>
  <c r="C16" i="26"/>
  <c r="B16" i="26"/>
  <c r="R16" i="17"/>
  <c r="Q16" i="17"/>
  <c r="R15" i="17"/>
  <c r="Q15" i="17"/>
  <c r="R14" i="17"/>
  <c r="Q14" i="17"/>
  <c r="R13" i="17"/>
  <c r="Q13" i="17"/>
  <c r="R12" i="17"/>
  <c r="Q12" i="17"/>
  <c r="R11" i="17"/>
  <c r="Q11" i="17"/>
  <c r="R10" i="17"/>
  <c r="R9" i="17"/>
  <c r="Q9" i="17"/>
  <c r="R8" i="17"/>
  <c r="Q8" i="17"/>
  <c r="R7" i="17"/>
  <c r="Q7" i="17"/>
  <c r="B4" i="26" s="1"/>
  <c r="R6" i="17"/>
  <c r="Q6" i="17"/>
  <c r="B7" i="26"/>
  <c r="B3" i="26"/>
  <c r="C3" i="26" s="1"/>
  <c r="K16" i="17"/>
  <c r="M60" i="27" l="1"/>
  <c r="N71" i="27"/>
  <c r="M67" i="27"/>
  <c r="N64" i="27"/>
  <c r="M62" i="27"/>
  <c r="N62" i="27"/>
  <c r="M69" i="27"/>
  <c r="M59" i="27"/>
  <c r="M61" i="27"/>
  <c r="M65" i="27"/>
  <c r="N63" i="27"/>
  <c r="M68" i="27"/>
  <c r="N68" i="27"/>
  <c r="N65" i="27"/>
  <c r="M58" i="27"/>
  <c r="N58" i="27"/>
  <c r="M66" i="27"/>
  <c r="M63" i="27"/>
  <c r="N59" i="27"/>
  <c r="M71" i="27"/>
  <c r="M70" i="27"/>
  <c r="N70" i="27"/>
  <c r="N69" i="27"/>
  <c r="N67" i="27"/>
  <c r="N66" i="27"/>
  <c r="M64" i="27"/>
  <c r="N60" i="27"/>
  <c r="C4" i="26" l="1"/>
  <c r="D47" i="26"/>
  <c r="D49" i="26"/>
  <c r="D53" i="26"/>
  <c r="D55" i="26"/>
  <c r="D57" i="26"/>
  <c r="D59" i="26"/>
  <c r="D61" i="26"/>
  <c r="I11" i="3"/>
  <c r="F11" i="3"/>
  <c r="I10" i="3"/>
  <c r="G10" i="3"/>
  <c r="F9" i="3"/>
  <c r="F8" i="3"/>
  <c r="F7" i="3"/>
  <c r="G6" i="3"/>
  <c r="F25" i="3"/>
  <c r="G24" i="3"/>
  <c r="F24" i="3"/>
  <c r="G23" i="3"/>
  <c r="F23" i="3"/>
  <c r="G22" i="3"/>
  <c r="F22" i="3"/>
  <c r="F21" i="3"/>
  <c r="G21" i="3"/>
  <c r="G20" i="3"/>
  <c r="F20" i="3"/>
  <c r="G19" i="3"/>
  <c r="F19" i="3"/>
  <c r="J59" i="2"/>
  <c r="I59" i="2"/>
  <c r="J60" i="2"/>
  <c r="I60" i="2"/>
  <c r="J61" i="2"/>
  <c r="I61" i="2"/>
  <c r="G61" i="2"/>
  <c r="J62" i="2"/>
  <c r="I62" i="2"/>
  <c r="G62" i="2"/>
  <c r="I63" i="2"/>
  <c r="J64" i="2"/>
  <c r="I64" i="2"/>
  <c r="J65" i="2"/>
  <c r="G65" i="2"/>
  <c r="F65" i="2"/>
  <c r="J66" i="2"/>
  <c r="I66" i="2"/>
  <c r="F66" i="2"/>
  <c r="F67" i="2"/>
  <c r="J67" i="2"/>
  <c r="J68" i="2"/>
  <c r="F68" i="2"/>
  <c r="F69" i="2"/>
  <c r="J69" i="2"/>
  <c r="J70" i="2"/>
  <c r="F70" i="2"/>
  <c r="J71" i="2"/>
  <c r="F71" i="2"/>
  <c r="J72" i="2"/>
  <c r="F72" i="2"/>
  <c r="I47" i="2"/>
  <c r="F50" i="2"/>
  <c r="E50" i="2"/>
  <c r="F49" i="2"/>
  <c r="F48" i="2"/>
  <c r="E48" i="2"/>
  <c r="F47" i="2"/>
  <c r="E47" i="2"/>
  <c r="E24" i="2"/>
  <c r="F24" i="2"/>
  <c r="G24" i="2" l="1"/>
  <c r="F20" i="2" l="1"/>
  <c r="G20" i="2" s="1"/>
  <c r="E20" i="2"/>
  <c r="F18" i="2"/>
  <c r="F40" i="2" s="1"/>
  <c r="E18" i="2"/>
  <c r="E40" i="2" s="1"/>
  <c r="B8" i="2"/>
  <c r="O8" i="25" l="1"/>
  <c r="L8" i="17"/>
  <c r="F19" i="2" l="1"/>
  <c r="F41" i="2" s="1"/>
  <c r="E19" i="2"/>
  <c r="E41" i="2" s="1"/>
  <c r="B19" i="2"/>
  <c r="B18" i="2"/>
  <c r="F23" i="2"/>
  <c r="F45" i="2" s="1"/>
  <c r="E23" i="2"/>
  <c r="B23" i="2"/>
  <c r="F22" i="2"/>
  <c r="F44" i="2" s="1"/>
  <c r="E22" i="2"/>
  <c r="E44" i="2" s="1"/>
  <c r="B22" i="2"/>
  <c r="F21" i="2"/>
  <c r="E21" i="2"/>
  <c r="B21" i="2"/>
  <c r="F17" i="2"/>
  <c r="E17" i="2"/>
  <c r="B17" i="2"/>
  <c r="F16" i="2"/>
  <c r="E16" i="2"/>
  <c r="L12" i="2"/>
  <c r="E11" i="2"/>
  <c r="B16" i="2"/>
  <c r="F15" i="2"/>
  <c r="F36" i="2" s="1"/>
  <c r="E15" i="2"/>
  <c r="E36" i="2" s="1"/>
  <c r="B15" i="2"/>
  <c r="F14" i="2"/>
  <c r="F37" i="2" s="1"/>
  <c r="E14" i="2"/>
  <c r="E37" i="2" s="1"/>
  <c r="B14" i="2"/>
  <c r="F13" i="2"/>
  <c r="E13" i="2"/>
  <c r="B13" i="2"/>
  <c r="E12" i="2"/>
  <c r="F12" i="2"/>
  <c r="B12" i="2"/>
  <c r="F11" i="2"/>
  <c r="F10" i="2"/>
  <c r="E10" i="2"/>
  <c r="B11" i="2"/>
  <c r="B10" i="2"/>
  <c r="F9" i="2"/>
  <c r="E9" i="2"/>
  <c r="B9" i="2"/>
  <c r="F8" i="2"/>
  <c r="E8" i="2"/>
  <c r="F43" i="2" l="1"/>
  <c r="F42" i="2"/>
  <c r="E43" i="2"/>
  <c r="E42" i="2"/>
  <c r="G18" i="2"/>
  <c r="G15" i="2"/>
  <c r="G17" i="2"/>
  <c r="G22" i="2"/>
  <c r="G16" i="2"/>
  <c r="G14" i="2"/>
  <c r="G12" i="2"/>
  <c r="G9" i="2"/>
  <c r="G23" i="2"/>
  <c r="G13" i="2"/>
  <c r="G10" i="2"/>
  <c r="G21" i="2"/>
  <c r="G11" i="2"/>
  <c r="G19" i="2"/>
  <c r="L22" i="25" l="1"/>
  <c r="L21" i="25"/>
  <c r="L19" i="25"/>
  <c r="L18" i="25"/>
  <c r="L16" i="25"/>
  <c r="T8" i="25"/>
  <c r="L104" i="1"/>
  <c r="L103" i="1"/>
  <c r="H103" i="1"/>
  <c r="G103" i="1"/>
  <c r="L102" i="1"/>
  <c r="K102" i="1"/>
  <c r="D115" i="1" s="1"/>
  <c r="G115" i="1" s="1"/>
  <c r="H102" i="1"/>
  <c r="G102" i="1"/>
  <c r="C115" i="1" s="1"/>
  <c r="F115" i="1" s="1"/>
  <c r="L101" i="1"/>
  <c r="L100" i="1"/>
  <c r="G100" i="1"/>
  <c r="C113" i="1" s="1"/>
  <c r="F113" i="1" s="1"/>
  <c r="L99" i="1"/>
  <c r="H99" i="1"/>
  <c r="G99" i="1"/>
  <c r="C112" i="1" s="1"/>
  <c r="F112" i="1" s="1"/>
  <c r="K98" i="1"/>
  <c r="D111" i="1" s="1"/>
  <c r="G111" i="1" s="1"/>
  <c r="H98" i="1"/>
  <c r="L97" i="1"/>
  <c r="K97" i="1"/>
  <c r="D110" i="1" s="1"/>
  <c r="G110" i="1" s="1"/>
  <c r="E117" i="1"/>
  <c r="E116" i="1"/>
  <c r="E115" i="1"/>
  <c r="E114" i="1"/>
  <c r="D114" i="1"/>
  <c r="G114" i="1" s="1"/>
  <c r="E113" i="1"/>
  <c r="D113" i="1"/>
  <c r="G113" i="1" s="1"/>
  <c r="E112" i="1"/>
  <c r="D112" i="1"/>
  <c r="G112" i="1" s="1"/>
  <c r="E111" i="1"/>
  <c r="E110" i="1"/>
  <c r="C110" i="1"/>
  <c r="F110" i="1" s="1"/>
  <c r="K104" i="1"/>
  <c r="D117" i="1" s="1"/>
  <c r="G117" i="1" s="1"/>
  <c r="G104" i="1"/>
  <c r="C117" i="1" s="1"/>
  <c r="F117" i="1" s="1"/>
  <c r="K103" i="1"/>
  <c r="D116" i="1" s="1"/>
  <c r="G116" i="1" s="1"/>
  <c r="C116" i="1"/>
  <c r="F116" i="1" s="1"/>
  <c r="G101" i="1"/>
  <c r="C114" i="1" s="1"/>
  <c r="F114" i="1" s="1"/>
  <c r="C111" i="1"/>
  <c r="F111" i="1" s="1"/>
  <c r="H112" i="1" l="1"/>
  <c r="H115" i="1"/>
  <c r="H117" i="1"/>
  <c r="H111" i="1"/>
  <c r="H116" i="1"/>
  <c r="H110" i="1"/>
  <c r="F119" i="1"/>
  <c r="F118" i="1"/>
  <c r="G119" i="1"/>
  <c r="G118" i="1"/>
  <c r="H113" i="1"/>
  <c r="H114" i="1"/>
  <c r="H119" i="1" l="1"/>
  <c r="H118" i="1"/>
  <c r="E84" i="1" l="1"/>
  <c r="E83" i="1"/>
  <c r="E82" i="1"/>
  <c r="D82" i="1"/>
  <c r="G82" i="1" s="1"/>
  <c r="E81" i="1"/>
  <c r="D81" i="1"/>
  <c r="G81" i="1" s="1"/>
  <c r="C81" i="1"/>
  <c r="F81" i="1" s="1"/>
  <c r="G80" i="1"/>
  <c r="E80" i="1"/>
  <c r="D80" i="1"/>
  <c r="E79" i="1"/>
  <c r="D79" i="1"/>
  <c r="G79" i="1" s="1"/>
  <c r="E78" i="1"/>
  <c r="D78" i="1"/>
  <c r="G78" i="1" s="1"/>
  <c r="C78" i="1"/>
  <c r="F78" i="1" s="1"/>
  <c r="H78" i="1" s="1"/>
  <c r="E77" i="1"/>
  <c r="C77" i="1"/>
  <c r="F77" i="1" s="1"/>
  <c r="L71" i="1"/>
  <c r="K71" i="1"/>
  <c r="D84" i="1" s="1"/>
  <c r="G84" i="1" s="1"/>
  <c r="G71" i="1"/>
  <c r="C84" i="1" s="1"/>
  <c r="F84" i="1" s="1"/>
  <c r="L70" i="1"/>
  <c r="K70" i="1"/>
  <c r="D83" i="1" s="1"/>
  <c r="G83" i="1" s="1"/>
  <c r="H70" i="1"/>
  <c r="G70" i="1"/>
  <c r="C83" i="1" s="1"/>
  <c r="F83" i="1" s="1"/>
  <c r="L69" i="1"/>
  <c r="H69" i="1"/>
  <c r="G69" i="1"/>
  <c r="C82" i="1" s="1"/>
  <c r="F82" i="1" s="1"/>
  <c r="L68" i="1"/>
  <c r="G68" i="1"/>
  <c r="L67" i="1"/>
  <c r="G67" i="1"/>
  <c r="C80" i="1" s="1"/>
  <c r="F80" i="1" s="1"/>
  <c r="L66" i="1"/>
  <c r="H66" i="1"/>
  <c r="G66" i="1"/>
  <c r="C79" i="1" s="1"/>
  <c r="F79" i="1" s="1"/>
  <c r="K65" i="1"/>
  <c r="H65" i="1"/>
  <c r="G65" i="1"/>
  <c r="L64" i="1"/>
  <c r="K64" i="1"/>
  <c r="D77" i="1" s="1"/>
  <c r="G77" i="1" s="1"/>
  <c r="L35" i="1"/>
  <c r="L34" i="1"/>
  <c r="L33" i="1"/>
  <c r="L32" i="1"/>
  <c r="K35" i="1"/>
  <c r="K34" i="1"/>
  <c r="G35" i="1"/>
  <c r="H34" i="1"/>
  <c r="G34" i="1"/>
  <c r="H33" i="1"/>
  <c r="G33" i="1"/>
  <c r="G32" i="1"/>
  <c r="G31" i="1"/>
  <c r="H30" i="1"/>
  <c r="G30" i="1"/>
  <c r="H29" i="1"/>
  <c r="G29" i="1"/>
  <c r="L31" i="1"/>
  <c r="L30" i="1"/>
  <c r="K29" i="1"/>
  <c r="L28" i="1"/>
  <c r="K28" i="1"/>
  <c r="H81" i="1" l="1"/>
  <c r="H82" i="1"/>
  <c r="H80" i="1"/>
  <c r="H79" i="1"/>
  <c r="G86" i="1"/>
  <c r="G85" i="1"/>
  <c r="H77" i="1"/>
  <c r="F86" i="1"/>
  <c r="F85" i="1"/>
  <c r="H84" i="1"/>
  <c r="H83" i="1"/>
  <c r="H86" i="1" l="1"/>
  <c r="H85" i="1"/>
  <c r="D19" i="1" l="1"/>
  <c r="D13" i="1"/>
  <c r="C13" i="1"/>
  <c r="D12" i="1"/>
  <c r="C12" i="1"/>
  <c r="D11" i="1"/>
  <c r="C11" i="1"/>
  <c r="D10" i="1"/>
  <c r="C10" i="1"/>
  <c r="D9" i="1"/>
  <c r="D8" i="1"/>
  <c r="D7" i="1"/>
  <c r="F47" i="17"/>
  <c r="L11" i="25"/>
  <c r="L13" i="25" s="1"/>
  <c r="L15" i="25" l="1"/>
  <c r="L12" i="25"/>
  <c r="H12" i="25"/>
  <c r="H11" i="25"/>
  <c r="H10" i="25"/>
  <c r="H9" i="25"/>
  <c r="H8" i="25"/>
  <c r="H7" i="25"/>
  <c r="H6" i="25"/>
  <c r="H5" i="25"/>
  <c r="H4" i="25"/>
  <c r="H3" i="25"/>
  <c r="G12" i="25"/>
  <c r="G11" i="25"/>
  <c r="G10" i="25"/>
  <c r="G9" i="25"/>
  <c r="G8" i="25"/>
  <c r="G7" i="25"/>
  <c r="G6" i="25"/>
  <c r="G5" i="25"/>
  <c r="G4" i="25"/>
  <c r="G3" i="25"/>
  <c r="F12" i="25"/>
  <c r="F11" i="25"/>
  <c r="F10" i="25"/>
  <c r="F9" i="25"/>
  <c r="F8" i="25"/>
  <c r="F7" i="25"/>
  <c r="F6" i="25"/>
  <c r="F5" i="25"/>
  <c r="F4" i="25"/>
  <c r="F3" i="25"/>
  <c r="O15" i="17"/>
  <c r="O14" i="17"/>
  <c r="O13" i="17"/>
  <c r="O12" i="17"/>
  <c r="O11" i="17"/>
  <c r="O10" i="17"/>
  <c r="O9" i="17"/>
  <c r="O8" i="17"/>
  <c r="O7" i="17"/>
  <c r="O16" i="17"/>
  <c r="O6" i="17"/>
  <c r="F10" i="17" l="1"/>
  <c r="C7" i="26" s="1"/>
  <c r="Q10" i="17"/>
  <c r="F9" i="17"/>
  <c r="E9" i="17"/>
  <c r="S60" i="2" l="1"/>
  <c r="I56" i="2"/>
  <c r="J47" i="2"/>
  <c r="O51" i="2"/>
  <c r="P51" i="2" s="1"/>
  <c r="Q51" i="2" s="1"/>
  <c r="H47" i="2" s="1"/>
  <c r="G47" i="2" s="1"/>
  <c r="H48" i="2" s="1"/>
  <c r="H49" i="2" l="1"/>
  <c r="G49" i="2" s="1"/>
  <c r="H50" i="2" s="1"/>
  <c r="L59" i="2" s="1"/>
  <c r="G48" i="2"/>
  <c r="S59" i="2"/>
  <c r="O27" i="2"/>
  <c r="P27" i="2" s="1"/>
  <c r="Q27" i="2" s="1"/>
  <c r="H30" i="2" s="1"/>
  <c r="S21" i="3"/>
  <c r="S20" i="3"/>
  <c r="S19" i="3"/>
  <c r="L60" i="2" l="1"/>
  <c r="D51" i="17"/>
  <c r="D50" i="17"/>
  <c r="D52" i="17" l="1"/>
  <c r="C52" i="17" s="1"/>
  <c r="A58" i="17" s="1"/>
  <c r="F17" i="17"/>
  <c r="C14" i="26" s="1"/>
  <c r="E17" i="17"/>
  <c r="F14" i="17"/>
  <c r="C11" i="26" s="1"/>
  <c r="E14" i="17"/>
  <c r="F13" i="17"/>
  <c r="C10" i="26" s="1"/>
  <c r="E13" i="17"/>
  <c r="F16" i="17"/>
  <c r="C13" i="26" s="1"/>
  <c r="E16" i="17"/>
  <c r="F12" i="17"/>
  <c r="C9" i="26" s="1"/>
  <c r="E12" i="17"/>
  <c r="F11" i="17"/>
  <c r="C8" i="26" s="1"/>
  <c r="E11" i="17"/>
  <c r="E10" i="17"/>
  <c r="E23" i="17" s="1"/>
  <c r="E22" i="17"/>
  <c r="B6" i="26" s="1"/>
  <c r="F8" i="17"/>
  <c r="E8" i="17"/>
  <c r="B5" i="26" s="1"/>
  <c r="J8" i="17"/>
  <c r="F15" i="17"/>
  <c r="C12" i="26" s="1"/>
  <c r="E15" i="17"/>
  <c r="E32" i="2"/>
  <c r="E33" i="2"/>
  <c r="E34" i="2"/>
  <c r="E39" i="2"/>
  <c r="B39" i="2" s="1"/>
  <c r="B37" i="2"/>
  <c r="B44" i="2"/>
  <c r="E35" i="2"/>
  <c r="E38" i="2"/>
  <c r="B38" i="2" s="1"/>
  <c r="B40" i="2"/>
  <c r="J30" i="2"/>
  <c r="I30" i="2"/>
  <c r="F32" i="2"/>
  <c r="F33" i="2"/>
  <c r="F34" i="2"/>
  <c r="F35" i="2"/>
  <c r="F38" i="2"/>
  <c r="F39" i="2"/>
  <c r="B45" i="2"/>
  <c r="C44" i="1"/>
  <c r="F44" i="1" s="1"/>
  <c r="D44" i="1"/>
  <c r="G44" i="1" s="1"/>
  <c r="C45" i="1"/>
  <c r="F45" i="1" s="1"/>
  <c r="D45" i="1"/>
  <c r="G45" i="1" s="1"/>
  <c r="C46" i="1"/>
  <c r="F46" i="1" s="1"/>
  <c r="D46" i="1"/>
  <c r="G46" i="1" s="1"/>
  <c r="C47" i="1"/>
  <c r="F47" i="1" s="1"/>
  <c r="D47" i="1"/>
  <c r="G47" i="1" s="1"/>
  <c r="C48" i="1"/>
  <c r="F48" i="1" s="1"/>
  <c r="D48" i="1"/>
  <c r="G48" i="1" s="1"/>
  <c r="C49" i="1"/>
  <c r="F49" i="1" s="1"/>
  <c r="D49" i="1"/>
  <c r="G49" i="1" s="1"/>
  <c r="C50" i="1"/>
  <c r="F50" i="1" s="1"/>
  <c r="D50" i="1"/>
  <c r="G50" i="1" s="1"/>
  <c r="C51" i="1"/>
  <c r="F51" i="1" s="1"/>
  <c r="D51" i="1"/>
  <c r="G51" i="1" s="1"/>
  <c r="K18" i="3"/>
  <c r="K19" i="3"/>
  <c r="K20" i="3"/>
  <c r="K21" i="3"/>
  <c r="K22" i="3"/>
  <c r="K23" i="3"/>
  <c r="K24" i="3"/>
  <c r="K17" i="3"/>
  <c r="R110" i="2"/>
  <c r="R122" i="2"/>
  <c r="S61" i="2"/>
  <c r="S62" i="2"/>
  <c r="S63" i="2"/>
  <c r="S64" i="2"/>
  <c r="S65" i="2"/>
  <c r="S66" i="2"/>
  <c r="S67" i="2"/>
  <c r="S68" i="2"/>
  <c r="S69" i="2"/>
  <c r="S70" i="2"/>
  <c r="S71" i="2"/>
  <c r="S72" i="2"/>
  <c r="E45" i="1"/>
  <c r="E46" i="1"/>
  <c r="E47" i="1"/>
  <c r="E48" i="1"/>
  <c r="E49" i="1"/>
  <c r="E50" i="1"/>
  <c r="E51" i="1"/>
  <c r="E44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F8" i="1"/>
  <c r="G8" i="1"/>
  <c r="F9" i="1"/>
  <c r="G9" i="1"/>
  <c r="F10" i="1"/>
  <c r="G10" i="1"/>
  <c r="F11" i="1"/>
  <c r="G11" i="1"/>
  <c r="F12" i="1"/>
  <c r="G12" i="1"/>
  <c r="F13" i="1"/>
  <c r="G13" i="1"/>
  <c r="G7" i="1"/>
  <c r="F7" i="1"/>
  <c r="E30" i="17" l="1"/>
  <c r="B14" i="26"/>
  <c r="E27" i="17"/>
  <c r="B11" i="26"/>
  <c r="E26" i="17"/>
  <c r="B10" i="26"/>
  <c r="E29" i="17"/>
  <c r="B13" i="26"/>
  <c r="E25" i="17"/>
  <c r="B9" i="26"/>
  <c r="E24" i="17"/>
  <c r="B8" i="26"/>
  <c r="F21" i="17"/>
  <c r="C5" i="26"/>
  <c r="E28" i="17"/>
  <c r="B12" i="26"/>
  <c r="G53" i="1"/>
  <c r="H21" i="17"/>
  <c r="F22" i="17"/>
  <c r="H9" i="17"/>
  <c r="F29" i="17"/>
  <c r="O29" i="17" s="1"/>
  <c r="H16" i="17"/>
  <c r="S74" i="2"/>
  <c r="S75" i="2"/>
  <c r="H8" i="17"/>
  <c r="F25" i="17"/>
  <c r="O25" i="17" s="1"/>
  <c r="H12" i="17"/>
  <c r="F30" i="17"/>
  <c r="O30" i="17" s="1"/>
  <c r="H17" i="17"/>
  <c r="F24" i="17"/>
  <c r="H11" i="17"/>
  <c r="F27" i="17"/>
  <c r="H14" i="17"/>
  <c r="F28" i="17"/>
  <c r="O28" i="17" s="1"/>
  <c r="H15" i="17"/>
  <c r="F23" i="17"/>
  <c r="O23" i="17" s="1"/>
  <c r="H10" i="17"/>
  <c r="F26" i="17"/>
  <c r="O26" i="17" s="1"/>
  <c r="H13" i="17"/>
  <c r="G52" i="1"/>
  <c r="H44" i="1"/>
  <c r="H45" i="1"/>
  <c r="H49" i="1"/>
  <c r="F53" i="1"/>
  <c r="F30" i="2"/>
  <c r="E21" i="17"/>
  <c r="E30" i="2"/>
  <c r="B30" i="2" s="1"/>
  <c r="H48" i="1"/>
  <c r="F52" i="1"/>
  <c r="H51" i="1"/>
  <c r="H50" i="1"/>
  <c r="H47" i="1"/>
  <c r="H46" i="1"/>
  <c r="O27" i="17" l="1"/>
  <c r="O24" i="17"/>
  <c r="O22" i="17"/>
  <c r="C6" i="26"/>
  <c r="O21" i="17"/>
  <c r="H53" i="1"/>
  <c r="H52" i="1"/>
  <c r="G30" i="2"/>
  <c r="N30" i="2" s="1"/>
  <c r="G8" i="2"/>
  <c r="G21" i="17"/>
  <c r="H28" i="17" s="1"/>
  <c r="C28" i="17" s="1"/>
  <c r="B58" i="17" s="1"/>
  <c r="C5" i="4" s="1"/>
  <c r="N21" i="17" l="1"/>
  <c r="H22" i="17"/>
  <c r="C9" i="21" s="1"/>
  <c r="D9" i="21" s="1"/>
  <c r="H32" i="2"/>
  <c r="H44" i="2"/>
  <c r="L64" i="2" s="1"/>
  <c r="C4" i="4"/>
  <c r="H25" i="17" l="1"/>
  <c r="G25" i="17" s="1"/>
  <c r="C22" i="17"/>
  <c r="H23" i="17"/>
  <c r="C23" i="17" s="1"/>
  <c r="H37" i="2"/>
  <c r="P37" i="2" s="1"/>
  <c r="C7" i="21"/>
  <c r="D7" i="21" s="1"/>
  <c r="H33" i="2"/>
  <c r="C33" i="2" s="1"/>
  <c r="C32" i="2"/>
  <c r="P32" i="2"/>
  <c r="L63" i="2"/>
  <c r="P44" i="2"/>
  <c r="C25" i="17" l="1"/>
  <c r="G23" i="17"/>
  <c r="H26" i="17" s="1"/>
  <c r="G37" i="2"/>
  <c r="H41" i="2" s="1"/>
  <c r="C5" i="21" s="1"/>
  <c r="D5" i="21" s="1"/>
  <c r="P33" i="2"/>
  <c r="G33" i="2"/>
  <c r="H35" i="2" s="1"/>
  <c r="N25" i="17"/>
  <c r="H30" i="17"/>
  <c r="C30" i="17" s="1"/>
  <c r="D58" i="17" s="1"/>
  <c r="C7" i="4" s="1"/>
  <c r="N37" i="2"/>
  <c r="H38" i="2" l="1"/>
  <c r="C38" i="2" s="1"/>
  <c r="H29" i="17"/>
  <c r="C29" i="17" s="1"/>
  <c r="C58" i="17" s="1"/>
  <c r="C6" i="4" s="1"/>
  <c r="G31" i="2"/>
  <c r="N31" i="2" s="1"/>
  <c r="D26" i="17"/>
  <c r="E58" i="17" s="1"/>
  <c r="C8" i="4" s="1"/>
  <c r="N23" i="17"/>
  <c r="P45" i="2"/>
  <c r="H27" i="17"/>
  <c r="D27" i="17" s="1"/>
  <c r="F58" i="17" s="1"/>
  <c r="C9" i="4" s="1"/>
  <c r="I27" i="4" s="1"/>
  <c r="N33" i="2"/>
  <c r="H36" i="2"/>
  <c r="H42" i="2"/>
  <c r="P41" i="2"/>
  <c r="L65" i="2"/>
  <c r="P35" i="2"/>
  <c r="C35" i="2"/>
  <c r="L66" i="2"/>
  <c r="H43" i="2" l="1"/>
  <c r="L61" i="2" s="1"/>
  <c r="P38" i="2"/>
  <c r="L68" i="2"/>
  <c r="L67" i="2"/>
  <c r="E28" i="4"/>
  <c r="D84" i="2" s="1"/>
  <c r="N67" i="2" s="1"/>
  <c r="P67" i="2" s="1"/>
  <c r="I32" i="4"/>
  <c r="D42" i="3" s="1"/>
  <c r="E34" i="4"/>
  <c r="D90" i="2" s="1"/>
  <c r="M70" i="2" s="1"/>
  <c r="J38" i="4"/>
  <c r="E48" i="3" s="1"/>
  <c r="I34" i="4"/>
  <c r="D44" i="3" s="1"/>
  <c r="D34" i="4"/>
  <c r="C90" i="2" s="1"/>
  <c r="J29" i="4"/>
  <c r="E39" i="3" s="1"/>
  <c r="N9" i="3" s="1"/>
  <c r="Q9" i="3" s="1"/>
  <c r="D38" i="4"/>
  <c r="C94" i="2" s="1"/>
  <c r="D33" i="4"/>
  <c r="C89" i="2" s="1"/>
  <c r="I35" i="4"/>
  <c r="D45" i="3" s="1"/>
  <c r="E32" i="4"/>
  <c r="D88" i="2" s="1"/>
  <c r="N59" i="2" s="1"/>
  <c r="P59" i="2" s="1"/>
  <c r="E35" i="4"/>
  <c r="D91" i="2" s="1"/>
  <c r="M68" i="2" s="1"/>
  <c r="I26" i="4"/>
  <c r="D36" i="3" s="1"/>
  <c r="M6" i="3" s="1"/>
  <c r="P6" i="3" s="1"/>
  <c r="U6" i="3" s="1"/>
  <c r="E39" i="4"/>
  <c r="D95" i="2" s="1"/>
  <c r="M59" i="2" s="1"/>
  <c r="D32" i="4"/>
  <c r="C88" i="2" s="1"/>
  <c r="J31" i="4"/>
  <c r="E41" i="3" s="1"/>
  <c r="E31" i="4"/>
  <c r="D87" i="2" s="1"/>
  <c r="J33" i="4"/>
  <c r="E43" i="3" s="1"/>
  <c r="J35" i="4"/>
  <c r="E45" i="3" s="1"/>
  <c r="D35" i="4"/>
  <c r="C91" i="2" s="1"/>
  <c r="J26" i="4"/>
  <c r="E36" i="3" s="1"/>
  <c r="N6" i="3" s="1"/>
  <c r="Q6" i="3" s="1"/>
  <c r="E27" i="4"/>
  <c r="D83" i="2" s="1"/>
  <c r="N69" i="2" s="1"/>
  <c r="I28" i="4"/>
  <c r="D38" i="3" s="1"/>
  <c r="M8" i="3" s="1"/>
  <c r="P8" i="3" s="1"/>
  <c r="U8" i="3" s="1"/>
  <c r="J34" i="4"/>
  <c r="E44" i="3" s="1"/>
  <c r="E26" i="4"/>
  <c r="D82" i="2" s="1"/>
  <c r="N71" i="2" s="1"/>
  <c r="I37" i="4"/>
  <c r="D47" i="3" s="1"/>
  <c r="J39" i="4"/>
  <c r="E49" i="3" s="1"/>
  <c r="N21" i="3" s="1"/>
  <c r="Q21" i="3" s="1"/>
  <c r="D39" i="4"/>
  <c r="C95" i="2" s="1"/>
  <c r="E38" i="4"/>
  <c r="D94" i="2" s="1"/>
  <c r="I38" i="4"/>
  <c r="D48" i="3" s="1"/>
  <c r="D30" i="4"/>
  <c r="C86" i="2" s="1"/>
  <c r="D28" i="4"/>
  <c r="C84" i="2" s="1"/>
  <c r="D27" i="4"/>
  <c r="C83" i="2" s="1"/>
  <c r="I30" i="4"/>
  <c r="D40" i="3" s="1"/>
  <c r="D29" i="4"/>
  <c r="C85" i="2" s="1"/>
  <c r="E37" i="4"/>
  <c r="D93" i="2" s="1"/>
  <c r="I36" i="4"/>
  <c r="D46" i="3" s="1"/>
  <c r="I33" i="4"/>
  <c r="D43" i="3" s="1"/>
  <c r="J37" i="4"/>
  <c r="E47" i="3" s="1"/>
  <c r="I39" i="4"/>
  <c r="D49" i="3" s="1"/>
  <c r="M21" i="3" s="1"/>
  <c r="P21" i="3" s="1"/>
  <c r="R21" i="3" s="1"/>
  <c r="J32" i="4"/>
  <c r="E42" i="3" s="1"/>
  <c r="D31" i="4"/>
  <c r="C87" i="2" s="1"/>
  <c r="I31" i="4"/>
  <c r="D41" i="3" s="1"/>
  <c r="D26" i="4"/>
  <c r="C82" i="2" s="1"/>
  <c r="J27" i="4"/>
  <c r="E37" i="3" s="1"/>
  <c r="N7" i="3" s="1"/>
  <c r="Q7" i="3" s="1"/>
  <c r="J30" i="4"/>
  <c r="E40" i="3" s="1"/>
  <c r="D37" i="4"/>
  <c r="C93" i="2" s="1"/>
  <c r="J28" i="4"/>
  <c r="E38" i="3" s="1"/>
  <c r="N8" i="3" s="1"/>
  <c r="Q8" i="3" s="1"/>
  <c r="J36" i="4"/>
  <c r="E46" i="3" s="1"/>
  <c r="E33" i="4"/>
  <c r="D89" i="2" s="1"/>
  <c r="I29" i="4"/>
  <c r="D39" i="3" s="1"/>
  <c r="M9" i="3" s="1"/>
  <c r="P9" i="3" s="1"/>
  <c r="U9" i="3" s="1"/>
  <c r="E29" i="4"/>
  <c r="D85" i="2" s="1"/>
  <c r="N66" i="2" s="1"/>
  <c r="P66" i="2" s="1"/>
  <c r="E30" i="4"/>
  <c r="D86" i="2" s="1"/>
  <c r="N63" i="2" s="1"/>
  <c r="P63" i="2" s="1"/>
  <c r="E36" i="4"/>
  <c r="D92" i="2" s="1"/>
  <c r="M66" i="2" s="1"/>
  <c r="D36" i="4"/>
  <c r="C92" i="2" s="1"/>
  <c r="H39" i="2"/>
  <c r="P39" i="2" s="1"/>
  <c r="C6" i="21"/>
  <c r="D6" i="21" s="1"/>
  <c r="C36" i="2"/>
  <c r="P36" i="2"/>
  <c r="L71" i="2"/>
  <c r="L72" i="2"/>
  <c r="P42" i="2"/>
  <c r="P43" i="2"/>
  <c r="L62" i="2"/>
  <c r="D37" i="3"/>
  <c r="M7" i="3" s="1"/>
  <c r="P7" i="3" s="1"/>
  <c r="U7" i="3" s="1"/>
  <c r="M61" i="2" l="1"/>
  <c r="O61" i="2" s="1"/>
  <c r="M64" i="2"/>
  <c r="O64" i="2" s="1"/>
  <c r="M71" i="2"/>
  <c r="O71" i="2" s="1"/>
  <c r="N62" i="2"/>
  <c r="P62" i="2" s="1"/>
  <c r="C39" i="2"/>
  <c r="G39" i="2"/>
  <c r="N39" i="2" s="1"/>
  <c r="M69" i="2"/>
  <c r="R69" i="2" s="1"/>
  <c r="N60" i="2"/>
  <c r="P60" i="2" s="1"/>
  <c r="N68" i="2"/>
  <c r="P68" i="2" s="1"/>
  <c r="M72" i="2"/>
  <c r="O72" i="2" s="1"/>
  <c r="N72" i="2"/>
  <c r="P72" i="2" s="1"/>
  <c r="M60" i="2"/>
  <c r="N64" i="2"/>
  <c r="P64" i="2" s="1"/>
  <c r="N70" i="2"/>
  <c r="R70" i="2" s="1"/>
  <c r="N65" i="2"/>
  <c r="P65" i="2" s="1"/>
  <c r="M67" i="2"/>
  <c r="O67" i="2" s="1"/>
  <c r="M63" i="2"/>
  <c r="R63" i="2" s="1"/>
  <c r="M65" i="2"/>
  <c r="O65" i="2" s="1"/>
  <c r="M62" i="2"/>
  <c r="O62" i="2" s="1"/>
  <c r="N61" i="2"/>
  <c r="P61" i="2" s="1"/>
  <c r="O59" i="2"/>
  <c r="R59" i="2"/>
  <c r="O66" i="2"/>
  <c r="R66" i="2"/>
  <c r="M19" i="3"/>
  <c r="P19" i="3" s="1"/>
  <c r="R19" i="3" s="1"/>
  <c r="M20" i="3"/>
  <c r="P20" i="3" s="1"/>
  <c r="R20" i="3" s="1"/>
  <c r="P71" i="2"/>
  <c r="O68" i="2"/>
  <c r="M18" i="3"/>
  <c r="P18" i="3" s="1"/>
  <c r="R18" i="3" s="1"/>
  <c r="M22" i="3"/>
  <c r="N20" i="3"/>
  <c r="Q20" i="3" s="1"/>
  <c r="N19" i="3"/>
  <c r="Q19" i="3" s="1"/>
  <c r="M24" i="3"/>
  <c r="M25" i="3"/>
  <c r="P25" i="3" s="1"/>
  <c r="N25" i="3"/>
  <c r="N24" i="3"/>
  <c r="Q24" i="3" s="1"/>
  <c r="M17" i="3"/>
  <c r="P17" i="3" s="1"/>
  <c r="R17" i="3" s="1"/>
  <c r="M23" i="3"/>
  <c r="M11" i="3"/>
  <c r="P11" i="3" s="1"/>
  <c r="U11" i="3" s="1"/>
  <c r="M10" i="3"/>
  <c r="P10" i="3" s="1"/>
  <c r="U10" i="3" s="1"/>
  <c r="N17" i="3"/>
  <c r="Q17" i="3" s="1"/>
  <c r="N23" i="3"/>
  <c r="Q23" i="3" s="1"/>
  <c r="N10" i="3"/>
  <c r="Q10" i="3" s="1"/>
  <c r="N11" i="3"/>
  <c r="Q11" i="3" s="1"/>
  <c r="N18" i="3"/>
  <c r="Q18" i="3" s="1"/>
  <c r="N22" i="3"/>
  <c r="Q22" i="3" s="1"/>
  <c r="R71" i="2" l="1"/>
  <c r="H40" i="2"/>
  <c r="C40" i="2" s="1"/>
  <c r="R68" i="2"/>
  <c r="R72" i="2"/>
  <c r="R60" i="2"/>
  <c r="R64" i="2"/>
  <c r="R67" i="2"/>
  <c r="O60" i="2"/>
  <c r="O63" i="2"/>
  <c r="R65" i="2"/>
  <c r="R61" i="2"/>
  <c r="R62" i="2"/>
  <c r="P23" i="3"/>
  <c r="R23" i="3" s="1"/>
  <c r="P22" i="3"/>
  <c r="R22" i="3" s="1"/>
  <c r="P24" i="3"/>
  <c r="R24" i="3" s="1"/>
  <c r="P40" i="2" l="1"/>
  <c r="L70" i="2"/>
  <c r="P70" i="2" s="1"/>
  <c r="L69" i="2"/>
  <c r="P69" i="2" s="1"/>
  <c r="R74" i="2"/>
  <c r="R75" i="2"/>
  <c r="O69" i="2" l="1"/>
  <c r="O70" i="2"/>
  <c r="P75" i="2"/>
  <c r="P74" i="2"/>
  <c r="O75" i="2" l="1"/>
  <c r="O74" i="2"/>
  <c r="O7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tc={205B40CB-5669-4B7B-8708-787FBEF13C16}</author>
    <author>tc={16442FF8-77AD-4B3E-965B-0CE6E8561F3C}</author>
    <author>Minyu Zhang</author>
  </authors>
  <commentList>
    <comment ref="L8" authorId="0" shapeId="0" xr:uid="{205B40CB-5669-4B7B-8708-787FBEF13C1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 to 21c then alpha and beta will be like the calculation in "Comparision" L15 and L16</t>
      </text>
    </comment>
    <comment ref="H17" authorId="1" shapeId="0" xr:uid="{16442FF8-77AD-4B3E-965B-0CE6E8561F3C}">
      <text>
        <t>[Threaded comment]
Your version of Excel allows you to read this threaded comment; however, any edits to it will get removed if the file is opened in a newer version of Excel. Learn more: https://go.microsoft.com/fwlink/?linkid=870924
Comment:
    10 times bigger than 2017</t>
      </text>
    </comment>
    <comment ref="D50" authorId="2" shapeId="0" xr:uid="{4AD4FF6C-B2DF-4EE4-B159-ECCB2552DDEB}">
      <text>
        <r>
          <rPr>
            <b/>
            <sz val="9"/>
            <color indexed="81"/>
            <rFont val="Tahoma"/>
            <family val="2"/>
          </rPr>
          <t>Minyu Zhang:</t>
        </r>
        <r>
          <rPr>
            <sz val="9"/>
            <color indexed="81"/>
            <rFont val="Tahoma"/>
            <family val="2"/>
          </rPr>
          <t xml:space="preserve">
Missing B. Measuremet…...SN/ 2248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Minyu Zhang</author>
  </authors>
  <commentList>
    <comment ref="A7" authorId="0" shapeId="0" xr:uid="{EF564166-26E1-4635-9FEE-1158B8F8B25E}">
      <text>
        <r>
          <rPr>
            <b/>
            <sz val="9"/>
            <color indexed="81"/>
            <rFont val="Tahoma"/>
            <family val="2"/>
          </rPr>
          <t>Minyu Zhang:</t>
        </r>
        <r>
          <rPr>
            <sz val="9"/>
            <color indexed="81"/>
            <rFont val="Tahoma"/>
            <family val="2"/>
          </rPr>
          <t xml:space="preserve">
O bservation??</t>
        </r>
      </text>
    </comment>
    <comment ref="E64" authorId="0" shapeId="0" xr:uid="{D5E8D8D2-35DC-434B-BE9B-63AD793204CD}">
      <text>
        <r>
          <rPr>
            <b/>
            <sz val="9"/>
            <color indexed="81"/>
            <rFont val="Tahoma"/>
            <family val="2"/>
          </rPr>
          <t>Minyu Zhang:</t>
        </r>
        <r>
          <rPr>
            <sz val="9"/>
            <color indexed="81"/>
            <rFont val="Tahoma"/>
            <family val="2"/>
          </rPr>
          <t xml:space="preserve">
reading taken @15/02/23 Rp Cp by E4980A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 Jones</author>
  </authors>
  <commentList>
    <comment ref="A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Minyu: 
Load from the docx  sheet and not books copies</t>
        </r>
      </text>
    </comment>
    <comment ref="Q5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Keith Jones:</t>
        </r>
        <r>
          <rPr>
            <sz val="9"/>
            <color indexed="81"/>
            <rFont val="Tahoma"/>
            <family val="2"/>
          </rPr>
          <t xml:space="preserve">
Range 7 is a new addition to the calibration process.  Values not used for setting 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Keith Jones</author>
  </authors>
  <commentList>
    <comment ref="T10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 xml:space="preserve"> Keith Jones:</t>
        </r>
        <r>
          <rPr>
            <sz val="8"/>
            <color indexed="81"/>
            <rFont val="Tahoma"/>
            <family val="2"/>
          </rPr>
          <t xml:space="preserve">
corrected transcription error in old spreadsheet</t>
        </r>
      </text>
    </comment>
  </commentList>
</comments>
</file>

<file path=xl/sharedStrings.xml><?xml version="1.0" encoding="utf-8"?>
<sst xmlns="http://schemas.openxmlformats.org/spreadsheetml/2006/main" count="5081" uniqueCount="2799">
  <si>
    <t>Calibration of Universal Bridge</t>
  </si>
  <si>
    <t>Date:</t>
  </si>
  <si>
    <t>A. Measurement of bridge resistors using dc.</t>
  </si>
  <si>
    <t>DMM:</t>
  </si>
  <si>
    <t>DMM settings:</t>
  </si>
  <si>
    <t>SR104</t>
  </si>
  <si>
    <t>Measurement</t>
  </si>
  <si>
    <t>OCOMP ON?</t>
  </si>
  <si>
    <t>DELAY</t>
  </si>
  <si>
    <t>100k esi parallel</t>
  </si>
  <si>
    <t>100k esi series-para</t>
  </si>
  <si>
    <t>100k esi R10</t>
  </si>
  <si>
    <t>100k esi series</t>
  </si>
  <si>
    <t>on</t>
  </si>
  <si>
    <t>G1</t>
  </si>
  <si>
    <t>R4A</t>
  </si>
  <si>
    <t>R4B</t>
  </si>
  <si>
    <t>temp</t>
  </si>
  <si>
    <t>R4C</t>
  </si>
  <si>
    <t>Analysis</t>
  </si>
  <si>
    <t>Reference</t>
  </si>
  <si>
    <t>mean DMM reading (ohms)</t>
  </si>
  <si>
    <t>stdev
 (ohms)</t>
  </si>
  <si>
    <t>DMM
correction
(ohms)</t>
  </si>
  <si>
    <t>Resistor</t>
  </si>
  <si>
    <t>Value of Resistor (ohms)</t>
  </si>
  <si>
    <t>G2</t>
  </si>
  <si>
    <t>Nominal Value (ohms)</t>
  </si>
  <si>
    <t>ppm of nominal resistance</t>
  </si>
  <si>
    <t>ppm of nominal conductance</t>
  </si>
  <si>
    <t>Traceability</t>
  </si>
  <si>
    <t>Note: see ESI model SR1010 handbook for series/parallel formula</t>
  </si>
  <si>
    <t>B. Measurement of 1000 pF GR capacitor S/N 2248</t>
  </si>
  <si>
    <t>PRT</t>
  </si>
  <si>
    <t xml:space="preserve">value of GR1000A </t>
  </si>
  <si>
    <t>value of GR1000B</t>
  </si>
  <si>
    <t>Last cal date</t>
  </si>
  <si>
    <t>Shorts</t>
  </si>
  <si>
    <t>Range</t>
  </si>
  <si>
    <t>7Z</t>
  </si>
  <si>
    <t>6Z</t>
  </si>
  <si>
    <t>5Z</t>
  </si>
  <si>
    <t>4Z</t>
  </si>
  <si>
    <t>3Z</t>
  </si>
  <si>
    <t>2Z</t>
  </si>
  <si>
    <t>L</t>
  </si>
  <si>
    <t>R</t>
  </si>
  <si>
    <t>Opens</t>
  </si>
  <si>
    <t>7Y</t>
  </si>
  <si>
    <t>6Y</t>
  </si>
  <si>
    <t>5Y</t>
  </si>
  <si>
    <t>4Y</t>
  </si>
  <si>
    <t>3Y</t>
  </si>
  <si>
    <t>2Y</t>
  </si>
  <si>
    <t>1Y</t>
  </si>
  <si>
    <t>C</t>
  </si>
  <si>
    <t>G</t>
  </si>
  <si>
    <t>Standard</t>
  </si>
  <si>
    <t>value (pF)</t>
  </si>
  <si>
    <t>Full scale pF</t>
  </si>
  <si>
    <t>Y ranges</t>
  </si>
  <si>
    <t>Z ranges</t>
  </si>
  <si>
    <t>error, ppm</t>
  </si>
  <si>
    <t>Measurements on MSL inductors and capacitors</t>
  </si>
  <si>
    <t>Inductors</t>
  </si>
  <si>
    <t>Nominal
 value 
microhenries</t>
  </si>
  <si>
    <t>1Z</t>
  </si>
  <si>
    <t>GR inductor S/N</t>
  </si>
  <si>
    <t xml:space="preserve">L </t>
  </si>
  <si>
    <t xml:space="preserve">Lo </t>
  </si>
  <si>
    <t>Ro</t>
  </si>
  <si>
    <t>Frequency</t>
  </si>
  <si>
    <t>Capacitors</t>
  </si>
  <si>
    <t>Nominal
 value pF</t>
  </si>
  <si>
    <t>correction to L/C dial</t>
  </si>
  <si>
    <t>correction to R/G dial</t>
  </si>
  <si>
    <t>(ppm)</t>
  </si>
  <si>
    <t>Corrected L dial</t>
  </si>
  <si>
    <t>Corrected R dial</t>
  </si>
  <si>
    <t>Corrected C dial</t>
  </si>
  <si>
    <t>Full scale resistance (ohms)</t>
  </si>
  <si>
    <t>R, 
ohms</t>
  </si>
  <si>
    <t>Full scale conductance (uS)</t>
  </si>
  <si>
    <t>C, 
(pF)</t>
  </si>
  <si>
    <t xml:space="preserve">Capacitor </t>
  </si>
  <si>
    <t>Sullivan 57709/1960</t>
  </si>
  <si>
    <t>GR 1000A</t>
  </si>
  <si>
    <t>GR1000B</t>
  </si>
  <si>
    <t>GR100</t>
  </si>
  <si>
    <t>Full scale inductance (uH)</t>
  </si>
  <si>
    <t>Full scale capacitance (pF)</t>
  </si>
  <si>
    <t>Shorts and Opens</t>
  </si>
  <si>
    <r>
      <t>Traceability</t>
    </r>
    <r>
      <rPr>
        <sz val="10"/>
        <rFont val="Arial"/>
        <family val="2"/>
      </rPr>
      <t xml:space="preserve"> -
last cal date</t>
    </r>
  </si>
  <si>
    <t>Enter data into light blue areas</t>
  </si>
  <si>
    <t>Phase angle standards</t>
  </si>
  <si>
    <t>Nominal
 value ohms</t>
  </si>
  <si>
    <t>L, millihenires</t>
  </si>
  <si>
    <t>Phase error, pF</t>
  </si>
  <si>
    <t>Phase error ppm of fsd</t>
  </si>
  <si>
    <t>phase error</t>
  </si>
  <si>
    <t>of ratio G1/G2</t>
  </si>
  <si>
    <t>Rac - Rdc ppm</t>
  </si>
  <si>
    <t>Gac -Gdc ppm</t>
  </si>
  <si>
    <t>1k ESI, series</t>
  </si>
  <si>
    <t>1k ESI S/P</t>
  </si>
  <si>
    <t>1k ESI, R10</t>
  </si>
  <si>
    <t>1k ESI, R1</t>
  </si>
  <si>
    <t>1k ESI, parallel</t>
  </si>
  <si>
    <t>100 ohm ESI, R1</t>
  </si>
  <si>
    <t>100 ohm ESI, series</t>
  </si>
  <si>
    <t>100 ohm ESI, parallel</t>
  </si>
  <si>
    <t>10 ohm ESI, R1</t>
  </si>
  <si>
    <t>Calibration of check resistors using DC</t>
  </si>
  <si>
    <t>10 k Vishay</t>
  </si>
  <si>
    <t>100 ohm Vishay</t>
  </si>
  <si>
    <t>Vishay</t>
  </si>
  <si>
    <t>ESI 100 R1</t>
  </si>
  <si>
    <t>ESI 1000 R1</t>
  </si>
  <si>
    <t>ESI 10 R1</t>
  </si>
  <si>
    <t>100k Vishay</t>
  </si>
  <si>
    <t>DMM correction at 100k from "Calibration" worksheet</t>
  </si>
  <si>
    <t xml:space="preserve">Corrected UB G </t>
  </si>
  <si>
    <t xml:space="preserve">Corrected UB R </t>
  </si>
  <si>
    <t>DC resistance</t>
  </si>
  <si>
    <t>Ratio error of G1/G2</t>
  </si>
  <si>
    <t>phase error of  G1/G2</t>
  </si>
  <si>
    <t xml:space="preserve"> G dial</t>
  </si>
  <si>
    <t>tan delta
(urad)</t>
  </si>
  <si>
    <t>10 ohm ESI, series</t>
  </si>
  <si>
    <t>ESI 10 para</t>
  </si>
  <si>
    <t>10 ohm ESI, para</t>
  </si>
  <si>
    <t>Value</t>
  </si>
  <si>
    <t>Capacitance error ppm</t>
  </si>
  <si>
    <t>Observation No</t>
  </si>
  <si>
    <t>Observation No.</t>
  </si>
  <si>
    <t>O bservation No.</t>
  </si>
  <si>
    <t>deg C</t>
  </si>
  <si>
    <t>temperature (deg C)</t>
  </si>
  <si>
    <t>Sullivan 57708/1960</t>
  </si>
  <si>
    <t>GR box 3024 10x100nF</t>
  </si>
  <si>
    <t>GR box 3024 10x10nF</t>
  </si>
  <si>
    <t>GR box 3024 10x1nF</t>
  </si>
  <si>
    <t>GR box 3024 dials zero</t>
  </si>
  <si>
    <t>box zero subtracted</t>
  </si>
  <si>
    <t>Assumptions</t>
  </si>
  <si>
    <t>mean</t>
  </si>
  <si>
    <t>stdev</t>
  </si>
  <si>
    <t>Source of uncertainty</t>
  </si>
  <si>
    <t>Uncertainties</t>
  </si>
  <si>
    <t xml:space="preserve">Degrees of </t>
  </si>
  <si>
    <t>Freedom, v</t>
  </si>
  <si>
    <t xml:space="preserve">ac/dc error of standards </t>
  </si>
  <si>
    <t>5ppm considered two sigma limit</t>
  </si>
  <si>
    <t>dial linearity</t>
  </si>
  <si>
    <t>1 ppm of full scale</t>
  </si>
  <si>
    <t>amplifier/ratio</t>
  </si>
  <si>
    <t>based on scatter of results in 1984</t>
  </si>
  <si>
    <t>depends on matching of Vishay components</t>
  </si>
  <si>
    <t>5ppm considered two sigma limit, essentially relying on dc values of resistors</t>
  </si>
  <si>
    <t>temperature coefficient of resistors</t>
  </si>
  <si>
    <t>temperature coefficient of capacitor</t>
  </si>
  <si>
    <t>2 ppm per degree for capacitor</t>
  </si>
  <si>
    <t>component stability</t>
  </si>
  <si>
    <t>some doubt on stability of capacitor in particular</t>
  </si>
  <si>
    <t>inductance error due to phase error in resistance</t>
  </si>
  <si>
    <t>16 ppm of resistance dial setting, see comment for resistance</t>
  </si>
  <si>
    <t>resolution</t>
  </si>
  <si>
    <t>this might be range and frequency dependent</t>
  </si>
  <si>
    <t>INDUCTANCE</t>
  </si>
  <si>
    <t xml:space="preserve"> u (ppm of full dial scale)</t>
  </si>
  <si>
    <t>resistance error due to phase error in inductance</t>
  </si>
  <si>
    <t>based on standard deviation of 1984 determinations, 160 counts (16 ppm) for C at full scale</t>
  </si>
  <si>
    <t>this might be dependent on frequency and range, included below.</t>
  </si>
  <si>
    <t>stability of resistors only</t>
  </si>
  <si>
    <t>CAPACITANCE</t>
  </si>
  <si>
    <t>RESISTANCE of an Inductor</t>
  </si>
  <si>
    <t>CONDUCTANCE of a Capacitor</t>
  </si>
  <si>
    <t>conductance error due to phase error in capacitance</t>
  </si>
  <si>
    <t>Previous uncertainties</t>
  </si>
  <si>
    <t>Feb 2004 uncertainties</t>
  </si>
  <si>
    <t>Previous Comment</t>
  </si>
  <si>
    <t>Feb 2004 Comment</t>
  </si>
  <si>
    <t>average:</t>
  </si>
  <si>
    <t>std dev:</t>
  </si>
  <si>
    <t>the 1000 pF GR capacitor can change 5 to 10 ppm short term</t>
  </si>
  <si>
    <t>1) The uncertainties apply to ranges 1 to 6</t>
  </si>
  <si>
    <t>2) The uncertainties apply for frequencies from 160 Hz to 1592 Hz</t>
  </si>
  <si>
    <t>Changes in uncertainties</t>
  </si>
  <si>
    <t>correction to</t>
  </si>
  <si>
    <t xml:space="preserve"> L/C dial</t>
  </si>
  <si>
    <t>R/G dial</t>
  </si>
  <si>
    <t>The uncertainty component "amplifier ratio" arises from the scatter in G1/G2 ratio error.</t>
  </si>
  <si>
    <t>The cause of this scatter and offset has not been established despite investigation, but it is believed to mainly be due to</t>
  </si>
  <si>
    <t>This table is the usual form for calculating spreadsheet corrections</t>
  </si>
  <si>
    <t xml:space="preserve">Component </t>
  </si>
  <si>
    <t>C_1</t>
  </si>
  <si>
    <t>R_4A</t>
  </si>
  <si>
    <t>R_4B</t>
  </si>
  <si>
    <t>R_4C</t>
  </si>
  <si>
    <t>G_1</t>
  </si>
  <si>
    <t>G_2</t>
  </si>
  <si>
    <t>where Z3=R+jwC</t>
  </si>
  <si>
    <t>(G3=1/R4*)</t>
  </si>
  <si>
    <t>R4A is used for ranges 5 to 1 inclusive</t>
  </si>
  <si>
    <t>R4B is used on range 6 only</t>
  </si>
  <si>
    <t>R4C is used on range 7 only</t>
  </si>
  <si>
    <r>
      <t>Z3=(R4/G2)(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G1+ßj</t>
    </r>
    <r>
      <rPr>
        <sz val="10"/>
        <rFont val="Symbol"/>
        <family val="1"/>
        <charset val="2"/>
      </rPr>
      <t>w</t>
    </r>
    <r>
      <rPr>
        <sz val="10"/>
        <rFont val="Arial"/>
        <family val="2"/>
      </rPr>
      <t>C1)(1+c+jd)</t>
    </r>
  </si>
  <si>
    <r>
      <t>where Y4=G+j</t>
    </r>
    <r>
      <rPr>
        <sz val="10"/>
        <rFont val="Symbol"/>
        <family val="1"/>
        <charset val="2"/>
      </rPr>
      <t>w</t>
    </r>
    <r>
      <rPr>
        <sz val="10"/>
        <rFont val="Arial"/>
        <family val="2"/>
      </rPr>
      <t>C</t>
    </r>
  </si>
  <si>
    <r>
      <t>b</t>
    </r>
    <r>
      <rPr>
        <b/>
        <sz val="10"/>
        <rFont val="Arial"/>
        <family val="2"/>
      </rPr>
      <t xml:space="preserve"> correction</t>
    </r>
  </si>
  <si>
    <r>
      <t>a</t>
    </r>
    <r>
      <rPr>
        <b/>
        <sz val="10"/>
        <rFont val="Arial"/>
        <family val="2"/>
      </rPr>
      <t xml:space="preserve"> correction</t>
    </r>
  </si>
  <si>
    <t>errors on the RHS of the bridge, rather than the amplifier ratio. It can be regarded as scatter in the apparent value</t>
  </si>
  <si>
    <t>of R_4, or the ratio of the RHS transformers on ranges 1, 2, 3, and 4.</t>
  </si>
  <si>
    <t>Correction term d is</t>
  </si>
  <si>
    <t>assumed negligible.</t>
  </si>
  <si>
    <t>Correction term c is</t>
  </si>
  <si>
    <t>Without correction term "c"</t>
  </si>
  <si>
    <t>With correction term "c"</t>
  </si>
  <si>
    <t>correction_c</t>
  </si>
  <si>
    <r>
      <t xml:space="preserve">The historic 1-sigma estimate for this is 2.5 ppm, which is slightly conservative. Reduce to </t>
    </r>
    <r>
      <rPr>
        <sz val="10"/>
        <rFont val="Arial"/>
        <family val="2"/>
      </rPr>
      <t>2.0 ppm</t>
    </r>
    <r>
      <rPr>
        <sz val="10"/>
        <rFont val="Arial"/>
        <family val="2"/>
      </rPr>
      <t>.</t>
    </r>
  </si>
  <si>
    <t xml:space="preserve">The most convenient way to account for the RHS scatter is to regard it as being lumped in with the "amplifier ratio". </t>
  </si>
  <si>
    <r>
      <t xml:space="preserve">Hence, increase "amplifier ratio" in the uncertainty budget to </t>
    </r>
    <r>
      <rPr>
        <b/>
        <sz val="10"/>
        <rFont val="Arial"/>
        <family val="2"/>
      </rPr>
      <t>7 ppm</t>
    </r>
    <r>
      <rPr>
        <sz val="10"/>
        <rFont val="Arial"/>
        <family val="2"/>
      </rPr>
      <t>.</t>
    </r>
  </si>
  <si>
    <t>The rss of the true amplifier ratio scatter and RHS scatter is:</t>
  </si>
  <si>
    <t>unexplained errors on RHS of bridge included here</t>
  </si>
  <si>
    <t>Note: This sheet is not protected.</t>
  </si>
  <si>
    <r>
      <t xml:space="preserve">Apply a correction "c" (see worksheet Corrections) of </t>
    </r>
    <r>
      <rPr>
        <b/>
        <sz val="10"/>
        <rFont val="Arial"/>
        <family val="2"/>
      </rPr>
      <t>5.2 ppm</t>
    </r>
    <r>
      <rPr>
        <sz val="10"/>
        <rFont val="Arial"/>
        <family val="2"/>
      </rPr>
      <t>.</t>
    </r>
  </si>
  <si>
    <r>
      <t xml:space="preserve">However, the scatter in Gac-Gdc, and Rac-Rdc, is </t>
    </r>
    <r>
      <rPr>
        <sz val="10"/>
        <rFont val="Arial"/>
        <family val="2"/>
      </rPr>
      <t xml:space="preserve">6.3 ppm </t>
    </r>
    <r>
      <rPr>
        <sz val="10"/>
        <rFont val="Arial"/>
        <family val="2"/>
      </rPr>
      <t>with an average error of 5.2 ppm in G, or -5.2 in R.</t>
    </r>
  </si>
  <si>
    <t>UB1000</t>
  </si>
  <si>
    <r>
      <t>Y4=(G3/G2)(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G1+ßj</t>
    </r>
    <r>
      <rPr>
        <sz val="10"/>
        <rFont val="Symbol"/>
        <family val="1"/>
        <charset val="2"/>
      </rPr>
      <t>w</t>
    </r>
    <r>
      <rPr>
        <sz val="10"/>
        <rFont val="Arial"/>
        <family val="2"/>
      </rPr>
      <t>C1)(1-c-jd)</t>
    </r>
  </si>
  <si>
    <t>If no correction applied.  See comment E53, Short, Open, Phase.</t>
  </si>
  <si>
    <t>Comment, 2004 calibration</t>
  </si>
  <si>
    <t>Comment, 2005 calibration</t>
  </si>
  <si>
    <r>
      <t>However, the scatter in Gac-Gdc, and Rac-Rdc, is 13.8</t>
    </r>
    <r>
      <rPr>
        <sz val="10"/>
        <rFont val="Arial"/>
        <family val="2"/>
      </rPr>
      <t xml:space="preserve"> ppm </t>
    </r>
    <r>
      <rPr>
        <sz val="10"/>
        <rFont val="Arial"/>
        <family val="2"/>
      </rPr>
      <t>with an average error of 5.7 ppm in G, or -5.7 in R.</t>
    </r>
  </si>
  <si>
    <r>
      <t xml:space="preserve">Apply a correction "c" (see worksheet Corrections) of </t>
    </r>
    <r>
      <rPr>
        <b/>
        <sz val="10"/>
        <rFont val="Arial"/>
        <family val="2"/>
      </rPr>
      <t>5.7 ppm</t>
    </r>
    <r>
      <rPr>
        <sz val="10"/>
        <rFont val="Arial"/>
        <family val="2"/>
      </rPr>
      <t>.</t>
    </r>
  </si>
  <si>
    <t>Feb 2005 uncertainties</t>
  </si>
  <si>
    <t>Feb 2005 Comment</t>
  </si>
  <si>
    <r>
      <t xml:space="preserve">Hence, increase "amplifier ratio" in the uncertainty budget to </t>
    </r>
    <r>
      <rPr>
        <b/>
        <sz val="10"/>
        <rFont val="Arial"/>
        <family val="2"/>
      </rPr>
      <t>14 ppm</t>
    </r>
    <r>
      <rPr>
        <sz val="10"/>
        <rFont val="Arial"/>
        <family val="2"/>
      </rPr>
      <t>.</t>
    </r>
  </si>
  <si>
    <t>Mean of 20</t>
  </si>
  <si>
    <t>sd of 20</t>
  </si>
  <si>
    <t>resolve use/value of 'c' correction term (5 ppm issue)</t>
  </si>
  <si>
    <t>On 7 May 2009 am preparing for Fitzroy inductor calibration.</t>
  </si>
  <si>
    <t>use March 09 value for SR104, prior to BIPM correction</t>
  </si>
  <si>
    <t>sensor R</t>
  </si>
  <si>
    <t>Temp</t>
  </si>
  <si>
    <t>R to add to 20 value</t>
  </si>
  <si>
    <t>apply temperature correction to SR104 for completeness</t>
  </si>
  <si>
    <t>attempt full cal in August</t>
  </si>
  <si>
    <t>Mean</t>
  </si>
  <si>
    <t>sd</t>
  </si>
  <si>
    <t>Comment, 2009 calibration</t>
  </si>
  <si>
    <t>average +/- error</t>
  </si>
  <si>
    <t>Aug 2009 uncertainties</t>
  </si>
  <si>
    <t>Aug 2009 comment</t>
  </si>
  <si>
    <t>2005 values</t>
  </si>
  <si>
    <t>stdev
ppm</t>
  </si>
  <si>
    <t>DMM
corrn
 ppm</t>
  </si>
  <si>
    <t>sd ppm</t>
  </si>
  <si>
    <t>DMM
Corrn
ppm</t>
  </si>
  <si>
    <r>
      <t>However, the scatter in Gac-Gdc, and Rac-Rdc, is 17.5</t>
    </r>
    <r>
      <rPr>
        <sz val="10"/>
        <rFont val="Arial"/>
        <family val="2"/>
      </rPr>
      <t xml:space="preserve"> ppm </t>
    </r>
    <r>
      <rPr>
        <sz val="10"/>
        <rFont val="Arial"/>
        <family val="2"/>
      </rPr>
      <t>with an average error of 2 ppm in G, or -2 in R.  Note the 2005 version has an error in the 100 k dc value</t>
    </r>
  </si>
  <si>
    <r>
      <t xml:space="preserve">Apply a correction "c" (see worksheet Corrections) of </t>
    </r>
    <r>
      <rPr>
        <b/>
        <sz val="10"/>
        <rFont val="Arial"/>
        <family val="2"/>
      </rPr>
      <t>2.0 ppm</t>
    </r>
    <r>
      <rPr>
        <sz val="10"/>
        <rFont val="Arial"/>
        <family val="2"/>
      </rPr>
      <t>.</t>
    </r>
  </si>
  <si>
    <t>problem is similar, increase is not clearly significant</t>
  </si>
  <si>
    <r>
      <t xml:space="preserve">Hence, increase "amplifier ratio" in the uncertainty budget to </t>
    </r>
    <r>
      <rPr>
        <b/>
        <sz val="10"/>
        <rFont val="Arial"/>
        <family val="2"/>
      </rPr>
      <t>17 ppm</t>
    </r>
    <r>
      <rPr>
        <sz val="10"/>
        <rFont val="Arial"/>
        <family val="2"/>
      </rPr>
      <t>.</t>
    </r>
  </si>
  <si>
    <t>match to inductance linearity</t>
  </si>
  <si>
    <t>match to capacitance linearity</t>
  </si>
  <si>
    <t>GR1000 A</t>
  </si>
  <si>
    <t>GR 1000B</t>
  </si>
  <si>
    <t>UB 1000</t>
  </si>
  <si>
    <t>C pF</t>
  </si>
  <si>
    <t>G nS</t>
  </si>
  <si>
    <t>ppm</t>
  </si>
  <si>
    <t>ppm shift in L</t>
  </si>
  <si>
    <t>note that the AH2700A is two terminal-pair and expect lead corrections of the order of 50 ppm for 1 microfarad load.</t>
  </si>
  <si>
    <t>Universal Bridge Uncertainties compared with uncertainties prior to Aug-Nov 2009 calibration</t>
  </si>
  <si>
    <t>completed in November</t>
  </si>
  <si>
    <t>Phase error same as for inductor</t>
  </si>
  <si>
    <t>resolved, derived on 'Resistors' page as mean of corrections from ESI boxes.</t>
  </si>
  <si>
    <t>Summary of results for pasting into AudioRegC</t>
  </si>
  <si>
    <t>NPLC 20, 4 wire ohms</t>
  </si>
  <si>
    <t>using MeasureR.py to gather HP3458 readings over GPIB</t>
  </si>
  <si>
    <t>Calibration Log</t>
  </si>
  <si>
    <t>This is a first time to track the calibration of dc resistors for the universal bridge by copying in the output of Python scripts for operating the HP3458A.</t>
  </si>
  <si>
    <t>ACAL ALL</t>
  </si>
  <si>
    <t>Do this at the beginning of every day.</t>
  </si>
  <si>
    <t>&gt;pythonw -u "ACALall3458.py"</t>
  </si>
  <si>
    <t>HP3458A</t>
  </si>
  <si>
    <t>mains frequency =  49.9868902E+00 Hz</t>
  </si>
  <si>
    <t>Temperature = 32.8</t>
  </si>
  <si>
    <t>ACAL ALL starting</t>
  </si>
  <si>
    <t>ACAL finished</t>
  </si>
  <si>
    <t>Time taken =  16.0816833337 minutes</t>
  </si>
  <si>
    <t>Temperature = 33.0</t>
  </si>
  <si>
    <t>Mon Jul 07 10:02:35 2014</t>
  </si>
  <si>
    <t>Wait at least 5 minutes before using the meter after doing an ACAL</t>
  </si>
  <si>
    <t>&gt;Exit code: 0</t>
  </si>
  <si>
    <t>Measure SR104 10k</t>
  </si>
  <si>
    <t>Using DIN lead to connect</t>
  </si>
  <si>
    <t>&gt;pythonw -u "MeasureR.py"</t>
  </si>
  <si>
    <t>['COM3', 'COM4', 'COM5', 'COM6', 'COM7', 'GPIB0::22']</t>
  </si>
  <si>
    <t>Temperature  32.9</t>
  </si>
  <si>
    <t>Range? :1.0E4</t>
  </si>
  <si>
    <t>Item? SR104 temperature sensor</t>
  </si>
  <si>
    <t>Trial   9.968847642E+03</t>
  </si>
  <si>
    <t>0  9.968848812E+03</t>
  </si>
  <si>
    <t>1  9.968849556E+03</t>
  </si>
  <si>
    <t>2  9.968848774E+03</t>
  </si>
  <si>
    <t>3  9.968851888E+03</t>
  </si>
  <si>
    <t>4  9.968849861E+03</t>
  </si>
  <si>
    <t>5  9.968850095E+03</t>
  </si>
  <si>
    <t>6  9.968851475E+03</t>
  </si>
  <si>
    <t>7  9.968851193E+03</t>
  </si>
  <si>
    <t>8  9.968850259E+03</t>
  </si>
  <si>
    <t>9  9.968848787E+03</t>
  </si>
  <si>
    <t>10  9.968852180E+03</t>
  </si>
  <si>
    <t>11  9.968852252E+03</t>
  </si>
  <si>
    <t>12  9.968850656E+03</t>
  </si>
  <si>
    <t>13  9.968852848E+03</t>
  </si>
  <si>
    <t>14  9.968853640E+03</t>
  </si>
  <si>
    <t>15  9.968853569E+03</t>
  </si>
  <si>
    <t>16  9.968852335E+03</t>
  </si>
  <si>
    <t>17  9.968853911E+03</t>
  </si>
  <si>
    <t>18  9.968853262E+03</t>
  </si>
  <si>
    <t>19  9.968851806E+03</t>
  </si>
  <si>
    <t>Result</t>
  </si>
  <si>
    <t>Mon Jul 07 11:11:43 2014</t>
  </si>
  <si>
    <t>Item? SR104</t>
  </si>
  <si>
    <t>Trial   9.999973446E+03</t>
  </si>
  <si>
    <t>0  9.999974730E+03</t>
  </si>
  <si>
    <t>1  9.999975014E+03</t>
  </si>
  <si>
    <t>2  9.999974547E+03</t>
  </si>
  <si>
    <t>3  9.999974136E+03</t>
  </si>
  <si>
    <t>4  9.999972150E+03</t>
  </si>
  <si>
    <t>5  9.999972246E+03</t>
  </si>
  <si>
    <t>6  9.999974452E+03</t>
  </si>
  <si>
    <t>7  9.999971986E+03</t>
  </si>
  <si>
    <t>8  9.999972802E+03</t>
  </si>
  <si>
    <t>9  9.999974782E+03</t>
  </si>
  <si>
    <t>10  9.999975478E+03</t>
  </si>
  <si>
    <t>11  9.999974745E+03</t>
  </si>
  <si>
    <t>12  9.999972656E+03</t>
  </si>
  <si>
    <t>13  9.999971060E+03</t>
  </si>
  <si>
    <t>14  9.999973176E+03</t>
  </si>
  <si>
    <t>15  9.999973711E+03</t>
  </si>
  <si>
    <t>16  9.999973923E+03</t>
  </si>
  <si>
    <t>17  9.999974118E+03</t>
  </si>
  <si>
    <t>18  9.999973191E+03</t>
  </si>
  <si>
    <t>19  9.999972615E+03</t>
  </si>
  <si>
    <t>Mon Jul 07 11:22:27 2014</t>
  </si>
  <si>
    <t>Item? SR104 repeat</t>
  </si>
  <si>
    <t>Trial   9.999973826E+03</t>
  </si>
  <si>
    <t>0  9.999973572E+03</t>
  </si>
  <si>
    <t>1  9.999974375E+03</t>
  </si>
  <si>
    <t>2  9.999972206E+03</t>
  </si>
  <si>
    <t>3  9.999975232E+03</t>
  </si>
  <si>
    <t>4  9.999973291E+03</t>
  </si>
  <si>
    <t>5  9.999972529E+03</t>
  </si>
  <si>
    <t>6  9.999973886E+03</t>
  </si>
  <si>
    <t>7  9.999972752E+03</t>
  </si>
  <si>
    <t>8  9.999973631E+03</t>
  </si>
  <si>
    <t>9  9.999974736E+03</t>
  </si>
  <si>
    <t>10  9.999971425E+03</t>
  </si>
  <si>
    <t>11  9.999975183E+03</t>
  </si>
  <si>
    <t>12  9.999974039E+03</t>
  </si>
  <si>
    <t>13  9.999973422E+03</t>
  </si>
  <si>
    <t>14  9.999972873E+03</t>
  </si>
  <si>
    <t>15  9.999972462E+03</t>
  </si>
  <si>
    <t>16  9.999974698E+03</t>
  </si>
  <si>
    <t>17  9.999973321E+03</t>
  </si>
  <si>
    <t>18  9.999974010E+03</t>
  </si>
  <si>
    <t>19  9.999973134E+03</t>
  </si>
  <si>
    <t>Mon Jul 07 11:25:05 2014</t>
  </si>
  <si>
    <t>GMH51 reads 19.81 °C in well of SR104</t>
  </si>
  <si>
    <t>Item? UB R4A guard open</t>
  </si>
  <si>
    <t>Trial   1.000051105E+04</t>
  </si>
  <si>
    <t>0  1.000051677E+04</t>
  </si>
  <si>
    <t>1  1.000051329E+04</t>
  </si>
  <si>
    <t>2  1.000051552E+04</t>
  </si>
  <si>
    <t>3  1.000051277E+04</t>
  </si>
  <si>
    <t>4  1.000051393E+04</t>
  </si>
  <si>
    <t>5  1.000051192E+04</t>
  </si>
  <si>
    <t>6  1.000051119E+04</t>
  </si>
  <si>
    <t>7  1.000051371E+04</t>
  </si>
  <si>
    <t>8  1.000051637E+04</t>
  </si>
  <si>
    <t>9  1.000051443E+04</t>
  </si>
  <si>
    <t>10  1.000051400E+04</t>
  </si>
  <si>
    <t>11  1.000051349E+04</t>
  </si>
  <si>
    <t>12  1.000051429E+04</t>
  </si>
  <si>
    <t>13  1.000051503E+04</t>
  </si>
  <si>
    <t>14  1.000051428E+04</t>
  </si>
  <si>
    <t>15  1.000051693E+04</t>
  </si>
  <si>
    <t>16  1.000051126E+04</t>
  </si>
  <si>
    <t>17  1.000051550E+04</t>
  </si>
  <si>
    <t>18  1.000050864E+04</t>
  </si>
  <si>
    <t>19  1.000051388E+04</t>
  </si>
  <si>
    <t>Mon Jul 07 11:43:03 2014</t>
  </si>
  <si>
    <t>GMH51 reads 19.65°C at R4A</t>
  </si>
  <si>
    <t>This next run had error messag…wrong range?</t>
  </si>
  <si>
    <t>Range? :!.0E4</t>
  </si>
  <si>
    <t>Item? UB R4A, guard to low, guard to case in both instances</t>
  </si>
  <si>
    <t>Trial   1.000051184E+04</t>
  </si>
  <si>
    <t>0  1.000050288E+04</t>
  </si>
  <si>
    <t>1  1.000054114E+04</t>
  </si>
  <si>
    <t>2  1.000051742E+04</t>
  </si>
  <si>
    <t>3  1.000050780E+04</t>
  </si>
  <si>
    <t>4  1.000027609E+04</t>
  </si>
  <si>
    <t>5  1.000047247E+04</t>
  </si>
  <si>
    <t>6  1.000068019E+04</t>
  </si>
  <si>
    <t>7  1.000052316E+04</t>
  </si>
  <si>
    <t>8  1.000054238E+04</t>
  </si>
  <si>
    <t>9  1.000060744E+04</t>
  </si>
  <si>
    <t>10  1.000046489E+04</t>
  </si>
  <si>
    <t>11  1.000052452E+04</t>
  </si>
  <si>
    <t>12  1.000051911E+04</t>
  </si>
  <si>
    <t>13  1.000051009E+04</t>
  </si>
  <si>
    <t>14  1.000052685E+04</t>
  </si>
  <si>
    <t>15  1.000052598E+04</t>
  </si>
  <si>
    <t>16  1.000051702E+04</t>
  </si>
  <si>
    <t>17  1.000051372E+04</t>
  </si>
  <si>
    <t>18  1.000051516E+04</t>
  </si>
  <si>
    <t>19  1.000051513E+04</t>
  </si>
  <si>
    <t>Mon Jul 07 11:46:34 2014</t>
  </si>
  <si>
    <t>Temperature  33.0</t>
  </si>
  <si>
    <t>Range? :1.2E4</t>
  </si>
  <si>
    <t>Item? UB R4A, guard to low and case, correct range?</t>
  </si>
  <si>
    <t>Trial   1.000052034E+04</t>
  </si>
  <si>
    <t>0  1.000047879E+04</t>
  </si>
  <si>
    <t>1  1.000051572E+04</t>
  </si>
  <si>
    <t>2  1.000051427E+04</t>
  </si>
  <si>
    <t>3  1.000051448E+04</t>
  </si>
  <si>
    <t>4  1.000051173E+04</t>
  </si>
  <si>
    <t>5  1.000052494E+04</t>
  </si>
  <si>
    <t>6  1.000050944E+04</t>
  </si>
  <si>
    <t>7  1.000051340E+04</t>
  </si>
  <si>
    <t>8  1.000051265E+04</t>
  </si>
  <si>
    <t>9  1.000051301E+04</t>
  </si>
  <si>
    <t>10  1.000051536E+04</t>
  </si>
  <si>
    <t>11  1.000051105E+04</t>
  </si>
  <si>
    <t>12  1.000051434E+04</t>
  </si>
  <si>
    <t>13  1.000051467E+04</t>
  </si>
  <si>
    <t>14  1.000051164E+04</t>
  </si>
  <si>
    <t>15  1.000051268E+04</t>
  </si>
  <si>
    <t>16  1.000050846E+04</t>
  </si>
  <si>
    <t>17  1.000051377E+04</t>
  </si>
  <si>
    <t>18  1.000051271E+04</t>
  </si>
  <si>
    <t>19  1.000051169E+04</t>
  </si>
  <si>
    <t>Mon Jul 07 11:49:40 2014</t>
  </si>
  <si>
    <t>Item? UB R4A, guard open and to screen</t>
  </si>
  <si>
    <t>Trial   1.000044113E+04</t>
  </si>
  <si>
    <t>0  1.000051299E+04</t>
  </si>
  <si>
    <t>1  1.000051810E+04</t>
  </si>
  <si>
    <t>2  1.000050990E+04</t>
  </si>
  <si>
    <t>3  1.000051338E+04</t>
  </si>
  <si>
    <t>4  1.000051482E+04</t>
  </si>
  <si>
    <t>5  1.000050946E+04</t>
  </si>
  <si>
    <t>6  1.000051668E+04</t>
  </si>
  <si>
    <t>7  1.000050979E+04</t>
  </si>
  <si>
    <t>8  1.000051601E+04</t>
  </si>
  <si>
    <t>9  1.000051061E+04</t>
  </si>
  <si>
    <t>10  1.000051345E+04</t>
  </si>
  <si>
    <t>11  1.000051100E+04</t>
  </si>
  <si>
    <t>12  1.000051316E+04</t>
  </si>
  <si>
    <t>13  1.000051236E+04</t>
  </si>
  <si>
    <t>14  1.000051058E+04</t>
  </si>
  <si>
    <t>15  1.000051413E+04</t>
  </si>
  <si>
    <t>16  1.000051436E+04</t>
  </si>
  <si>
    <t>17  1.000051031E+04</t>
  </si>
  <si>
    <t>18  1.000051388E+04</t>
  </si>
  <si>
    <t>19  1.000051327E+04</t>
  </si>
  <si>
    <t>Mon Jul 07 11:52:54 2014</t>
  </si>
  <si>
    <t>GMH51 19.60 °C at R4A.</t>
  </si>
  <si>
    <t>Item? UB R4A, after lunch break, now with DELAY set to 2 seconds</t>
  </si>
  <si>
    <t>Trial   1.000052589E+04</t>
  </si>
  <si>
    <t>0  1.000052074E+04</t>
  </si>
  <si>
    <t>1  1.000051917E+04</t>
  </si>
  <si>
    <t>2  1.000051844E+04</t>
  </si>
  <si>
    <t>3  1.000051013E+04</t>
  </si>
  <si>
    <t>4  1.000051697E+04</t>
  </si>
  <si>
    <t>5  1.000051094E+04</t>
  </si>
  <si>
    <t>6  1.000051846E+04</t>
  </si>
  <si>
    <t>7  1.000051544E+04</t>
  </si>
  <si>
    <t>8  1.000049867E+04</t>
  </si>
  <si>
    <t>9  1.000051633E+04</t>
  </si>
  <si>
    <t>10  1.000053928E+04</t>
  </si>
  <si>
    <t>11  1.000051701E+04</t>
  </si>
  <si>
    <t>12  1.000052019E+04</t>
  </si>
  <si>
    <t>13  1.000051840E+04</t>
  </si>
  <si>
    <t>14  1.000051891E+04</t>
  </si>
  <si>
    <t>15  1.000051976E+04</t>
  </si>
  <si>
    <t>16  1.000051501E+04</t>
  </si>
  <si>
    <t>17  1.000052022E+04</t>
  </si>
  <si>
    <t>18  1.000052817E+04</t>
  </si>
  <si>
    <t>19  1.000050408E+04</t>
  </si>
  <si>
    <t>Mon Jul 07 13:02:18 2014</t>
  </si>
  <si>
    <t>GMH51 19.52 °C</t>
  </si>
  <si>
    <t>Temperature  33.1</t>
  </si>
  <si>
    <t>Range? :1.2e4</t>
  </si>
  <si>
    <t>Item? UB R4A, no special delay after trigger, guard still open</t>
  </si>
  <si>
    <t>Trial   1.000051283E+04</t>
  </si>
  <si>
    <t>0  1.000052131E+04</t>
  </si>
  <si>
    <t>1  1.000051804E+04</t>
  </si>
  <si>
    <t>2  1.000051886E+04</t>
  </si>
  <si>
    <t>3  1.000051461E+04</t>
  </si>
  <si>
    <t>4  1.000055984E+04</t>
  </si>
  <si>
    <t>5  1.000046729E+04</t>
  </si>
  <si>
    <t>6  1.000055989E+04</t>
  </si>
  <si>
    <t>7  1.000047512E+04</t>
  </si>
  <si>
    <t>8  1.000054184E+04</t>
  </si>
  <si>
    <t>9  1.000049248E+04</t>
  </si>
  <si>
    <t>10  1.000052779E+04</t>
  </si>
  <si>
    <t>11  1.000048655E+04</t>
  </si>
  <si>
    <t>12  1.000053447E+04</t>
  </si>
  <si>
    <t>13  1.000048190E+04</t>
  </si>
  <si>
    <t>14  1.000054823E+04</t>
  </si>
  <si>
    <t>15  1.000054815E+04</t>
  </si>
  <si>
    <t>16  1.000047037E+04</t>
  </si>
  <si>
    <t>17  1.000052479E+04</t>
  </si>
  <si>
    <t>18  1.000050109E+04</t>
  </si>
  <si>
    <t>19  1.000051294E+04</t>
  </si>
  <si>
    <t>Mon Jul 07 13:08:38 2014</t>
  </si>
  <si>
    <t>Item? UB R4A, no special delay, Guard still open</t>
  </si>
  <si>
    <t>Trial   1.000051478E+04</t>
  </si>
  <si>
    <t>0  1.000054698E+04</t>
  </si>
  <si>
    <t>1  1.000051195E+04</t>
  </si>
  <si>
    <t>2  1.000051439E+04</t>
  </si>
  <si>
    <t>3  1.000051689E+04</t>
  </si>
  <si>
    <t>4  1.000050801E+04</t>
  </si>
  <si>
    <t>5  1.000052710E+04</t>
  </si>
  <si>
    <t>6  1.000050310E+04</t>
  </si>
  <si>
    <t>7  1.000052782E+04</t>
  </si>
  <si>
    <t>8  1.000050876E+04</t>
  </si>
  <si>
    <t>9  1.000051984E+04</t>
  </si>
  <si>
    <t>10  1.000051878E+04</t>
  </si>
  <si>
    <t>11  1.000051292E+04</t>
  </si>
  <si>
    <t>12  1.000052282E+04</t>
  </si>
  <si>
    <t>13  1.000051277E+04</t>
  </si>
  <si>
    <t>14  1.000054627E+04</t>
  </si>
  <si>
    <t>15  1.000050765E+04</t>
  </si>
  <si>
    <t>16  1.000051395E+04</t>
  </si>
  <si>
    <t>17  1.000052917E+04</t>
  </si>
  <si>
    <t>18  1.000050868E+04</t>
  </si>
  <si>
    <t>19  1.000051352E+04</t>
  </si>
  <si>
    <t>Mon Jul 07 13:12:05 2014</t>
  </si>
  <si>
    <t>The above 2 runs after lunch seem to start with one high value that shows as a higher standard deviation.</t>
  </si>
  <si>
    <t>Item? UB R4A, try again to see if standard deviation comes down</t>
  </si>
  <si>
    <t>Trial   1.000052412E+04</t>
  </si>
  <si>
    <t>0  1.000049257E+04</t>
  </si>
  <si>
    <t>2  1.000051294E+04</t>
  </si>
  <si>
    <t>3  1.000052710E+04</t>
  </si>
  <si>
    <t>4  1.000050427E+04</t>
  </si>
  <si>
    <t>5  1.000051553E+04</t>
  </si>
  <si>
    <t>6  1.000051450E+04</t>
  </si>
  <si>
    <t>7  1.000051694E+04</t>
  </si>
  <si>
    <t>8  1.000051604E+04</t>
  </si>
  <si>
    <t>9  1.000051280E+04</t>
  </si>
  <si>
    <t>10  1.000051749E+04</t>
  </si>
  <si>
    <t>11  1.000051597E+04</t>
  </si>
  <si>
    <t>12  1.000051586E+04</t>
  </si>
  <si>
    <t>13  1.000051458E+04</t>
  </si>
  <si>
    <t>14  1.000051526E+04</t>
  </si>
  <si>
    <t>15  1.000051668E+04</t>
  </si>
  <si>
    <t>16  1.000051302E+04</t>
  </si>
  <si>
    <t>17  1.000052021E+04</t>
  </si>
  <si>
    <t>18  1.000051263E+04</t>
  </si>
  <si>
    <t>19  1.000051755E+04</t>
  </si>
  <si>
    <t>Mon Jul 07 13:17:35 2014</t>
  </si>
  <si>
    <t>Item? UB R4A, one more preliminary trial added</t>
  </si>
  <si>
    <t>Trial   1.000050991E+04</t>
  </si>
  <si>
    <t>Trial 2   1.000051573E+04</t>
  </si>
  <si>
    <t>0  1.000051664E+04</t>
  </si>
  <si>
    <t>1  1.000051542E+04</t>
  </si>
  <si>
    <t>2  1.000051310E+04</t>
  </si>
  <si>
    <t>3  1.000051525E+04</t>
  </si>
  <si>
    <t>4  1.000051363E+04</t>
  </si>
  <si>
    <t>5  1.000051658E+04</t>
  </si>
  <si>
    <t>6  1.000051659E+04</t>
  </si>
  <si>
    <t>7  1.000051617E+04</t>
  </si>
  <si>
    <t>8  1.000051439E+04</t>
  </si>
  <si>
    <t>9  1.000051410E+04</t>
  </si>
  <si>
    <t>10  1.000051457E+04</t>
  </si>
  <si>
    <t>11  1.000051342E+04</t>
  </si>
  <si>
    <t>12  1.000051518E+04</t>
  </si>
  <si>
    <t>13  1.000051140E+04</t>
  </si>
  <si>
    <t>14  1.000051286E+04</t>
  </si>
  <si>
    <t>15  1.000051382E+04</t>
  </si>
  <si>
    <t>16  1.000051251E+04</t>
  </si>
  <si>
    <t>17  1.000051281E+04</t>
  </si>
  <si>
    <t>18  1.000051286E+04</t>
  </si>
  <si>
    <t>19  1.000051499E+04</t>
  </si>
  <si>
    <t>Mon Jul 07 13:20:44 2014</t>
  </si>
  <si>
    <t>GMH51 19.55 °C</t>
  </si>
  <si>
    <t>Note better behaviour above with the extra preliminary reading.  Data could be reprocessed to eliminate odd initial readings…then keeping guard to low would make sense.</t>
  </si>
  <si>
    <t>Now proceed with an ESI buildup to give us 100 k and 1 M values.</t>
  </si>
  <si>
    <t>Start with SR104 again</t>
  </si>
  <si>
    <t>Guard to lo and connected to screen is now the default</t>
  </si>
  <si>
    <t>Item? SR104 thermometer</t>
  </si>
  <si>
    <t>Trial   9.969754446E+03</t>
  </si>
  <si>
    <t>Trial 2   9.969752259E+03</t>
  </si>
  <si>
    <t>0  9.969753171E+03</t>
  </si>
  <si>
    <t>1  9.969755265E+03</t>
  </si>
  <si>
    <t>2  9.969752744E+03</t>
  </si>
  <si>
    <t>3  9.969753893E+03</t>
  </si>
  <si>
    <t>4  9.969755510E+03</t>
  </si>
  <si>
    <t>5  9.969754812E+03</t>
  </si>
  <si>
    <t>6  9.969756225E+03</t>
  </si>
  <si>
    <t>7  9.969756247E+03</t>
  </si>
  <si>
    <t>8  9.969755079E+03</t>
  </si>
  <si>
    <t>9  9.969754888E+03</t>
  </si>
  <si>
    <t>10  9.969755070E+03</t>
  </si>
  <si>
    <t>11  9.969753998E+03</t>
  </si>
  <si>
    <t>12  9.969755202E+03</t>
  </si>
  <si>
    <t>13  9.969754467E+03</t>
  </si>
  <si>
    <t>14  9.969755483E+03</t>
  </si>
  <si>
    <t>15  9.969755763E+03</t>
  </si>
  <si>
    <t>16  9.969755918E+03</t>
  </si>
  <si>
    <t>17  9.969758751E+03</t>
  </si>
  <si>
    <t>18  9.969757845E+03</t>
  </si>
  <si>
    <t>19  9.969756461E+03</t>
  </si>
  <si>
    <t>Mon Jul 07 13:46:06 2014</t>
  </si>
  <si>
    <t>1Range? :1.2e4</t>
  </si>
  <si>
    <t>Item? SR104 thermometer repeat</t>
  </si>
  <si>
    <t>Trial   9.969757629E+03</t>
  </si>
  <si>
    <t>Trial 2   9.969768426E+03</t>
  </si>
  <si>
    <t>0  9.969783854E+03</t>
  </si>
  <si>
    <t>1  9.969764005E+03</t>
  </si>
  <si>
    <t>2  9.969757494E+03</t>
  </si>
  <si>
    <t>3  9.969774507E+03</t>
  </si>
  <si>
    <t>4  9.969777351E+03</t>
  </si>
  <si>
    <t>5  9.969757395E+03</t>
  </si>
  <si>
    <t>6  9.969778043E+03</t>
  </si>
  <si>
    <t>7  9.969772016E+03</t>
  </si>
  <si>
    <t>8  9.969764523E+03</t>
  </si>
  <si>
    <t>9  9.969780099E+03</t>
  </si>
  <si>
    <t>10  9.969762923E+03</t>
  </si>
  <si>
    <t>11  9.969765847E+03</t>
  </si>
  <si>
    <t>12  9.969763095E+03</t>
  </si>
  <si>
    <t>13  9.969780969E+03</t>
  </si>
  <si>
    <t>14  9.969768253E+03</t>
  </si>
  <si>
    <t>15  9.969782385E+03</t>
  </si>
  <si>
    <t>16  9.969779386E+03</t>
  </si>
  <si>
    <t>17  9.969754849E+03</t>
  </si>
  <si>
    <t>18  9.969784565E+03</t>
  </si>
  <si>
    <t>19  9.969766940E+03</t>
  </si>
  <si>
    <t>Mon Jul 07 13:48:45 2014</t>
  </si>
  <si>
    <t>GMH51 19.88 °C</t>
  </si>
  <si>
    <t>Trial   9.999972622E+03</t>
  </si>
  <si>
    <t>Trial 2   9.999970557E+03</t>
  </si>
  <si>
    <t>0  9.999972805E+03</t>
  </si>
  <si>
    <t>1  9.999973710E+03</t>
  </si>
  <si>
    <t>2  9.999973138E+03</t>
  </si>
  <si>
    <t>3  9.999975826E+03</t>
  </si>
  <si>
    <t>4  9.999973500E+03</t>
  </si>
  <si>
    <t>5  9.999971629E+03</t>
  </si>
  <si>
    <t>6  9.999971824E+03</t>
  </si>
  <si>
    <t>7  9.999971934E+03</t>
  </si>
  <si>
    <t>8  9.999972801E+03</t>
  </si>
  <si>
    <t>9  9.999971968E+03</t>
  </si>
  <si>
    <t>10  9.999972916E+03</t>
  </si>
  <si>
    <t>11  9.999971712E+03</t>
  </si>
  <si>
    <t>12  9.999973280E+03</t>
  </si>
  <si>
    <t>13  9.999974768E+03</t>
  </si>
  <si>
    <t>14  9.999972485E+03</t>
  </si>
  <si>
    <t>15  9.999974247E+03</t>
  </si>
  <si>
    <t>16  9.999973615E+03</t>
  </si>
  <si>
    <t>17  9.999973429E+03</t>
  </si>
  <si>
    <t>18  9.999972278E+03</t>
  </si>
  <si>
    <t>19  9.999972582E+03</t>
  </si>
  <si>
    <t>Mon Jul 07 13:56:58 2014</t>
  </si>
  <si>
    <t>Trial   9.999972281E+03</t>
  </si>
  <si>
    <t>Trial 2   9.999969798E+03</t>
  </si>
  <si>
    <t>0  9.999970333E+03</t>
  </si>
  <si>
    <t>1  9.999973018E+03</t>
  </si>
  <si>
    <t>2  9.999971955E+03</t>
  </si>
  <si>
    <t>3  9.999972642E+03</t>
  </si>
  <si>
    <t>4  9.999974570E+03</t>
  </si>
  <si>
    <t>5  9.999970514E+03</t>
  </si>
  <si>
    <t>6  9.999971585E+03</t>
  </si>
  <si>
    <t>7  9.999970321E+03</t>
  </si>
  <si>
    <t>8  9.999972314E+03</t>
  </si>
  <si>
    <t>9  9.999972744E+03</t>
  </si>
  <si>
    <t>10  9.999971399E+03</t>
  </si>
  <si>
    <t>11  9.999971101E+03</t>
  </si>
  <si>
    <t>12  9.999971577E+03</t>
  </si>
  <si>
    <t>13  9.999971836E+03</t>
  </si>
  <si>
    <t>14  9.999972996E+03</t>
  </si>
  <si>
    <t>15  9.999971721E+03</t>
  </si>
  <si>
    <t>16  9.999973228E+03</t>
  </si>
  <si>
    <t>17  9.999971913E+03</t>
  </si>
  <si>
    <t>18  9.999971466E+03</t>
  </si>
  <si>
    <t>19  9.999970512E+03</t>
  </si>
  <si>
    <t>Mon Jul 07 13:59:39 2014</t>
  </si>
  <si>
    <t>GMH51 19.91 °C</t>
  </si>
  <si>
    <t>Item? ESI 100 k/step in parallel</t>
  </si>
  <si>
    <t>Trial   1.000004489E+04</t>
  </si>
  <si>
    <t>Trial 2   1.000003969E+04</t>
  </si>
  <si>
    <t>0  1.000004267E+04</t>
  </si>
  <si>
    <t>1  1.000004232E+04</t>
  </si>
  <si>
    <t>2  1.000004242E+04</t>
  </si>
  <si>
    <t>3  1.000004483E+04</t>
  </si>
  <si>
    <t>4  1.000004193E+04</t>
  </si>
  <si>
    <t>5  1.000004357E+04</t>
  </si>
  <si>
    <t>6  1.000004127E+04</t>
  </si>
  <si>
    <t>7  1.000004281E+04</t>
  </si>
  <si>
    <t>8  1.000004205E+04</t>
  </si>
  <si>
    <t>9  1.000004411E+04</t>
  </si>
  <si>
    <t>10  1.000004482E+04</t>
  </si>
  <si>
    <t>11  1.000004401E+04</t>
  </si>
  <si>
    <t>12  1.000004213E+04</t>
  </si>
  <si>
    <t>13  1.000004370E+04</t>
  </si>
  <si>
    <t>14  1.000004166E+04</t>
  </si>
  <si>
    <t>15  1.000004122E+04</t>
  </si>
  <si>
    <t>16  1.000004310E+04</t>
  </si>
  <si>
    <t>17  1.000004374E+04</t>
  </si>
  <si>
    <t>18  1.000004264E+04</t>
  </si>
  <si>
    <t>19  1.000004363E+04</t>
  </si>
  <si>
    <t>Mon Jul 07 14:06:30 2014</t>
  </si>
  <si>
    <t>Item? ESI 100 k/step, with parallel bars and network as before</t>
  </si>
  <si>
    <t>Trial   1.000004600E+04</t>
  </si>
  <si>
    <t>Trial 2   1.000004386E+04</t>
  </si>
  <si>
    <t>0  1.000004403E+04</t>
  </si>
  <si>
    <t>1  1.000004318E+04</t>
  </si>
  <si>
    <t>2  1.000004348E+04</t>
  </si>
  <si>
    <t>3  1.000004129E+04</t>
  </si>
  <si>
    <t>4  1.000004017E+04</t>
  </si>
  <si>
    <t>5  1.000004470E+04</t>
  </si>
  <si>
    <t>6  1.000004281E+04</t>
  </si>
  <si>
    <t>7  1.000004242E+04</t>
  </si>
  <si>
    <t>8  1.000004286E+04</t>
  </si>
  <si>
    <t>9  1.000004135E+04</t>
  </si>
  <si>
    <t>10  1.000004320E+04</t>
  </si>
  <si>
    <t>11  1.000004179E+04</t>
  </si>
  <si>
    <t>12  1.000004017E+04</t>
  </si>
  <si>
    <t>13  1.000004132E+04</t>
  </si>
  <si>
    <t>14  1.000004045E+04</t>
  </si>
  <si>
    <t>15  1.000004219E+04</t>
  </si>
  <si>
    <t>16  1.000004128E+04</t>
  </si>
  <si>
    <t>17  1.000004109E+04</t>
  </si>
  <si>
    <t>18  1.000004435E+04</t>
  </si>
  <si>
    <t>19  1.000004015E+04</t>
  </si>
  <si>
    <t>Mon Jul 07 14:11:36 2014</t>
  </si>
  <si>
    <t>GMH51 20.07 °C next to ESI box</t>
  </si>
  <si>
    <t>Item? ESI 100k/step in parallel, repeat (distracted by email to Laly)</t>
  </si>
  <si>
    <t>Trial   1.000003918E+04</t>
  </si>
  <si>
    <t>Trial 2   1.000003865E+04</t>
  </si>
  <si>
    <t>0  1.000004056E+04</t>
  </si>
  <si>
    <t>1  1.000004283E+04</t>
  </si>
  <si>
    <t>2  1.000003867E+04</t>
  </si>
  <si>
    <t>3  1.000004095E+04</t>
  </si>
  <si>
    <t>4  1.000004042E+04</t>
  </si>
  <si>
    <t>5  1.000004087E+04</t>
  </si>
  <si>
    <t>6  1.000004012E+04</t>
  </si>
  <si>
    <t>7  1.000003737E+04</t>
  </si>
  <si>
    <t>8  1.000003809E+04</t>
  </si>
  <si>
    <t>9  1.000003920E+04</t>
  </si>
  <si>
    <t>10  1.000003750E+04</t>
  </si>
  <si>
    <t>11  1.000004008E+04</t>
  </si>
  <si>
    <t>12  1.000003788E+04</t>
  </si>
  <si>
    <t>13  1.000003379E+04</t>
  </si>
  <si>
    <t>14  1.000003932E+04</t>
  </si>
  <si>
    <t>15  1.000003986E+04</t>
  </si>
  <si>
    <t>16  1.000003920E+04</t>
  </si>
  <si>
    <t>17  1.000003612E+04</t>
  </si>
  <si>
    <t>18  1.000003831E+04</t>
  </si>
  <si>
    <t>19  1.000003994E+04</t>
  </si>
  <si>
    <t>Mon Jul 07 14:45:30 2014</t>
  </si>
  <si>
    <t>GMH51 20.01 °C</t>
  </si>
  <si>
    <t>Temperature  33.2</t>
  </si>
  <si>
    <t>Range? :1.2E5</t>
  </si>
  <si>
    <t>Item? ESI 100k/step in series parallel on 1-9</t>
  </si>
  <si>
    <t>Trial   1.000002318E+05</t>
  </si>
  <si>
    <t>Trial 2   1.000002333E+05</t>
  </si>
  <si>
    <t>0  1.000001983E+05</t>
  </si>
  <si>
    <t>1  1.000002073E+05</t>
  </si>
  <si>
    <t>2  1.000001877E+05</t>
  </si>
  <si>
    <t>3  1.000001935E+05</t>
  </si>
  <si>
    <t>4  1.000002095E+05</t>
  </si>
  <si>
    <t>5  1.000002126E+05</t>
  </si>
  <si>
    <t>6  1.000001944E+05</t>
  </si>
  <si>
    <t>7  1.000002033E+05</t>
  </si>
  <si>
    <t>8  1.000002193E+05</t>
  </si>
  <si>
    <t>9  1.000001998E+05</t>
  </si>
  <si>
    <t>10  1.000002189E+05</t>
  </si>
  <si>
    <t>11  1.000002049E+05</t>
  </si>
  <si>
    <t>12  1.000002117E+05</t>
  </si>
  <si>
    <t>13  1.000002004E+05</t>
  </si>
  <si>
    <t>14  1.000001984E+05</t>
  </si>
  <si>
    <t>15  1.000001999E+05</t>
  </si>
  <si>
    <t>16  1.000001974E+05</t>
  </si>
  <si>
    <t>17  1.000002061E+05</t>
  </si>
  <si>
    <t>18  1.000001741E+05</t>
  </si>
  <si>
    <t>19  1.000002034E+05</t>
  </si>
  <si>
    <t>Mon Jul 07 14:53:59 2014</t>
  </si>
  <si>
    <t>GMH51 20.07 °C</t>
  </si>
  <si>
    <t>Item? ESI 100k/step in s-p 1-9, repeat</t>
  </si>
  <si>
    <t>Trial   1.000002125E+05</t>
  </si>
  <si>
    <t>Trial 2   1.000002080E+05</t>
  </si>
  <si>
    <t>0  1.000002132E+05</t>
  </si>
  <si>
    <t>1  1.000002136E+05</t>
  </si>
  <si>
    <t>2  1.000002040E+05</t>
  </si>
  <si>
    <t>3  1.000002001E+05</t>
  </si>
  <si>
    <t>4  1.000001778E+05</t>
  </si>
  <si>
    <t>5  1.000002069E+05</t>
  </si>
  <si>
    <t>6  1.000001998E+05</t>
  </si>
  <si>
    <t>7  1.000001934E+05</t>
  </si>
  <si>
    <t>8  1.000001969E+05</t>
  </si>
  <si>
    <t>9  1.000002015E+05</t>
  </si>
  <si>
    <t>10  1.000001930E+05</t>
  </si>
  <si>
    <t>11  1.000001828E+05</t>
  </si>
  <si>
    <t>12  1.000001848E+05</t>
  </si>
  <si>
    <t>13  1.000001809E+05</t>
  </si>
  <si>
    <t>14  1.000001838E+05</t>
  </si>
  <si>
    <t>15  1.000001979E+05</t>
  </si>
  <si>
    <t>16  1.000002046E+05</t>
  </si>
  <si>
    <t>17  1.000002011E+05</t>
  </si>
  <si>
    <t>18  1.000001961E+05</t>
  </si>
  <si>
    <t>19  1.000001986E+05</t>
  </si>
  <si>
    <t>Mon Jul 07 14:57:05 2014</t>
  </si>
  <si>
    <t>Item? ESI 100 k/step coil 10 only</t>
  </si>
  <si>
    <t>Trial   9.999990254E+04</t>
  </si>
  <si>
    <t>Trial 2   9.999988844E+04</t>
  </si>
  <si>
    <t>0  9.999989239E+04</t>
  </si>
  <si>
    <t>1  9.999988490E+04</t>
  </si>
  <si>
    <t>2  9.999987999E+04</t>
  </si>
  <si>
    <t>3  9.999988814E+04</t>
  </si>
  <si>
    <t>4  9.999987455E+04</t>
  </si>
  <si>
    <t>5  9.999987447E+04</t>
  </si>
  <si>
    <t>6  9.999987710E+04</t>
  </si>
  <si>
    <t>7  9.999986630E+04</t>
  </si>
  <si>
    <t>8  9.999986782E+04</t>
  </si>
  <si>
    <t>9  9.999988442E+04</t>
  </si>
  <si>
    <t>10  9.999987215E+04</t>
  </si>
  <si>
    <t>11  9.999985706E+04</t>
  </si>
  <si>
    <t>12  9.999987768E+04</t>
  </si>
  <si>
    <t>13  9.999987282E+04</t>
  </si>
  <si>
    <t>14  9.999985879E+04</t>
  </si>
  <si>
    <t>15  9.999986546E+04</t>
  </si>
  <si>
    <t>16  9.999985970E+04</t>
  </si>
  <si>
    <t>17  9.999986167E+04</t>
  </si>
  <si>
    <t>18  9.999986196E+04</t>
  </si>
  <si>
    <t>19  9.999986205E+04</t>
  </si>
  <si>
    <t>Mon Jul 07 15:02:38 2014</t>
  </si>
  <si>
    <t>Item? ESI 100k/step coil 10 repeat</t>
  </si>
  <si>
    <t>Trial   9.999987439E+04</t>
  </si>
  <si>
    <t>Trial 2   9.999987560E+04</t>
  </si>
  <si>
    <t>0  9.999986246E+04</t>
  </si>
  <si>
    <t>1  9.999984082E+04</t>
  </si>
  <si>
    <t>2  9.999985943E+04</t>
  </si>
  <si>
    <t>3  9.999984823E+04</t>
  </si>
  <si>
    <t>4  9.999986350E+04</t>
  </si>
  <si>
    <t>5  9.999986447E+04</t>
  </si>
  <si>
    <t>6  9.999984148E+04</t>
  </si>
  <si>
    <t>7  9.999984114E+04</t>
  </si>
  <si>
    <t>8  9.999986801E+04</t>
  </si>
  <si>
    <t>9  9.999984083E+04</t>
  </si>
  <si>
    <t>10  9.999983898E+04</t>
  </si>
  <si>
    <t>11  9.999984853E+04</t>
  </si>
  <si>
    <t>12  9.999984752E+04</t>
  </si>
  <si>
    <t>13  9.999986121E+04</t>
  </si>
  <si>
    <t>14  9.999986661E+04</t>
  </si>
  <si>
    <t>15  9.999985507E+04</t>
  </si>
  <si>
    <t>16  9.999986677E+04</t>
  </si>
  <si>
    <t>17  9.999985653E+04</t>
  </si>
  <si>
    <t>18  9.999985792E+04</t>
  </si>
  <si>
    <t>19  9.999986690E+04</t>
  </si>
  <si>
    <t>Mon Jul 07 15:04:43 2014</t>
  </si>
  <si>
    <t>GMH51  20.10 °C</t>
  </si>
  <si>
    <t>Temperature  33.3</t>
  </si>
  <si>
    <t>Range? :1.2E6</t>
  </si>
  <si>
    <t>Item? ESI 100k/step 1-10 in series</t>
  </si>
  <si>
    <t>Trial   9.999999411E+05</t>
  </si>
  <si>
    <t>Trial 2   1.000000261E+06</t>
  </si>
  <si>
    <t>0  1.000000511E+06</t>
  </si>
  <si>
    <t>1  1.000000485E+06</t>
  </si>
  <si>
    <t>2  1.000000661E+06</t>
  </si>
  <si>
    <t>3  1.000000075E+06</t>
  </si>
  <si>
    <t>4  1.000000824E+06</t>
  </si>
  <si>
    <t>5  1.000000551E+06</t>
  </si>
  <si>
    <t>6  1.000000941E+06</t>
  </si>
  <si>
    <t>7  1.000000650E+06</t>
  </si>
  <si>
    <t>8  1.000000773E+06</t>
  </si>
  <si>
    <t>9  1.000000617E+06</t>
  </si>
  <si>
    <t>10  1.000000732E+06</t>
  </si>
  <si>
    <t>11  1.000001057E+06</t>
  </si>
  <si>
    <t>12  1.000001001E+06</t>
  </si>
  <si>
    <t>13  1.000001072E+06</t>
  </si>
  <si>
    <t>14  1.000001005E+06</t>
  </si>
  <si>
    <t>15  1.000001410E+06</t>
  </si>
  <si>
    <t>16  1.000001335E+06</t>
  </si>
  <si>
    <t>17  1.000001110E+06</t>
  </si>
  <si>
    <t>18  1.000001290E+06</t>
  </si>
  <si>
    <t>19  1.000001315E+06</t>
  </si>
  <si>
    <t>Mon Jul 07 15:11:06 2014</t>
  </si>
  <si>
    <t>GMH51 20.11 °C</t>
  </si>
  <si>
    <t>Item? ESI 100k/step 1-10 in series, repeat</t>
  </si>
  <si>
    <t>Trial   1.000002540E+06</t>
  </si>
  <si>
    <t>Trial 2   1.000002393E+06</t>
  </si>
  <si>
    <t>0  1.000002853E+06</t>
  </si>
  <si>
    <t>1  1.000002656E+06</t>
  </si>
  <si>
    <t>2  1.000002477E+06</t>
  </si>
  <si>
    <t>3  1.000002456E+06</t>
  </si>
  <si>
    <t>4  1.000002490E+06</t>
  </si>
  <si>
    <t>5  1.000002296E+06</t>
  </si>
  <si>
    <t>6  1.000002549E+06</t>
  </si>
  <si>
    <t>7  1.000002195E+06</t>
  </si>
  <si>
    <t>8  1.000002461E+06</t>
  </si>
  <si>
    <t>9  1.000002326E+06</t>
  </si>
  <si>
    <t>10  1.000002483E+06</t>
  </si>
  <si>
    <t>11  1.000002379E+06</t>
  </si>
  <si>
    <t>12  1.000002663E+06</t>
  </si>
  <si>
    <t>13  1.000002427E+06</t>
  </si>
  <si>
    <t>14  1.000002362E+06</t>
  </si>
  <si>
    <t>15  1.000002331E+06</t>
  </si>
  <si>
    <t>16  1.000002983E+06</t>
  </si>
  <si>
    <t>17  1.000002585E+06</t>
  </si>
  <si>
    <t>18  1.000002991E+06</t>
  </si>
  <si>
    <t>19  1.000002926E+06</t>
  </si>
  <si>
    <t>Mon Jul 07 15:13:35 2014</t>
  </si>
  <si>
    <t>Item? UB R4B,screen connected to guard</t>
  </si>
  <si>
    <t>Trial   9.999851622E+04</t>
  </si>
  <si>
    <t>Trial 2   9.999852071E+04</t>
  </si>
  <si>
    <t>0  9.999851887E+04</t>
  </si>
  <si>
    <t>1  9.999852840E+04</t>
  </si>
  <si>
    <t>2  9.999852880E+04</t>
  </si>
  <si>
    <t>3  9.999851685E+04</t>
  </si>
  <si>
    <t>4  9.999852670E+04</t>
  </si>
  <si>
    <t>5  9.999849643E+04</t>
  </si>
  <si>
    <t>6  9.999850678E+04</t>
  </si>
  <si>
    <t>7  9.999854300E+04</t>
  </si>
  <si>
    <t>8  9.999848452E+04</t>
  </si>
  <si>
    <t>9  9.999850813E+04</t>
  </si>
  <si>
    <t>10  9.999853209E+04</t>
  </si>
  <si>
    <t>11  9.999851728E+04</t>
  </si>
  <si>
    <t>12  9.999855155E+04</t>
  </si>
  <si>
    <t>13  9.999846786E+04</t>
  </si>
  <si>
    <t>14  9.999850982E+04</t>
  </si>
  <si>
    <t>15  9.999852877E+04</t>
  </si>
  <si>
    <t>16  9.999850358E+04</t>
  </si>
  <si>
    <t>17  9.999852062E+04</t>
  </si>
  <si>
    <t>18  9.999852889E+04</t>
  </si>
  <si>
    <t>19  9.999851465E+04</t>
  </si>
  <si>
    <t>Mon Jul 07 15:50:00 2014</t>
  </si>
  <si>
    <t>GMH51 19.64 °C</t>
  </si>
  <si>
    <t>Item? UB R4B, repeat</t>
  </si>
  <si>
    <t>Trial   9.999851985E+04</t>
  </si>
  <si>
    <t>Trial 2   9.999854826E+04</t>
  </si>
  <si>
    <t>0  9.999854139E+04</t>
  </si>
  <si>
    <t>1  9.999851160E+04</t>
  </si>
  <si>
    <t>2  9.999851911E+04</t>
  </si>
  <si>
    <t>3  9.999852385E+04</t>
  </si>
  <si>
    <t>4  9.999850656E+04</t>
  </si>
  <si>
    <t>5  9.999852170E+04</t>
  </si>
  <si>
    <t>6  9.999849829E+04</t>
  </si>
  <si>
    <t>7  9.999850536E+04</t>
  </si>
  <si>
    <t>8  9.999851757E+04</t>
  </si>
  <si>
    <t>9  9.999851992E+04</t>
  </si>
  <si>
    <t>10  9.999851615E+04</t>
  </si>
  <si>
    <t>11  9.999851062E+04</t>
  </si>
  <si>
    <t>12  9.999852176E+04</t>
  </si>
  <si>
    <t>13  9.999853130E+04</t>
  </si>
  <si>
    <t>14  9.999853575E+04</t>
  </si>
  <si>
    <t>15  9.999851119E+04</t>
  </si>
  <si>
    <t>16  9.999850832E+04</t>
  </si>
  <si>
    <t>17  9.999849515E+04</t>
  </si>
  <si>
    <t>18  9.999851274E+04</t>
  </si>
  <si>
    <t>19  9.999852954E+04</t>
  </si>
  <si>
    <t>Mon Jul 07 15:53:39 2014</t>
  </si>
  <si>
    <t>Item? UB G1 through BPO tees</t>
  </si>
  <si>
    <t>Trial   9.999821890E+04</t>
  </si>
  <si>
    <t>Trial 2   9.999825721E+04</t>
  </si>
  <si>
    <t>0  9.999822478E+04</t>
  </si>
  <si>
    <t>1  9.999824312E+04</t>
  </si>
  <si>
    <t>2  9.999822837E+04</t>
  </si>
  <si>
    <t>3  9.999822644E+04</t>
  </si>
  <si>
    <t>4  9.999831956E+04</t>
  </si>
  <si>
    <t>5  9.999816724E+04</t>
  </si>
  <si>
    <t>6  9.999827530E+04</t>
  </si>
  <si>
    <t>7  9.999823707E+04</t>
  </si>
  <si>
    <t>8  9.999820014E+04</t>
  </si>
  <si>
    <t>9  9.999825013E+04</t>
  </si>
  <si>
    <t>10  9.999820758E+04</t>
  </si>
  <si>
    <t>11  9.999823278E+04</t>
  </si>
  <si>
    <t>12  9.999824534E+04</t>
  </si>
  <si>
    <t>13  9.999819385E+04</t>
  </si>
  <si>
    <t>14  9.999823569E+04</t>
  </si>
  <si>
    <t>15  9.999824552E+04</t>
  </si>
  <si>
    <t>16  9.999823241E+04</t>
  </si>
  <si>
    <t>17  9.999823336E+04</t>
  </si>
  <si>
    <t>18  9.999821847E+04</t>
  </si>
  <si>
    <t>19  9.999820986E+04</t>
  </si>
  <si>
    <t>Mon Jul 07 15:58:11 2014</t>
  </si>
  <si>
    <t>GMH51 19.65 °C</t>
  </si>
  <si>
    <t>Item? UB G1, repeat</t>
  </si>
  <si>
    <t>Trial   9.999820850E+04</t>
  </si>
  <si>
    <t>Trial 2   9.999824112E+04</t>
  </si>
  <si>
    <t>0  9.999823716E+04</t>
  </si>
  <si>
    <t>1  9.999820791E+04</t>
  </si>
  <si>
    <t>2  9.999821928E+04</t>
  </si>
  <si>
    <t>3  9.999820587E+04</t>
  </si>
  <si>
    <t>4  9.999822005E+04</t>
  </si>
  <si>
    <t>5  9.999821540E+04</t>
  </si>
  <si>
    <t>6  9.999820422E+04</t>
  </si>
  <si>
    <t>7  9.999820865E+04</t>
  </si>
  <si>
    <t>8  9.999819905E+04</t>
  </si>
  <si>
    <t>9  9.999820661E+04</t>
  </si>
  <si>
    <t>10  9.999819155E+04</t>
  </si>
  <si>
    <t>11  9.999820612E+04</t>
  </si>
  <si>
    <t>12  9.999819771E+04</t>
  </si>
  <si>
    <t>13  9.999819191E+04</t>
  </si>
  <si>
    <t>14  9.999820451E+04</t>
  </si>
  <si>
    <t>15  9.999821002E+04</t>
  </si>
  <si>
    <t>16  9.999821671E+04</t>
  </si>
  <si>
    <t>17  9.999819260E+04</t>
  </si>
  <si>
    <t>18  9.999819907E+04</t>
  </si>
  <si>
    <t>19  9.999821590E+04</t>
  </si>
  <si>
    <t>Mon Jul 07 16:00:55 2014</t>
  </si>
  <si>
    <t>Item? UB R2, through tees</t>
  </si>
  <si>
    <t>Trial   9.999872717E+04</t>
  </si>
  <si>
    <t>Trial 2   9.999875119E+04</t>
  </si>
  <si>
    <t>0  9.999875371E+04</t>
  </si>
  <si>
    <t>1  9.999876633E+04</t>
  </si>
  <si>
    <t>2  9.999874843E+04</t>
  </si>
  <si>
    <t>3  9.999873617E+04</t>
  </si>
  <si>
    <t>4  9.999874592E+04</t>
  </si>
  <si>
    <t>5  9.999874689E+04</t>
  </si>
  <si>
    <t>6  9.999875441E+04</t>
  </si>
  <si>
    <t>7  9.999875031E+04</t>
  </si>
  <si>
    <t>8  9.999875558E+04</t>
  </si>
  <si>
    <t>9  9.999874941E+04</t>
  </si>
  <si>
    <t>10  9.999875476E+04</t>
  </si>
  <si>
    <t>11  9.999875096E+04</t>
  </si>
  <si>
    <t>12  9.999876137E+04</t>
  </si>
  <si>
    <t>13  9.999875080E+04</t>
  </si>
  <si>
    <t>14  9.999875900E+04</t>
  </si>
  <si>
    <t>15  9.999874084E+04</t>
  </si>
  <si>
    <t>16  9.999874885E+04</t>
  </si>
  <si>
    <t>17  9.999876419E+04</t>
  </si>
  <si>
    <t>18  9.999876074E+04</t>
  </si>
  <si>
    <t>19  9.999875652E+04</t>
  </si>
  <si>
    <t>Mon Jul 07 16:04:27 2014</t>
  </si>
  <si>
    <t>Item? UB R2, repeat</t>
  </si>
  <si>
    <t>Trial   9.999873303E+04</t>
  </si>
  <si>
    <t>Trial 2   9.999876652E+04</t>
  </si>
  <si>
    <t>0  9.999875159E+04</t>
  </si>
  <si>
    <t>1  9.999874877E+04</t>
  </si>
  <si>
    <t>2  9.999874038E+04</t>
  </si>
  <si>
    <t>3  9.999875179E+04</t>
  </si>
  <si>
    <t>4  9.999875089E+04</t>
  </si>
  <si>
    <t>5  9.999876352E+04</t>
  </si>
  <si>
    <t>6  9.999873818E+04</t>
  </si>
  <si>
    <t>7  9.999874177E+04</t>
  </si>
  <si>
    <t>8  9.999875559E+04</t>
  </si>
  <si>
    <t>9  9.999873250E+04</t>
  </si>
  <si>
    <t>10  9.999874771E+04</t>
  </si>
  <si>
    <t>11  9.999875003E+04</t>
  </si>
  <si>
    <t>12  9.999873891E+04</t>
  </si>
  <si>
    <t>13  9.999876193E+04</t>
  </si>
  <si>
    <t>14  9.999873841E+04</t>
  </si>
  <si>
    <t>15  9.999873134E+04</t>
  </si>
  <si>
    <t>16  9.999873348E+04</t>
  </si>
  <si>
    <t>17  9.999875415E+04</t>
  </si>
  <si>
    <t>18  9.999875171E+04</t>
  </si>
  <si>
    <t>19  9.999873934E+04</t>
  </si>
  <si>
    <t>Mon Jul 07 16:07:34 2014</t>
  </si>
  <si>
    <t>Item? UB R4C</t>
  </si>
  <si>
    <t>Trial   1.000064944E+06</t>
  </si>
  <si>
    <t>Trial 2   1.000063309E+06</t>
  </si>
  <si>
    <t>0  1.000063088E+06</t>
  </si>
  <si>
    <t>1  1.000063522E+06</t>
  </si>
  <si>
    <t>2  1.000062799E+06</t>
  </si>
  <si>
    <t>3  1.000063077E+06</t>
  </si>
  <si>
    <t>4  1.000062732E+06</t>
  </si>
  <si>
    <t>5  1.000063157E+06</t>
  </si>
  <si>
    <t>6  1.000063340E+06</t>
  </si>
  <si>
    <t>7  1.000063490E+06</t>
  </si>
  <si>
    <t>8  1.000063180E+06</t>
  </si>
  <si>
    <t>9  1.000063129E+06</t>
  </si>
  <si>
    <t>10  1.000062883E+06</t>
  </si>
  <si>
    <t>11  1.000062625E+06</t>
  </si>
  <si>
    <t>12  1.000062786E+06</t>
  </si>
  <si>
    <t>13  1.000063017E+06</t>
  </si>
  <si>
    <t>14  1.000063443E+06</t>
  </si>
  <si>
    <t>15  1.000063546E+06</t>
  </si>
  <si>
    <t>16  1.000063724E+06</t>
  </si>
  <si>
    <t>17  1.000063227E+06</t>
  </si>
  <si>
    <t>18  1.000063196E+06</t>
  </si>
  <si>
    <t>19  1.000062793E+06</t>
  </si>
  <si>
    <t>Mon Jul 07 16:12:22 2014</t>
  </si>
  <si>
    <t>Item? UB R4C, repeat</t>
  </si>
  <si>
    <t>Trial   1.000065819E+06</t>
  </si>
  <si>
    <t>Trial 2   1.000067191E+06</t>
  </si>
  <si>
    <t>0  1.000066664E+06</t>
  </si>
  <si>
    <t>1  1.000064486E+06</t>
  </si>
  <si>
    <t>2  1.000063662E+06</t>
  </si>
  <si>
    <t>3  1.000063648E+06</t>
  </si>
  <si>
    <t>4  1.000065137E+06</t>
  </si>
  <si>
    <t>5  1.000067281E+06</t>
  </si>
  <si>
    <t>6  1.000068879E+06</t>
  </si>
  <si>
    <t>7  1.000069332E+06</t>
  </si>
  <si>
    <t>8  1.000068557E+06</t>
  </si>
  <si>
    <t>9  1.000066801E+06</t>
  </si>
  <si>
    <t>10  1.000065168E+06</t>
  </si>
  <si>
    <t>11  1.000064379E+06</t>
  </si>
  <si>
    <t>12  1.000064598E+06</t>
  </si>
  <si>
    <t>13  1.000065889E+06</t>
  </si>
  <si>
    <t>14  1.000067184E+06</t>
  </si>
  <si>
    <t>15  1.000068094E+06</t>
  </si>
  <si>
    <t>16  1.000068104E+06</t>
  </si>
  <si>
    <t>17  1.000067190E+06</t>
  </si>
  <si>
    <t>18  1.000067680E+06</t>
  </si>
  <si>
    <t>19  1.000067224E+06</t>
  </si>
  <si>
    <t>Mon Jul 07 16:40:29 2014</t>
  </si>
  <si>
    <t>GMH51 19.58 °C</t>
  </si>
  <si>
    <t>Sensor SR104</t>
  </si>
  <si>
    <t>From docx</t>
  </si>
  <si>
    <t>This block selects data from the docx Python output</t>
  </si>
  <si>
    <t>.</t>
  </si>
  <si>
    <t>data logger</t>
  </si>
  <si>
    <t>Y:\Ongoing\Farad\CalcCap\Cap2014\Simple_buildup_July2014.xls</t>
  </si>
  <si>
    <t>Meter Correction</t>
  </si>
  <si>
    <t>Measurement  with AH2700A</t>
  </si>
  <si>
    <t>Next calibrate ESI set of resistors</t>
  </si>
  <si>
    <t>mains frequency =  50.0514113E+00 Hz</t>
  </si>
  <si>
    <t>Temperature = 32.9</t>
  </si>
  <si>
    <t>Time taken =  16.2855000019 minutes</t>
  </si>
  <si>
    <t>Thu Jul 17 13:34:55 2014</t>
  </si>
  <si>
    <t>Item? SR104 thermistor</t>
  </si>
  <si>
    <t>Trial   9.971495330E+03</t>
  </si>
  <si>
    <t>Trial 2   9.971496304E+03</t>
  </si>
  <si>
    <t>0  9.971495573E+03</t>
  </si>
  <si>
    <t>1  9.971496996E+03</t>
  </si>
  <si>
    <t>2  9.971496629E+03</t>
  </si>
  <si>
    <t>3  9.971495857E+03</t>
  </si>
  <si>
    <t>4  9.971494343E+03</t>
  </si>
  <si>
    <t>5  9.971495549E+03</t>
  </si>
  <si>
    <t>6  9.971495693E+03</t>
  </si>
  <si>
    <t>7  9.971495905E+03</t>
  </si>
  <si>
    <t>8  9.971494767E+03</t>
  </si>
  <si>
    <t>9  9.971497310E+03</t>
  </si>
  <si>
    <t>10  9.971497057E+03</t>
  </si>
  <si>
    <t>11  9.971501974E+03</t>
  </si>
  <si>
    <t>12  9.971499281E+03</t>
  </si>
  <si>
    <t>13  9.971497535E+03</t>
  </si>
  <si>
    <t>14  9.971498418E+03</t>
  </si>
  <si>
    <t>15  9.971495111E+03</t>
  </si>
  <si>
    <t>16  9.971497004E+03</t>
  </si>
  <si>
    <t>17  9.971495674E+03</t>
  </si>
  <si>
    <t>18  9.971498310E+03</t>
  </si>
  <si>
    <t>19  9.971495692E+03</t>
  </si>
  <si>
    <t>Thu Jul 17 13:45:11 2014</t>
  </si>
  <si>
    <t>GMH51 reads  20.06 degrees</t>
  </si>
  <si>
    <t>Trial   9.999969676E+03</t>
  </si>
  <si>
    <t>Trial 2   9.999969541E+03</t>
  </si>
  <si>
    <t>0  9.999967457E+03</t>
  </si>
  <si>
    <t>1  9.999968973E+03</t>
  </si>
  <si>
    <t>2  9.999967447E+03</t>
  </si>
  <si>
    <t>3  9.999970984E+03</t>
  </si>
  <si>
    <t>4  9.999967750E+03</t>
  </si>
  <si>
    <t>5  9.999970241E+03</t>
  </si>
  <si>
    <t>6  9.999968971E+03</t>
  </si>
  <si>
    <t>7  9.999970669E+03</t>
  </si>
  <si>
    <t>8  9.999970184E+03</t>
  </si>
  <si>
    <t>9  9.999969089E+03</t>
  </si>
  <si>
    <t>10  9.999968120E+03</t>
  </si>
  <si>
    <t>11  9.999970090E+03</t>
  </si>
  <si>
    <t>12  9.999970392E+03</t>
  </si>
  <si>
    <t>13  9.999967860E+03</t>
  </si>
  <si>
    <t>14  9.999967198E+03</t>
  </si>
  <si>
    <t>15  9.999968372E+03</t>
  </si>
  <si>
    <t>16  9.999968818E+03</t>
  </si>
  <si>
    <t>17  9.999966314E+03</t>
  </si>
  <si>
    <t>18  9.999967115E+03</t>
  </si>
  <si>
    <t>19  9.999968399E+03</t>
  </si>
  <si>
    <t>Thu Jul 17 13:52:00 2014</t>
  </si>
  <si>
    <t>Trial   9.999969196E+03</t>
  </si>
  <si>
    <t>Trial 2   9.999968014E+03</t>
  </si>
  <si>
    <t>0  9.999968116E+03</t>
  </si>
  <si>
    <t>1  9.999969293E+03</t>
  </si>
  <si>
    <t>2  9.999968547E+03</t>
  </si>
  <si>
    <t>3  9.999965997E+03</t>
  </si>
  <si>
    <t>4  9.999966624E+03</t>
  </si>
  <si>
    <t>5  9.999967819E+03</t>
  </si>
  <si>
    <t>6  9.999966747E+03</t>
  </si>
  <si>
    <t>7  9.999966218E+03</t>
  </si>
  <si>
    <t>8  9.999967544E+03</t>
  </si>
  <si>
    <t>9  9.999967935E+03</t>
  </si>
  <si>
    <t>10  9.999970729E+03</t>
  </si>
  <si>
    <t>11  9.999967323E+03</t>
  </si>
  <si>
    <t>12  9.999966437E+03</t>
  </si>
  <si>
    <t>13  9.999967657E+03</t>
  </si>
  <si>
    <t>14  9.999966065E+03</t>
  </si>
  <si>
    <t>15  9.999967762E+03</t>
  </si>
  <si>
    <t>16  9.999967547E+03</t>
  </si>
  <si>
    <t>17  9.999967953E+03</t>
  </si>
  <si>
    <t>18  9.999967937E+03</t>
  </si>
  <si>
    <t>19  9.999968175E+03</t>
  </si>
  <si>
    <t>Thu Jul 17 13:55:30 2014</t>
  </si>
  <si>
    <t>GMH51 in SR104 well 20.07 degrees</t>
  </si>
  <si>
    <t>Item? ES! 1k 1-10 series</t>
  </si>
  <si>
    <t>Trial   9.999645202E+03</t>
  </si>
  <si>
    <t>Trial 2   9.999645817E+03</t>
  </si>
  <si>
    <t>0  9.999644582E+03</t>
  </si>
  <si>
    <t>1  9.999645575E+03</t>
  </si>
  <si>
    <t>2  9.999644686E+03</t>
  </si>
  <si>
    <t>3  9.999645225E+03</t>
  </si>
  <si>
    <t>4  9.999645158E+03</t>
  </si>
  <si>
    <t>5  9.999644638E+03</t>
  </si>
  <si>
    <t>6  9.999644933E+03</t>
  </si>
  <si>
    <t>7  9.999645746E+03</t>
  </si>
  <si>
    <t>8  9.999646619E+03</t>
  </si>
  <si>
    <t>9  9.999644517E+03</t>
  </si>
  <si>
    <t>10  9.999646996E+03</t>
  </si>
  <si>
    <t>11  9.999644402E+03</t>
  </si>
  <si>
    <t>12  9.999644341E+03</t>
  </si>
  <si>
    <t>13  9.999643298E+03</t>
  </si>
  <si>
    <t>14  9.999644679E+03</t>
  </si>
  <si>
    <t>15  9.999644022E+03</t>
  </si>
  <si>
    <t>16  9.999645659E+03</t>
  </si>
  <si>
    <t>17  9.999645362E+03</t>
  </si>
  <si>
    <t>18  9.999644955E+03</t>
  </si>
  <si>
    <t>19  9.999644741E+03</t>
  </si>
  <si>
    <t>Thu Jul 17 14:05:00 2014</t>
  </si>
  <si>
    <t>GMH51 20.05 degrees by ESI box</t>
  </si>
  <si>
    <t>Range? :1.2E3</t>
  </si>
  <si>
    <t>Item? ESI 1k 1-9 S/P</t>
  </si>
  <si>
    <t>Trial   9.999632104E+02</t>
  </si>
  <si>
    <t>Trial 2   9.999630321E+02</t>
  </si>
  <si>
    <t>0  9.999631495E+02</t>
  </si>
  <si>
    <t>1  9.999631178E+02</t>
  </si>
  <si>
    <t>2  9.999631765E+02</t>
  </si>
  <si>
    <t>3  9.999628805E+02</t>
  </si>
  <si>
    <t>4  9.999632166E+02</t>
  </si>
  <si>
    <t>5  9.999631175E+02</t>
  </si>
  <si>
    <t>6  9.999629689E+02</t>
  </si>
  <si>
    <t>7  9.999629700E+02</t>
  </si>
  <si>
    <t>8  9.999629707E+02</t>
  </si>
  <si>
    <t>9  9.999628537E+02</t>
  </si>
  <si>
    <t>10  9.999630094E+02</t>
  </si>
  <si>
    <t>11  9.999630536E+02</t>
  </si>
  <si>
    <t>12  9.999628324E+02</t>
  </si>
  <si>
    <t>13  9.999630765E+02</t>
  </si>
  <si>
    <t>14  9.999632411E+02</t>
  </si>
  <si>
    <t>15  9.999629403E+02</t>
  </si>
  <si>
    <t>16  9.999630600E+02</t>
  </si>
  <si>
    <t>17  9.999627381E+02</t>
  </si>
  <si>
    <t>18  9.999626925E+02</t>
  </si>
  <si>
    <t>19  9.999629922E+02</t>
  </si>
  <si>
    <t>Thu Jul 17 14:14:26 2014</t>
  </si>
  <si>
    <t>GMH51 20.09</t>
  </si>
  <si>
    <t>Item? ESI 1k R10</t>
  </si>
  <si>
    <t>Trial   9.999737655E+02</t>
  </si>
  <si>
    <t>Trial 2   9.999737940E+02</t>
  </si>
  <si>
    <t>0  9.999736473E+02</t>
  </si>
  <si>
    <t>1  9.999737959E+02</t>
  </si>
  <si>
    <t>2  9.999738792E+02</t>
  </si>
  <si>
    <t>3  9.999737596E+02</t>
  </si>
  <si>
    <t>4  9.999736667E+02</t>
  </si>
  <si>
    <t>5  9.999735997E+02</t>
  </si>
  <si>
    <t>6  9.999735344E+02</t>
  </si>
  <si>
    <t>7  9.999738024E+02</t>
  </si>
  <si>
    <t>8  9.999737068E+02</t>
  </si>
  <si>
    <t>9  9.999735789E+02</t>
  </si>
  <si>
    <t>10  9.999734382E+02</t>
  </si>
  <si>
    <t>11  9.999736382E+02</t>
  </si>
  <si>
    <t>12  9.999733559E+02</t>
  </si>
  <si>
    <t>13  9.999733443E+02</t>
  </si>
  <si>
    <t>14  9.999736660E+02</t>
  </si>
  <si>
    <t>15  9.999735552E+02</t>
  </si>
  <si>
    <t>16  9.999735056E+02</t>
  </si>
  <si>
    <t>17  9.999732994E+02</t>
  </si>
  <si>
    <t>18  9.999733617E+02</t>
  </si>
  <si>
    <t>19  9.999733233E+02</t>
  </si>
  <si>
    <t>Thu Jul 17 14:19:33 2014</t>
  </si>
  <si>
    <t>Item? ESI 1k R1</t>
  </si>
  <si>
    <t>Trial   9.999639804E+02</t>
  </si>
  <si>
    <t>Trial 2   9.999638130E+02</t>
  </si>
  <si>
    <t>0  9.999636698E+02</t>
  </si>
  <si>
    <t>1  9.999636799E+02</t>
  </si>
  <si>
    <t>2  9.999638243E+02</t>
  </si>
  <si>
    <t>3  9.999636862E+02</t>
  </si>
  <si>
    <t>4  9.999638516E+02</t>
  </si>
  <si>
    <t>5  9.999640541E+02</t>
  </si>
  <si>
    <t>6  9.999636862E+02</t>
  </si>
  <si>
    <t>7  9.999637291E+02</t>
  </si>
  <si>
    <t>8  9.999639401E+02</t>
  </si>
  <si>
    <t>9  9.999638077E+02</t>
  </si>
  <si>
    <t>10  9.999640010E+02</t>
  </si>
  <si>
    <t>11  9.999637841E+02</t>
  </si>
  <si>
    <t>12  9.999638811E+02</t>
  </si>
  <si>
    <t>13  9.999638383E+02</t>
  </si>
  <si>
    <t>14  9.999637598E+02</t>
  </si>
  <si>
    <t>15  9.999638422E+02</t>
  </si>
  <si>
    <t>16  9.999636058E+02</t>
  </si>
  <si>
    <t>17  9.999637151E+02</t>
  </si>
  <si>
    <t>18  9.999639641E+02</t>
  </si>
  <si>
    <t>19  9.999638198E+02</t>
  </si>
  <si>
    <t>Thu Jul 17 14:24:20 2014</t>
  </si>
  <si>
    <t>GMH51 20.17 degrees.</t>
  </si>
  <si>
    <t>Range? :1.2E2</t>
  </si>
  <si>
    <t>Item? ESI 1k 1-10 p</t>
  </si>
  <si>
    <t>Trial   9.999619231E+01</t>
  </si>
  <si>
    <t>Trial 2   9.999641379E+01</t>
  </si>
  <si>
    <t>0  9.999607254E+01</t>
  </si>
  <si>
    <t>1  9.999640437E+01</t>
  </si>
  <si>
    <t>2  9.999643328E+01</t>
  </si>
  <si>
    <t>3  9.999634847E+01</t>
  </si>
  <si>
    <t>4  9.999621716E+01</t>
  </si>
  <si>
    <t>5  9.999633592E+01</t>
  </si>
  <si>
    <t>6  9.999662691E+01</t>
  </si>
  <si>
    <t>7  9.999640136E+01</t>
  </si>
  <si>
    <t>8  9.999658124E+01</t>
  </si>
  <si>
    <t>9  9.999635024E+01</t>
  </si>
  <si>
    <t>10  9.999617473E+01</t>
  </si>
  <si>
    <t>11  9.999634126E+01</t>
  </si>
  <si>
    <t>12  9.999633012E+01</t>
  </si>
  <si>
    <t>13  9.999650638E+01</t>
  </si>
  <si>
    <t>14  9.999662631E+01</t>
  </si>
  <si>
    <t>15  9.999648935E+01</t>
  </si>
  <si>
    <t>16  9.999625468E+01</t>
  </si>
  <si>
    <t>17  9.999632772E+01</t>
  </si>
  <si>
    <t>18  9.999617991E+01</t>
  </si>
  <si>
    <t>19  9.999641203E+01</t>
  </si>
  <si>
    <t>Thu Jul 17 14:33:16 2014</t>
  </si>
  <si>
    <t>GMH51 20.20</t>
  </si>
  <si>
    <t>Item? ESI 1k 1-10 p, repeat</t>
  </si>
  <si>
    <t>Trial   9.999633590E+01</t>
  </si>
  <si>
    <t>Trial 2   9.999622223E+01</t>
  </si>
  <si>
    <t>0  9.999640251E+01</t>
  </si>
  <si>
    <t>1  9.999638511E+01</t>
  </si>
  <si>
    <t>2  9.999638605E+01</t>
  </si>
  <si>
    <t>3  9.999638538E+01</t>
  </si>
  <si>
    <t>4  9.999637363E+01</t>
  </si>
  <si>
    <t>5  9.999637178E+01</t>
  </si>
  <si>
    <t>6  9.999624219E+01</t>
  </si>
  <si>
    <t>7  9.999628705E+01</t>
  </si>
  <si>
    <t>8  9.999636234E+01</t>
  </si>
  <si>
    <t>9  9.999613280E+01</t>
  </si>
  <si>
    <t>10  9.999620267E+01</t>
  </si>
  <si>
    <t>11  9.999646790E+01</t>
  </si>
  <si>
    <t>12  9.999656748E+01</t>
  </si>
  <si>
    <t>13  9.999633301E+01</t>
  </si>
  <si>
    <t>14  9.999622343E+01</t>
  </si>
  <si>
    <t>15  9.999637672E+01</t>
  </si>
  <si>
    <t>16  9.999640555E+01</t>
  </si>
  <si>
    <t>17  9.999649081E+01</t>
  </si>
  <si>
    <t>18  9.999630989E+01</t>
  </si>
  <si>
    <t>19  9.999636415E+01</t>
  </si>
  <si>
    <t>Thu Jul 17 14:36:11 2014</t>
  </si>
  <si>
    <t>Item? ESI 100 1-10 S</t>
  </si>
  <si>
    <t>Trial   9.999593322E+02</t>
  </si>
  <si>
    <t>Trial 2   9.999593652E+02</t>
  </si>
  <si>
    <t>0  9.999594681E+02</t>
  </si>
  <si>
    <t>1  9.999594293E+02</t>
  </si>
  <si>
    <t>2  9.999593828E+02</t>
  </si>
  <si>
    <t>3  9.999594268E+02</t>
  </si>
  <si>
    <t>4  9.999592960E+02</t>
  </si>
  <si>
    <t>5  9.999592070E+02</t>
  </si>
  <si>
    <t>6  9.999593703E+02</t>
  </si>
  <si>
    <t>7  9.999594132E+02</t>
  </si>
  <si>
    <t>8  9.999593939E+02</t>
  </si>
  <si>
    <t>9  9.999593433E+02</t>
  </si>
  <si>
    <t>10  9.999595731E+02</t>
  </si>
  <si>
    <t>11  9.999594137E+02</t>
  </si>
  <si>
    <t>12  9.999593631E+02</t>
  </si>
  <si>
    <t>13  9.999594964E+02</t>
  </si>
  <si>
    <t>14  9.999594233E+02</t>
  </si>
  <si>
    <t>15  9.999592255E+02</t>
  </si>
  <si>
    <t>16  9.999593256E+02</t>
  </si>
  <si>
    <t>17  9.999593129E+02</t>
  </si>
  <si>
    <t>18  9.999592013E+02</t>
  </si>
  <si>
    <t>19  9.999592254E+02</t>
  </si>
  <si>
    <t>Thu Jul 17 14:46:46 2014</t>
  </si>
  <si>
    <t>GMH51 19.98</t>
  </si>
  <si>
    <t>pythonw -u "MeasureR.py"</t>
  </si>
  <si>
    <t>Trial   9.999591445E+02</t>
  </si>
  <si>
    <t>Trial 2   9.999589284E+02</t>
  </si>
  <si>
    <t>0  9.999588058E+02</t>
  </si>
  <si>
    <t>1  9.999588937E+02</t>
  </si>
  <si>
    <t>2  9.999588314E+02</t>
  </si>
  <si>
    <t>3  9.999589860E+02</t>
  </si>
  <si>
    <t>4  9.999590854E+02</t>
  </si>
  <si>
    <t>5  9.999590110E+02</t>
  </si>
  <si>
    <t>6  9.999590416E+02</t>
  </si>
  <si>
    <t>7  9.999589177E+02</t>
  </si>
  <si>
    <t>8  9.999589846E+02</t>
  </si>
  <si>
    <t>9  9.999587510E+02</t>
  </si>
  <si>
    <t>10  9.999586031E+02</t>
  </si>
  <si>
    <t>11  9.999587845E+02</t>
  </si>
  <si>
    <t>12  9.999590555E+02</t>
  </si>
  <si>
    <t>13  9.999586938E+02</t>
  </si>
  <si>
    <t>14  9.999590344E+02</t>
  </si>
  <si>
    <t>15  9.999588307E+02</t>
  </si>
  <si>
    <t>16  9.999588225E+02</t>
  </si>
  <si>
    <t>17  9.999586650E+02</t>
  </si>
  <si>
    <t>18  9.999587548E+02</t>
  </si>
  <si>
    <t>19  9.999587591E+02</t>
  </si>
  <si>
    <t>Thu Jul 17 15:49:57 2014</t>
  </si>
  <si>
    <t>GMH51 19.72</t>
  </si>
  <si>
    <t>Item? ESI 100 R1</t>
  </si>
  <si>
    <t>Trial   9.999711930E+01</t>
  </si>
  <si>
    <t>Trial 2   9.999690324E+01</t>
  </si>
  <si>
    <t>0  9.999722929E+01</t>
  </si>
  <si>
    <t>1  9.999712979E+01</t>
  </si>
  <si>
    <t>2  9.999714256E+01</t>
  </si>
  <si>
    <t>3  9.999717471E+01</t>
  </si>
  <si>
    <t>4  9.999689610E+01</t>
  </si>
  <si>
    <t>5  9.999707279E+01</t>
  </si>
  <si>
    <t>6  9.999708441E+01</t>
  </si>
  <si>
    <t>7  9.999701128E+01</t>
  </si>
  <si>
    <t>8  9.999725316E+01</t>
  </si>
  <si>
    <t>9  9.999709699E+01</t>
  </si>
  <si>
    <t>10  9.999697153E+01</t>
  </si>
  <si>
    <t>11  9.999708017E+01</t>
  </si>
  <si>
    <t>12  9.999706381E+01</t>
  </si>
  <si>
    <t>13  9.999702265E+01</t>
  </si>
  <si>
    <t>14  9.999718259E+01</t>
  </si>
  <si>
    <t>15  9.999709527E+01</t>
  </si>
  <si>
    <t>16  9.999691501E+01</t>
  </si>
  <si>
    <t>17  9.999700524E+01</t>
  </si>
  <si>
    <t>18  9.999704988E+01</t>
  </si>
  <si>
    <t>19  9.999709301E+01</t>
  </si>
  <si>
    <t>Thu Jul 17 15:54:01 2014</t>
  </si>
  <si>
    <t>GMH51  19.80</t>
  </si>
  <si>
    <t>Range? :1.2E1</t>
  </si>
  <si>
    <t>Trial   9.999553033E+00</t>
  </si>
  <si>
    <t>Trial 2   9.999557216E+00</t>
  </si>
  <si>
    <t>0  9.999549003E+00</t>
  </si>
  <si>
    <t>1  9.999584869E+00</t>
  </si>
  <si>
    <t>2  9.999556193E+00</t>
  </si>
  <si>
    <t>3  9.999557771E+00</t>
  </si>
  <si>
    <t>4  9.999562567E+00</t>
  </si>
  <si>
    <t>5  9.999546486E+00</t>
  </si>
  <si>
    <t>6  9.999551302E+00</t>
  </si>
  <si>
    <t>7  9.999570111E+00</t>
  </si>
  <si>
    <t>8  9.999564404E+00</t>
  </si>
  <si>
    <t>9  9.999560671E+00</t>
  </si>
  <si>
    <t>10  9.999576982E+00</t>
  </si>
  <si>
    <t>11  9.999560644E+00</t>
  </si>
  <si>
    <t>12  9.999561386E+00</t>
  </si>
  <si>
    <t>13  9.999566108E+00</t>
  </si>
  <si>
    <t>14  9.999562171E+00</t>
  </si>
  <si>
    <t>15  9.999557495E+00</t>
  </si>
  <si>
    <t>16  9.999558348E+00</t>
  </si>
  <si>
    <t>17  9.999548467E+00</t>
  </si>
  <si>
    <t>18  9.999552776E+00</t>
  </si>
  <si>
    <t>19  9.999523645E+00</t>
  </si>
  <si>
    <t>Thu Jul 17 16:00:49 2014</t>
  </si>
  <si>
    <t>GMH51 19.89</t>
  </si>
  <si>
    <t>Item? ESI 10 R1</t>
  </si>
  <si>
    <t>Trial   9.999964368E+00</t>
  </si>
  <si>
    <t>Trial 2   9.999940452E+00</t>
  </si>
  <si>
    <t>0  9.999942579E+00</t>
  </si>
  <si>
    <t>1  9.999961826E+00</t>
  </si>
  <si>
    <t>2  9.999943242E+00</t>
  </si>
  <si>
    <t>3  9.999926210E+00</t>
  </si>
  <si>
    <t>4  9.999950548E+00</t>
  </si>
  <si>
    <t>5  9.999969567E+00</t>
  </si>
  <si>
    <t>6  9.999945126E+00</t>
  </si>
  <si>
    <t>7  9.999932827E+00</t>
  </si>
  <si>
    <t>8  9.999937230E+00</t>
  </si>
  <si>
    <t>9  9.999955760E+00</t>
  </si>
  <si>
    <t>10  9.999961918E+00</t>
  </si>
  <si>
    <t>11  9.999941277E+00</t>
  </si>
  <si>
    <t>12  9.999954219E+00</t>
  </si>
  <si>
    <t>13  9.999935945E+00</t>
  </si>
  <si>
    <t>14  9.999949951E+00</t>
  </si>
  <si>
    <t>15  9.999942958E+00</t>
  </si>
  <si>
    <t>16  9.999942906E+00</t>
  </si>
  <si>
    <t>17  9.999948244E+00</t>
  </si>
  <si>
    <t>18  9.999950680E+00</t>
  </si>
  <si>
    <t>19  9.999941952E+00</t>
  </si>
  <si>
    <t>Thu Jul 17 16:08:50 2014</t>
  </si>
  <si>
    <t>GMH51 20.06</t>
  </si>
  <si>
    <t>Item? ESI 10 R1-10 series</t>
  </si>
  <si>
    <t>Trial   9.999895003E+01</t>
  </si>
  <si>
    <t>Trial 2   9.999891885E+01</t>
  </si>
  <si>
    <t>0  9.999907150E+01</t>
  </si>
  <si>
    <t>1  9.999911487E+01</t>
  </si>
  <si>
    <t>2  9.999908492E+01</t>
  </si>
  <si>
    <t>3  9.999914930E+01</t>
  </si>
  <si>
    <t>4  9.999904286E+01</t>
  </si>
  <si>
    <t>5  9.999886680E+01</t>
  </si>
  <si>
    <t>6  9.999908335E+01</t>
  </si>
  <si>
    <t>7  9.999895627E+01</t>
  </si>
  <si>
    <t>8  9.999908324E+01</t>
  </si>
  <si>
    <t>9  9.999898378E+01</t>
  </si>
  <si>
    <t>10  9.999896120E+01</t>
  </si>
  <si>
    <t>11  9.999899297E+01</t>
  </si>
  <si>
    <t>12  9.999900346E+01</t>
  </si>
  <si>
    <t>13  9.999883605E+01</t>
  </si>
  <si>
    <t>14  9.999909381E+01</t>
  </si>
  <si>
    <t>15  9.999921214E+01</t>
  </si>
  <si>
    <t>16  9.999924453E+01</t>
  </si>
  <si>
    <t>17  9.999905933E+01</t>
  </si>
  <si>
    <t>18  9.999902850E+01</t>
  </si>
  <si>
    <t>19  9.999906527E+01</t>
  </si>
  <si>
    <t>Thu Jul 17 16:14:14 2014</t>
  </si>
  <si>
    <t>GMH51 20.14</t>
  </si>
  <si>
    <t>Item? 100k ishay</t>
  </si>
  <si>
    <t>Trial   1.000017099E+05</t>
  </si>
  <si>
    <t>Trial 2   1.000017357E+05</t>
  </si>
  <si>
    <t>0  1.000017177E+05</t>
  </si>
  <si>
    <t>1  1.000016704E+05</t>
  </si>
  <si>
    <t>2  1.000017294E+05</t>
  </si>
  <si>
    <t>3  1.000017696E+05</t>
  </si>
  <si>
    <t>4  1.000017417E+05</t>
  </si>
  <si>
    <t>5  1.000017171E+05</t>
  </si>
  <si>
    <t>6  1.000017417E+05</t>
  </si>
  <si>
    <t>7  1.000017366E+05</t>
  </si>
  <si>
    <t>8  1.000017292E+05</t>
  </si>
  <si>
    <t>9  1.000017461E+05</t>
  </si>
  <si>
    <t>10  1.000017244E+05</t>
  </si>
  <si>
    <t>11  1.000017205E+05</t>
  </si>
  <si>
    <t>12  1.000017326E+05</t>
  </si>
  <si>
    <t>13  1.000017152E+05</t>
  </si>
  <si>
    <t>14  1.000017374E+05</t>
  </si>
  <si>
    <t>15  1.000017273E+05</t>
  </si>
  <si>
    <t>16  1.000017183E+05</t>
  </si>
  <si>
    <t>17  1.000017323E+05</t>
  </si>
  <si>
    <t>18  1.000017069E+05</t>
  </si>
  <si>
    <t>19  1.000017188E+05</t>
  </si>
  <si>
    <t>Thu Jul 17 16:20:40 2014</t>
  </si>
  <si>
    <t>GMH51 20.19</t>
  </si>
  <si>
    <t>Item? Vishay 100k repeat</t>
  </si>
  <si>
    <t>Trial   1.000015411E+05</t>
  </si>
  <si>
    <t>Trial 2   1.000015510E+05</t>
  </si>
  <si>
    <t>0  1.000015365E+05</t>
  </si>
  <si>
    <t>1  1.000015268E+05</t>
  </si>
  <si>
    <t>2  1.000015517E+05</t>
  </si>
  <si>
    <t>3  1.000015355E+05</t>
  </si>
  <si>
    <t>4  1.000015254E+05</t>
  </si>
  <si>
    <t>5  1.000015401E+05</t>
  </si>
  <si>
    <t>6  1.000015240E+05</t>
  </si>
  <si>
    <t>7  1.000015304E+05</t>
  </si>
  <si>
    <t>8  1.000015454E+05</t>
  </si>
  <si>
    <t>9  1.000015580E+05</t>
  </si>
  <si>
    <t>10  1.000015524E+05</t>
  </si>
  <si>
    <t>11  1.000015321E+05</t>
  </si>
  <si>
    <t>12  1.000015344E+05</t>
  </si>
  <si>
    <t>13  1.000015440E+05</t>
  </si>
  <si>
    <t>14  1.000015456E+05</t>
  </si>
  <si>
    <t>15  1.000015365E+05</t>
  </si>
  <si>
    <t>16  1.000015337E+05</t>
  </si>
  <si>
    <t>17  1.000015335E+05</t>
  </si>
  <si>
    <t>18  1.000015451E+05</t>
  </si>
  <si>
    <t>19  1.000015348E+05</t>
  </si>
  <si>
    <t>Thu Jul 17 16:28:04 2014</t>
  </si>
  <si>
    <t>Item? 10k Vishay</t>
  </si>
  <si>
    <t>Trial   1.000027757E+04</t>
  </si>
  <si>
    <t>Trial 2   1.000027674E+04</t>
  </si>
  <si>
    <t>0  1.000027601E+04</t>
  </si>
  <si>
    <t>1  1.000027719E+04</t>
  </si>
  <si>
    <t>2  1.000027778E+04</t>
  </si>
  <si>
    <t>3  1.000027750E+04</t>
  </si>
  <si>
    <t>4  1.000027408E+04</t>
  </si>
  <si>
    <t>5  1.000027672E+04</t>
  </si>
  <si>
    <t>6  1.000027695E+04</t>
  </si>
  <si>
    <t>7  1.000027494E+04</t>
  </si>
  <si>
    <t>8  1.000027555E+04</t>
  </si>
  <si>
    <t>9  1.000027679E+04</t>
  </si>
  <si>
    <t>10  1.000027615E+04</t>
  </si>
  <si>
    <t>11  1.000028002E+04</t>
  </si>
  <si>
    <t>12  1.000027514E+04</t>
  </si>
  <si>
    <t>13  1.000027444E+04</t>
  </si>
  <si>
    <t>14  1.000027457E+04</t>
  </si>
  <si>
    <t>15  1.000027570E+04</t>
  </si>
  <si>
    <t>16  1.000027637E+04</t>
  </si>
  <si>
    <t>17  1.000027354E+04</t>
  </si>
  <si>
    <t>18  1.000027488E+04</t>
  </si>
  <si>
    <t>19  1.000027540E+04</t>
  </si>
  <si>
    <t>Thu Jul 17 16:31:49 2014</t>
  </si>
  <si>
    <t>GMH51 20.17</t>
  </si>
  <si>
    <t>Item? 100 Vishay</t>
  </si>
  <si>
    <t>Trial   1.000131660E+02</t>
  </si>
  <si>
    <t>Trial 2   1.000130719E+02</t>
  </si>
  <si>
    <t>0  1.000131073E+02</t>
  </si>
  <si>
    <t>1  1.000134502E+02</t>
  </si>
  <si>
    <t>2  1.000132129E+02</t>
  </si>
  <si>
    <t>3  1.000131490E+02</t>
  </si>
  <si>
    <t>4  1.000130690E+02</t>
  </si>
  <si>
    <t>5  1.000132104E+02</t>
  </si>
  <si>
    <t>6  1.000130966E+02</t>
  </si>
  <si>
    <t>7  1.000131675E+02</t>
  </si>
  <si>
    <t>8  1.000132009E+02</t>
  </si>
  <si>
    <t>9  1.000131551E+02</t>
  </si>
  <si>
    <t>10  1.000133579E+02</t>
  </si>
  <si>
    <t>11  1.000132767E+02</t>
  </si>
  <si>
    <t>12  1.000130706E+02</t>
  </si>
  <si>
    <t>13  1.000131544E+02</t>
  </si>
  <si>
    <t>14  1.000131324E+02</t>
  </si>
  <si>
    <t>15  1.000130392E+02</t>
  </si>
  <si>
    <t>16  1.000131840E+02</t>
  </si>
  <si>
    <t>17  1.000133201E+02</t>
  </si>
  <si>
    <t>18  1.000129175E+02</t>
  </si>
  <si>
    <t>19  1.000130950E+02</t>
  </si>
  <si>
    <t>Thu Jul 17 16:35:29 2014</t>
  </si>
  <si>
    <t>GMH 51 20.11</t>
  </si>
  <si>
    <t>mains frequency =  50.0400462E+00 Hz</t>
  </si>
  <si>
    <t>Temperature = 33.4</t>
  </si>
  <si>
    <t>Time taken =  16.0772499998 minutes</t>
  </si>
  <si>
    <t>Thu Jul 31 13:57:24 2014</t>
  </si>
  <si>
    <t>['COM3', 'COM4', 'COM5', 'COM6', 'GPIB0::22']</t>
  </si>
  <si>
    <t>Item? Vishay S106D 1M</t>
  </si>
  <si>
    <t>Trial   9.999963193E+05</t>
  </si>
  <si>
    <t>Trial 2   9.999967197E+05</t>
  </si>
  <si>
    <t>0  9.999965833E+05</t>
  </si>
  <si>
    <t>1  9.999967235E+05</t>
  </si>
  <si>
    <t>2  9.999966186E+05</t>
  </si>
  <si>
    <t>3  9.999964135E+05</t>
  </si>
  <si>
    <t>4  9.999964585E+05</t>
  </si>
  <si>
    <t>5  9.999964929E+05</t>
  </si>
  <si>
    <t>6  9.999966365E+05</t>
  </si>
  <si>
    <t>7  9.999964942E+05</t>
  </si>
  <si>
    <t>8  9.999965459E+05</t>
  </si>
  <si>
    <t>9  9.999962713E+05</t>
  </si>
  <si>
    <t>10  9.999964026E+05</t>
  </si>
  <si>
    <t>11  9.999962692E+05</t>
  </si>
  <si>
    <t>12  9.999963153E+05</t>
  </si>
  <si>
    <t>13  9.999962428E+05</t>
  </si>
  <si>
    <t>14  9.999961601E+05</t>
  </si>
  <si>
    <t>15  9.999962719E+05</t>
  </si>
  <si>
    <t>16  9.999963667E+05</t>
  </si>
  <si>
    <t>17  9.999964213E+05</t>
  </si>
  <si>
    <t>18  9.999962916E+05</t>
  </si>
  <si>
    <t>19  9.999963838E+05</t>
  </si>
  <si>
    <t>Thu Jul 31 14:32:49 2014</t>
  </si>
  <si>
    <t>GMH51 20.01</t>
  </si>
  <si>
    <t>Trial   9.999965304E+05</t>
  </si>
  <si>
    <t>Trial 2   9.999966892E+05</t>
  </si>
  <si>
    <t>0  9.999970253E+05</t>
  </si>
  <si>
    <t>1  9.999971704E+05</t>
  </si>
  <si>
    <t>2  9.999969313E+05</t>
  </si>
  <si>
    <t>3  9.999971360E+05</t>
  </si>
  <si>
    <t>4  9.999973011E+05</t>
  </si>
  <si>
    <t>5  9.999971888E+05</t>
  </si>
  <si>
    <t>6  9.999971570E+05</t>
  </si>
  <si>
    <t>7  9.999971115E+05</t>
  </si>
  <si>
    <t>8  9.999971711E+05</t>
  </si>
  <si>
    <t>9  9.999968658E+05</t>
  </si>
  <si>
    <t>10  9.999970695E+05</t>
  </si>
  <si>
    <t>11  9.999969482E+05</t>
  </si>
  <si>
    <t>12  9.999971898E+05</t>
  </si>
  <si>
    <t>13  9.999969724E+05</t>
  </si>
  <si>
    <t>14  9.999971814E+05</t>
  </si>
  <si>
    <t>15  9.999968986E+05</t>
  </si>
  <si>
    <t>16  9.999970115E+05</t>
  </si>
  <si>
    <t>17  9.999970907E+05</t>
  </si>
  <si>
    <t>18  9.999971375E+05</t>
  </si>
  <si>
    <t>19  9.999971830E+05</t>
  </si>
  <si>
    <t>Thu Jul 31 14:37:33 2014</t>
  </si>
  <si>
    <t>GMH51 19.95</t>
  </si>
  <si>
    <t>Temperature  33.4</t>
  </si>
  <si>
    <t>Trial   9.969186052E+03</t>
  </si>
  <si>
    <t>Trial 2   9.969185708E+03</t>
  </si>
  <si>
    <t>0  9.969184643E+03</t>
  </si>
  <si>
    <t>1  9.969185981E+03</t>
  </si>
  <si>
    <t>2  9.969186238E+03</t>
  </si>
  <si>
    <t>3  9.969186144E+03</t>
  </si>
  <si>
    <t>4  9.969188423E+03</t>
  </si>
  <si>
    <t>5  9.969189547E+03</t>
  </si>
  <si>
    <t>6  9.969187924E+03</t>
  </si>
  <si>
    <t>7  9.969188497E+03</t>
  </si>
  <si>
    <t>8  9.969186384E+03</t>
  </si>
  <si>
    <t>9  9.969187898E+03</t>
  </si>
  <si>
    <t>10  9.969188013E+03</t>
  </si>
  <si>
    <t>11  9.969187596E+03</t>
  </si>
  <si>
    <t>12  9.969185831E+03</t>
  </si>
  <si>
    <t>13  9.969189290E+03</t>
  </si>
  <si>
    <t>14  9.969186741E+03</t>
  </si>
  <si>
    <t>15  9.969188574E+03</t>
  </si>
  <si>
    <t>16  9.969190410E+03</t>
  </si>
  <si>
    <t>17  9.969191168E+03</t>
  </si>
  <si>
    <t>18  9.969189748E+03</t>
  </si>
  <si>
    <t>19  9.969190179E+03</t>
  </si>
  <si>
    <t>Thu Jul 31 15:40:36 2014</t>
  </si>
  <si>
    <t>GMH51 19.81</t>
  </si>
  <si>
    <t>Item? SR104 10k</t>
  </si>
  <si>
    <t>Trial   9.999970312E+03</t>
  </si>
  <si>
    <t>Trial 2   9.999971031E+03</t>
  </si>
  <si>
    <t>0  9.999970112E+03</t>
  </si>
  <si>
    <t>1  9.999972805E+03</t>
  </si>
  <si>
    <t>2  9.999968950E+03</t>
  </si>
  <si>
    <t>3  9.999968510E+03</t>
  </si>
  <si>
    <t>4  9.999968676E+03</t>
  </si>
  <si>
    <t>5  9.999969939E+03</t>
  </si>
  <si>
    <t>6  9.999970711E+03</t>
  </si>
  <si>
    <t>7  9.999971186E+03</t>
  </si>
  <si>
    <t>8  9.999970540E+03</t>
  </si>
  <si>
    <t>9  9.999970725E+03</t>
  </si>
  <si>
    <t>10  9.999968956E+03</t>
  </si>
  <si>
    <t>11  9.999969770E+03</t>
  </si>
  <si>
    <t>12  9.999970224E+03</t>
  </si>
  <si>
    <t>13  9.999968849E+03</t>
  </si>
  <si>
    <t>14  9.999968916E+03</t>
  </si>
  <si>
    <t>15  9.999969152E+03</t>
  </si>
  <si>
    <t>16  9.999971083E+03</t>
  </si>
  <si>
    <t>17  9.999967072E+03</t>
  </si>
  <si>
    <t>18  9.999969479E+03</t>
  </si>
  <si>
    <t>19  9.999969715E+03</t>
  </si>
  <si>
    <t>Thu Jul 31 15:49:22 2014</t>
  </si>
  <si>
    <t>GMH51 19.82</t>
  </si>
  <si>
    <t>Item? ESI 100k 1-10 p</t>
  </si>
  <si>
    <t>Trial   1.000005854E+04</t>
  </si>
  <si>
    <t>Trial 2   1.000005519E+04</t>
  </si>
  <si>
    <t>0  1.000005444E+04</t>
  </si>
  <si>
    <t>1  1.000005470E+04</t>
  </si>
  <si>
    <t>2  1.000005663E+04</t>
  </si>
  <si>
    <t>3  1.000005504E+04</t>
  </si>
  <si>
    <t>4  1.000005708E+04</t>
  </si>
  <si>
    <t>5  1.000005620E+04</t>
  </si>
  <si>
    <t>6  1.000005344E+04</t>
  </si>
  <si>
    <t>7  1.000005340E+04</t>
  </si>
  <si>
    <t>8  1.000005378E+04</t>
  </si>
  <si>
    <t>9  1.000005322E+04</t>
  </si>
  <si>
    <t>10  1.000005472E+04</t>
  </si>
  <si>
    <t>11  1.000005645E+04</t>
  </si>
  <si>
    <t>12  1.000005765E+04</t>
  </si>
  <si>
    <t>13  1.000005537E+04</t>
  </si>
  <si>
    <t>14  1.000005472E+04</t>
  </si>
  <si>
    <t>15  1.000005644E+04</t>
  </si>
  <si>
    <t>16  1.000005663E+04</t>
  </si>
  <si>
    <t>17  1.000005621E+04</t>
  </si>
  <si>
    <t>18  1.000005901E+04</t>
  </si>
  <si>
    <t>19  1.000005702E+04</t>
  </si>
  <si>
    <t>Thu Jul 31 15:55:34 2014</t>
  </si>
  <si>
    <t>Item? ESI 100k/step, 1-10 p</t>
  </si>
  <si>
    <t>Trial   1.000005337E+04</t>
  </si>
  <si>
    <t>Trial 2   1.000005397E+04</t>
  </si>
  <si>
    <t>0  1.000005361E+04</t>
  </si>
  <si>
    <t>1  1.000005177E+04</t>
  </si>
  <si>
    <t>2  1.000005296E+04</t>
  </si>
  <si>
    <t>3  1.000005285E+04</t>
  </si>
  <si>
    <t>4  1.000005567E+04</t>
  </si>
  <si>
    <t>5  1.000005313E+04</t>
  </si>
  <si>
    <t>6  1.000005635E+04</t>
  </si>
  <si>
    <t>7  1.000005177E+04</t>
  </si>
  <si>
    <t>8  1.000005225E+04</t>
  </si>
  <si>
    <t>9  1.000005360E+04</t>
  </si>
  <si>
    <t>10  1.000005273E+04</t>
  </si>
  <si>
    <t>11  1.000005338E+04</t>
  </si>
  <si>
    <t>12  1.000005544E+04</t>
  </si>
  <si>
    <t>13  1.000005413E+04</t>
  </si>
  <si>
    <t>14  1.000005072E+04</t>
  </si>
  <si>
    <t>15  1.000005368E+04</t>
  </si>
  <si>
    <t>16  1.000005260E+04</t>
  </si>
  <si>
    <t>17  1.000005450E+04</t>
  </si>
  <si>
    <t>18  1.000005296E+04</t>
  </si>
  <si>
    <t>19  1.000005367E+04</t>
  </si>
  <si>
    <t>Thu Jul 31 15:58:09 2014</t>
  </si>
  <si>
    <t>Item? ESI 100k, 1-10 s</t>
  </si>
  <si>
    <t>Trial   1.000003360E+06</t>
  </si>
  <si>
    <t>Trial 2   1.000004248E+06</t>
  </si>
  <si>
    <t>0  1.000003722E+06</t>
  </si>
  <si>
    <t>1  1.000003822E+06</t>
  </si>
  <si>
    <t>2  1.000003732E+06</t>
  </si>
  <si>
    <t>3  1.000003887E+06</t>
  </si>
  <si>
    <t>4  1.000004086E+06</t>
  </si>
  <si>
    <t>5  1.000004042E+06</t>
  </si>
  <si>
    <t>6  1.000004148E+06</t>
  </si>
  <si>
    <t>7  1.000004002E+06</t>
  </si>
  <si>
    <t>8  1.000004200E+06</t>
  </si>
  <si>
    <t>9  1.000004054E+06</t>
  </si>
  <si>
    <t>10  1.000004334E+06</t>
  </si>
  <si>
    <t>11  1.000003929E+06</t>
  </si>
  <si>
    <t>12  1.000004077E+06</t>
  </si>
  <si>
    <t>13  1.000004348E+06</t>
  </si>
  <si>
    <t>14  1.000004306E+06</t>
  </si>
  <si>
    <t>15  1.000004498E+06</t>
  </si>
  <si>
    <t>16  1.000004333E+06</t>
  </si>
  <si>
    <t>17  1.000004624E+06</t>
  </si>
  <si>
    <t>18  1.000004432E+06</t>
  </si>
  <si>
    <t>19  1.000004480E+06</t>
  </si>
  <si>
    <t>Thu Jul 31 16:07:25 2014</t>
  </si>
  <si>
    <t>Item? ESI 100k/step, 1-10 series</t>
  </si>
  <si>
    <t>Trial   1.000004733E+06</t>
  </si>
  <si>
    <t>Trial 2   1.000004482E+06</t>
  </si>
  <si>
    <t>0  1.000004688E+06</t>
  </si>
  <si>
    <t>1  1.000005104E+06</t>
  </si>
  <si>
    <t>2  1.000004909E+06</t>
  </si>
  <si>
    <t>3  1.000004584E+06</t>
  </si>
  <si>
    <t>4  1.000004707E+06</t>
  </si>
  <si>
    <t>5  1.000004897E+06</t>
  </si>
  <si>
    <t>6  1.000005083E+06</t>
  </si>
  <si>
    <t>7  1.000004882E+06</t>
  </si>
  <si>
    <t>8  1.000004765E+06</t>
  </si>
  <si>
    <t>9  1.000004879E+06</t>
  </si>
  <si>
    <t>10  1.000004920E+06</t>
  </si>
  <si>
    <t>11  1.000005022E+06</t>
  </si>
  <si>
    <t>12  1.000004656E+06</t>
  </si>
  <si>
    <t>13  1.000004950E+06</t>
  </si>
  <si>
    <t>14  1.000004856E+06</t>
  </si>
  <si>
    <t>15  1.000004739E+06</t>
  </si>
  <si>
    <t>16  1.000004974E+06</t>
  </si>
  <si>
    <t>17  1.000004938E+06</t>
  </si>
  <si>
    <t>18  1.000004839E+06</t>
  </si>
  <si>
    <t>19  1.000004959E+06</t>
  </si>
  <si>
    <t>Thu Jul 31 16:09:22 2014</t>
  </si>
  <si>
    <t>GMH51 20.31</t>
  </si>
  <si>
    <t>57/58</t>
  </si>
  <si>
    <t>59/60</t>
  </si>
  <si>
    <t>61/62</t>
  </si>
  <si>
    <t>63/64</t>
  </si>
  <si>
    <t>coaxial</t>
  </si>
  <si>
    <t>flying lead zeros used with ESI</t>
  </si>
  <si>
    <t>boxes</t>
  </si>
  <si>
    <t>101/102</t>
  </si>
  <si>
    <t>Item?E SI 100 1-10 S repeat after tea</t>
  </si>
  <si>
    <t>Item? ESI 100 1-10 P</t>
  </si>
  <si>
    <t>DC resistance data linked to docx page</t>
  </si>
  <si>
    <t>test_c</t>
  </si>
  <si>
    <t>Using test_c</t>
  </si>
  <si>
    <t>Comment, 2014 calibration</t>
  </si>
  <si>
    <t>ESI box summary for comparison with MI bridge values</t>
  </si>
  <si>
    <t>Box/step</t>
  </si>
  <si>
    <t>MI(ppm)</t>
  </si>
  <si>
    <t>see Y:\Ongoing\OHM\ESI_Boxes\BuildupESIboxes2014.xls, ~10 Feb 2014</t>
  </si>
  <si>
    <t>HP3458</t>
  </si>
  <si>
    <t>Note that humidity/temperature/time will account for the differences.</t>
  </si>
  <si>
    <t>View as a 'common sense' check only.</t>
  </si>
  <si>
    <t>1M Vishay</t>
  </si>
  <si>
    <t>New  build up to  1M Vishay on 31 July 2014</t>
  </si>
  <si>
    <t>The 'c' term has increased significantly(from 2 to 11 ppm) but the standard deviation in the ac-dc differences has decreased.</t>
  </si>
  <si>
    <t>This suggests the calibration method is performing well with more careful use of the HP3458 (eg measuring frequency each time for NPLC)</t>
  </si>
  <si>
    <t>The increase in 'c' is a concern</t>
  </si>
  <si>
    <t>G1/G2 ratio scatter has increased.</t>
  </si>
  <si>
    <t xml:space="preserve">see 'Resistors' sheet, Comment block N74 </t>
  </si>
  <si>
    <t xml:space="preserve">Scatter in Gac-Gdc, and Rac-Rdc, is 8 ppm, down from 17.5 ppm. </t>
  </si>
  <si>
    <r>
      <t xml:space="preserve">Cautiously leave the uncertainty at </t>
    </r>
    <r>
      <rPr>
        <b/>
        <sz val="10"/>
        <rFont val="Arial"/>
        <family val="2"/>
      </rPr>
      <t>17</t>
    </r>
    <r>
      <rPr>
        <sz val="10"/>
        <rFont val="Arial"/>
        <family val="2"/>
      </rPr>
      <t xml:space="preserve"> ppm as in 2009.</t>
    </r>
  </si>
  <si>
    <r>
      <t xml:space="preserve">c' was measured as 5.7 ppm in 2005, so it is not clear any repair is required, set to </t>
    </r>
    <r>
      <rPr>
        <b/>
        <sz val="10"/>
        <rFont val="Arial"/>
        <family val="2"/>
      </rPr>
      <t>10.97</t>
    </r>
    <r>
      <rPr>
        <sz val="10"/>
        <rFont val="Arial"/>
        <family val="2"/>
      </rPr>
      <t xml:space="preserve"> ppm.</t>
    </r>
  </si>
  <si>
    <t>July 2014 uncertainties</t>
  </si>
  <si>
    <t>are same as for 2009</t>
  </si>
  <si>
    <t>Correction</t>
  </si>
  <si>
    <t>Revert phase interaction to 16, otherwise</t>
  </si>
  <si>
    <t>(u'ASRL3::INSTR', u'ASRL4::INSTR', u'ASRL5::INSTR', u'ASRL6::INSTR', u'ASRL7::INSTR', u'ASRL10::INSTR', u'GPIB0::22::INSTR')</t>
  </si>
  <si>
    <t>mains frequency =  50.0444640E+00</t>
  </si>
  <si>
    <t xml:space="preserve"> Hz</t>
  </si>
  <si>
    <t>Temperature = 35.7</t>
  </si>
  <si>
    <t>Time taken =  16.021266667 minutes</t>
  </si>
  <si>
    <t>Thu Jun 01 11:48:26 2017</t>
  </si>
  <si>
    <t>Temperature  35.7</t>
  </si>
  <si>
    <t>Range? :1e4</t>
  </si>
  <si>
    <t>Trial   9.976265574E+03</t>
  </si>
  <si>
    <t>Trial 2   9.976267493E+03</t>
  </si>
  <si>
    <t>0  9.976264332E+03</t>
  </si>
  <si>
    <t>1  9.976267237E+03</t>
  </si>
  <si>
    <t>2  9.976266812E+03</t>
  </si>
  <si>
    <t>3  9.976266992E+03</t>
  </si>
  <si>
    <t>4  9.976267074E+03</t>
  </si>
  <si>
    <t>5  9.976267454E+03</t>
  </si>
  <si>
    <t>6  9.976268215E+03</t>
  </si>
  <si>
    <t>7  9.976266918E+03</t>
  </si>
  <si>
    <t>8  9.976265816E+03</t>
  </si>
  <si>
    <t>9  9.976270492E+03</t>
  </si>
  <si>
    <t>10  9.976265893E+03</t>
  </si>
  <si>
    <t>11  9.976270749E+03</t>
  </si>
  <si>
    <t>12  9.976266889E+03</t>
  </si>
  <si>
    <t>13  9.976267363E+03</t>
  </si>
  <si>
    <t>14  9.976270895E+03</t>
  </si>
  <si>
    <t>15  9.976267596E+03</t>
  </si>
  <si>
    <t>16  9.976273635E+03</t>
  </si>
  <si>
    <t>17  9.976269898E+03</t>
  </si>
  <si>
    <t>18  9.976269092E+03</t>
  </si>
  <si>
    <t>19  9.976268622E+03</t>
  </si>
  <si>
    <t>Thu Jun 01 11:57:52 2017</t>
  </si>
  <si>
    <t>Item? SR104 serial 109006, GMH5 reads 20.58</t>
  </si>
  <si>
    <t>Trial   9.999996623E+03</t>
  </si>
  <si>
    <t>Trial 2   9.999995857E+03</t>
  </si>
  <si>
    <t>0  9.999996665E+03</t>
  </si>
  <si>
    <t>1  9.999995950E+03</t>
  </si>
  <si>
    <t>2  9.999996199E+03</t>
  </si>
  <si>
    <t>3  9.999996232E+03</t>
  </si>
  <si>
    <t>4  9.999996653E+03</t>
  </si>
  <si>
    <t>5  9.999997037E+03</t>
  </si>
  <si>
    <t>6  9.999997722E+03</t>
  </si>
  <si>
    <t>7  9.999996756E+03</t>
  </si>
  <si>
    <t>8  9.999998462E+03</t>
  </si>
  <si>
    <t>9  9.999994700E+03</t>
  </si>
  <si>
    <t>10  9.999997428E+03</t>
  </si>
  <si>
    <t>11  9.999996476E+03</t>
  </si>
  <si>
    <t>12  9.999997922E+03</t>
  </si>
  <si>
    <t>13  9.999997527E+03</t>
  </si>
  <si>
    <t>14  9.999995886E+03</t>
  </si>
  <si>
    <t>15  9.999995764E+03</t>
  </si>
  <si>
    <t>16  9.999998147E+03</t>
  </si>
  <si>
    <t>17  9.999998328E+03</t>
  </si>
  <si>
    <t>18  9.999995937E+03</t>
  </si>
  <si>
    <t>19  9.999996673E+03</t>
  </si>
  <si>
    <t>Thu Jun 01 12:04:33 2017</t>
  </si>
  <si>
    <t>Temperature  35.8</t>
  </si>
  <si>
    <t>Item? 100k ESI in parallel as 10k, GMH5 20.7 on bench by box</t>
  </si>
  <si>
    <t>Trial   1.000009391E+04</t>
  </si>
  <si>
    <t>Trial 2   1.000009504E+04</t>
  </si>
  <si>
    <t>0  1.000009390E+04</t>
  </si>
  <si>
    <t>1  1.000009231E+04</t>
  </si>
  <si>
    <t>2  1.000009262E+04</t>
  </si>
  <si>
    <t>3  1.000009478E+04</t>
  </si>
  <si>
    <t>4  1.000009406E+04</t>
  </si>
  <si>
    <t>5  1.000009150E+04</t>
  </si>
  <si>
    <t>6  1.000009222E+04</t>
  </si>
  <si>
    <t>7  1.000009278E+04</t>
  </si>
  <si>
    <t>8  1.000009514E+04</t>
  </si>
  <si>
    <t>9  1.000009416E+04</t>
  </si>
  <si>
    <t>10  1.000009110E+04</t>
  </si>
  <si>
    <t>11  1.000009023E+04</t>
  </si>
  <si>
    <t>12  1.000009213E+04</t>
  </si>
  <si>
    <t>13  1.000009521E+04</t>
  </si>
  <si>
    <t>14  1.000009206E+04</t>
  </si>
  <si>
    <t>15  1.000009362E+04</t>
  </si>
  <si>
    <t>16  1.000009306E+04</t>
  </si>
  <si>
    <t>17  1.000009370E+04</t>
  </si>
  <si>
    <t>18  1.000009321E+04</t>
  </si>
  <si>
    <t>19  1.000009213E+04</t>
  </si>
  <si>
    <t>Thu Jun 01 12:11:48 2017</t>
  </si>
  <si>
    <t>Item? ESI 100k 1-10 in parallel as 10k, GMH5 reads 20.59 on bench</t>
  </si>
  <si>
    <t>Trial   1.000010336E+04</t>
  </si>
  <si>
    <t>Trial 2   1.000008327E+04</t>
  </si>
  <si>
    <t>0  1.000008892E+04</t>
  </si>
  <si>
    <t>1  1.000009666E+04</t>
  </si>
  <si>
    <t>2  1.000009674E+04</t>
  </si>
  <si>
    <t>3  1.000008282E+04</t>
  </si>
  <si>
    <t>4  1.000009640E+04</t>
  </si>
  <si>
    <t>5  1.000008502E+04</t>
  </si>
  <si>
    <t>6  1.000008656E+04</t>
  </si>
  <si>
    <t>7  1.000008480E+04</t>
  </si>
  <si>
    <t>8  1.000009614E+04</t>
  </si>
  <si>
    <t>9  1.000008601E+04</t>
  </si>
  <si>
    <t>10  1.000009211E+04</t>
  </si>
  <si>
    <t>11  1.000009476E+04</t>
  </si>
  <si>
    <t>12  1.000009571E+04</t>
  </si>
  <si>
    <t>13  1.000008632E+04</t>
  </si>
  <si>
    <t>14  1.000008842E+04</t>
  </si>
  <si>
    <t>15  1.000009068E+04</t>
  </si>
  <si>
    <t>16  1.000009869E+04</t>
  </si>
  <si>
    <t>17  1.000009544E+04</t>
  </si>
  <si>
    <t>18  1.000008573E+04</t>
  </si>
  <si>
    <t>19  1.000009704E+04</t>
  </si>
  <si>
    <t>Thu Jun 01 12:55:51 2017</t>
  </si>
  <si>
    <t>Range? :1e5</t>
  </si>
  <si>
    <t>Item? ESI 100 k 1-9 in SP, GMH5 21.08 on bench</t>
  </si>
  <si>
    <t>Trial   1.000006986E+05</t>
  </si>
  <si>
    <t>Trial 2   1.000007199E+05</t>
  </si>
  <si>
    <t>0  1.000007041E+05</t>
  </si>
  <si>
    <t>1  1.000006963E+05</t>
  </si>
  <si>
    <t>2  1.000007012E+05</t>
  </si>
  <si>
    <t>3  1.000007099E+05</t>
  </si>
  <si>
    <t>4  1.000006864E+05</t>
  </si>
  <si>
    <t>5  1.000007064E+05</t>
  </si>
  <si>
    <t>6  1.000007070E+05</t>
  </si>
  <si>
    <t>7  1.000006901E+05</t>
  </si>
  <si>
    <t>8  1.000006904E+05</t>
  </si>
  <si>
    <t>9  1.000007013E+05</t>
  </si>
  <si>
    <t>10  1.000007061E+05</t>
  </si>
  <si>
    <t>11  1.000007121E+05</t>
  </si>
  <si>
    <t>12  1.000007082E+05</t>
  </si>
  <si>
    <t>13  1.000006952E+05</t>
  </si>
  <si>
    <t>14  1.000007151E+05</t>
  </si>
  <si>
    <t>15  1.000007000E+05</t>
  </si>
  <si>
    <t>16  1.000007020E+05</t>
  </si>
  <si>
    <t>17  1.000007087E+05</t>
  </si>
  <si>
    <t>18  1.000007064E+05</t>
  </si>
  <si>
    <t>19  1.000006906E+05</t>
  </si>
  <si>
    <t>Thu Jun 01 13:10:18 2017</t>
  </si>
  <si>
    <t>Item? R10 of ESI 100k, GMH5 20.99</t>
  </si>
  <si>
    <t>Trial   1.000004829E+05</t>
  </si>
  <si>
    <t>Trial 2   1.000004928E+05</t>
  </si>
  <si>
    <t>0  1.000004875E+05</t>
  </si>
  <si>
    <t>1  1.000004837E+05</t>
  </si>
  <si>
    <t>2  1.000004916E+05</t>
  </si>
  <si>
    <t>3  1.000004988E+05</t>
  </si>
  <si>
    <t>4  1.000005007E+05</t>
  </si>
  <si>
    <t>5  1.000004828E+05</t>
  </si>
  <si>
    <t>6  1.000004854E+05</t>
  </si>
  <si>
    <t>7  1.000004778E+05</t>
  </si>
  <si>
    <t>8  1.000004885E+05</t>
  </si>
  <si>
    <t>9  1.000004765E+05</t>
  </si>
  <si>
    <t>10  1.000004819E+05</t>
  </si>
  <si>
    <t>11  1.000004808E+05</t>
  </si>
  <si>
    <t>12  1.000004842E+05</t>
  </si>
  <si>
    <t>13  1.000004819E+05</t>
  </si>
  <si>
    <t>14  1.000004875E+05</t>
  </si>
  <si>
    <t>15  1.000004837E+05</t>
  </si>
  <si>
    <t>16  1.000005043E+05</t>
  </si>
  <si>
    <t>17  1.000004875E+05</t>
  </si>
  <si>
    <t>18  1.000004884E+05</t>
  </si>
  <si>
    <t>19  1.000004897E+05</t>
  </si>
  <si>
    <t>Thu Jun 01 13:16:06 2017</t>
  </si>
  <si>
    <t>Range? :1.2e5</t>
  </si>
  <si>
    <t>Item? repeat R10, GMH5 20.99 (error beep on run above)</t>
  </si>
  <si>
    <t>Trial   1.000004581E+05</t>
  </si>
  <si>
    <t>Trial 2   1.000004790E+05</t>
  </si>
  <si>
    <t>0  1.000004715E+05</t>
  </si>
  <si>
    <t>1  1.000004664E+05</t>
  </si>
  <si>
    <t>2  1.000004589E+05</t>
  </si>
  <si>
    <t>3  1.000004669E+05</t>
  </si>
  <si>
    <t>4  1.000004525E+05</t>
  </si>
  <si>
    <t>5  1.000004504E+05</t>
  </si>
  <si>
    <t>6  1.000004390E+05</t>
  </si>
  <si>
    <t>7  1.000004528E+05</t>
  </si>
  <si>
    <t>8  1.000004556E+05</t>
  </si>
  <si>
    <t>9  1.000004496E+05</t>
  </si>
  <si>
    <t>10  1.000004464E+05</t>
  </si>
  <si>
    <t>11  1.000004645E+05</t>
  </si>
  <si>
    <t>12  1.000004511E+05</t>
  </si>
  <si>
    <t>13  1.000004606E+05</t>
  </si>
  <si>
    <t>14  1.000004480E+05</t>
  </si>
  <si>
    <t>15  1.000004402E+05</t>
  </si>
  <si>
    <t>16  1.000004404E+05</t>
  </si>
  <si>
    <t>17  1.000004487E+05</t>
  </si>
  <si>
    <t>18  1.000004500E+05</t>
  </si>
  <si>
    <t>19  1.000004415E+05</t>
  </si>
  <si>
    <t>Thu Jun 01 13:21:57 2017</t>
  </si>
  <si>
    <t>Range? :1.2e6</t>
  </si>
  <si>
    <t>Item? ESI 100 k 1-10 in series, GMH5 reads 20.98</t>
  </si>
  <si>
    <t>Trial   1.000007842E+06</t>
  </si>
  <si>
    <t>Trial 2   1.000007476E+06</t>
  </si>
  <si>
    <t>0  1.000008252E+06</t>
  </si>
  <si>
    <t>1  1.000007469E+06</t>
  </si>
  <si>
    <t>2  1.000007949E+06</t>
  </si>
  <si>
    <t>3  1.000007737E+06</t>
  </si>
  <si>
    <t>4  1.000007814E+06</t>
  </si>
  <si>
    <t>5  1.000007766E+06</t>
  </si>
  <si>
    <t>6  1.000008099E+06</t>
  </si>
  <si>
    <t>7  1.000007901E+06</t>
  </si>
  <si>
    <t>8  1.000008295E+06</t>
  </si>
  <si>
    <t>9  1.000007957E+06</t>
  </si>
  <si>
    <t>10  1.000008156E+06</t>
  </si>
  <si>
    <t>11  1.000008696E+06</t>
  </si>
  <si>
    <t>12  1.000008525E+06</t>
  </si>
  <si>
    <t>13  1.000008879E+06</t>
  </si>
  <si>
    <t>14  1.000008833E+06</t>
  </si>
  <si>
    <t>15  1.000009030E+06</t>
  </si>
  <si>
    <t>16  1.000009032E+06</t>
  </si>
  <si>
    <t>17  1.000009416E+06</t>
  </si>
  <si>
    <t>18  1.000008790E+06</t>
  </si>
  <si>
    <t>19  1.000008830E+06</t>
  </si>
  <si>
    <t>Thu Jun 01 13:27:36 2017</t>
  </si>
  <si>
    <t>Item? R4B, GMH5 reads 20.31 in bridge</t>
  </si>
  <si>
    <t>Trial   9.999888028E+04</t>
  </si>
  <si>
    <t>Trial 2   9.999888658E+04</t>
  </si>
  <si>
    <t>0  9.999888912E+04</t>
  </si>
  <si>
    <t>1  9.999889498E+04</t>
  </si>
  <si>
    <t>2  9.999890208E+04</t>
  </si>
  <si>
    <t>3  9.999889466E+04</t>
  </si>
  <si>
    <t>4  9.999889424E+04</t>
  </si>
  <si>
    <t>5  9.999889108E+04</t>
  </si>
  <si>
    <t>6  9.999889148E+04</t>
  </si>
  <si>
    <t>7  9.999889942E+04</t>
  </si>
  <si>
    <t>8  9.999889246E+04</t>
  </si>
  <si>
    <t>9  9.999888631E+04</t>
  </si>
  <si>
    <t>10  9.999889514E+04</t>
  </si>
  <si>
    <t>11  9.999888229E+04</t>
  </si>
  <si>
    <t>12  9.999887335E+04</t>
  </si>
  <si>
    <t>13  9.999889276E+04</t>
  </si>
  <si>
    <t>14  9.999889298E+04</t>
  </si>
  <si>
    <t>15  9.999889206E+04</t>
  </si>
  <si>
    <t>16  9.999889492E+04</t>
  </si>
  <si>
    <t>17  9.999888841E+04</t>
  </si>
  <si>
    <t>18  9.999890439E+04</t>
  </si>
  <si>
    <t>19  9.999890489E+04</t>
  </si>
  <si>
    <t>Thu Jun 01 13:41:59 2017</t>
  </si>
  <si>
    <t>Item? R4A 10k, GMH5 reads 20.44 in ubridge</t>
  </si>
  <si>
    <t>Trial   1.000054051E+04</t>
  </si>
  <si>
    <t>Trial 2   1.000053927E+04</t>
  </si>
  <si>
    <t>0  1.000053910E+04</t>
  </si>
  <si>
    <t>1  1.000053927E+04</t>
  </si>
  <si>
    <t>2  1.000053542E+04</t>
  </si>
  <si>
    <t>3  1.000053705E+04</t>
  </si>
  <si>
    <t>4  1.000053919E+04</t>
  </si>
  <si>
    <t>5  1.000053914E+04</t>
  </si>
  <si>
    <t>6  1.000053741E+04</t>
  </si>
  <si>
    <t>7  1.000053847E+04</t>
  </si>
  <si>
    <t>8  1.000053943E+04</t>
  </si>
  <si>
    <t>9  1.000053832E+04</t>
  </si>
  <si>
    <t>10  1.000053799E+04</t>
  </si>
  <si>
    <t>11  1.000053992E+04</t>
  </si>
  <si>
    <t>12  1.000053957E+04</t>
  </si>
  <si>
    <t>13  1.000053948E+04</t>
  </si>
  <si>
    <t>14  1.000053802E+04</t>
  </si>
  <si>
    <t>15  1.000053877E+04</t>
  </si>
  <si>
    <t>16  1.000054049E+04</t>
  </si>
  <si>
    <t>17  1.000053786E+04</t>
  </si>
  <si>
    <t>18  1.000053763E+04</t>
  </si>
  <si>
    <t>19  1.000053981E+04</t>
  </si>
  <si>
    <t>Thu Jun 01 13:53:03 2017</t>
  </si>
  <si>
    <t>Item? R4C, GMH5 reads 20.52</t>
  </si>
  <si>
    <t>Trial   1.000064184E+06</t>
  </si>
  <si>
    <t>Trial 2   1.000065322E+06</t>
  </si>
  <si>
    <t>0  1.000065078E+06</t>
  </si>
  <si>
    <t>1  1.000065417E+06</t>
  </si>
  <si>
    <t>2  1.000065590E+06</t>
  </si>
  <si>
    <t>3  1.000065629E+06</t>
  </si>
  <si>
    <t>4  1.000065491E+06</t>
  </si>
  <si>
    <t>5  1.000065461E+06</t>
  </si>
  <si>
    <t>6  1.000065435E+06</t>
  </si>
  <si>
    <t>7  1.000065456E+06</t>
  </si>
  <si>
    <t>8  1.000065535E+06</t>
  </si>
  <si>
    <t>9  1.000065511E+06</t>
  </si>
  <si>
    <t>10  1.000065681E+06</t>
  </si>
  <si>
    <t>11  1.000065569E+06</t>
  </si>
  <si>
    <t>12  1.000065410E+06</t>
  </si>
  <si>
    <t>13  1.000065473E+06</t>
  </si>
  <si>
    <t>14  1.000065586E+06</t>
  </si>
  <si>
    <t>15  1.000065439E+06</t>
  </si>
  <si>
    <t>16  1.000065513E+06</t>
  </si>
  <si>
    <t>17  1.000065578E+06</t>
  </si>
  <si>
    <t>18  1.000065945E+06</t>
  </si>
  <si>
    <t>19  1.000065324E+06</t>
  </si>
  <si>
    <t>Thu Jun 01 14:00:52 2017</t>
  </si>
  <si>
    <t>Item? R2, GMH5 reads 20.54</t>
  </si>
  <si>
    <t>Trial   9.999889488E+04</t>
  </si>
  <si>
    <t>Trial 2   9.999889159E+04</t>
  </si>
  <si>
    <t>0  9.999888341E+04</t>
  </si>
  <si>
    <t>1  9.999888759E+04</t>
  </si>
  <si>
    <t>2  9.999887405E+04</t>
  </si>
  <si>
    <t>3  9.999888074E+04</t>
  </si>
  <si>
    <t>4  9.999887237E+04</t>
  </si>
  <si>
    <t>5  9.999888553E+04</t>
  </si>
  <si>
    <t>6  9.999887841E+04</t>
  </si>
  <si>
    <t>7  9.999887725E+04</t>
  </si>
  <si>
    <t>8  9.999888686E+04</t>
  </si>
  <si>
    <t>9  9.999887619E+04</t>
  </si>
  <si>
    <t>10  9.999886073E+04</t>
  </si>
  <si>
    <t>11  9.999887784E+04</t>
  </si>
  <si>
    <t>12  9.999888020E+04</t>
  </si>
  <si>
    <t>13  9.999886656E+04</t>
  </si>
  <si>
    <t>14  9.999887949E+04</t>
  </si>
  <si>
    <t>15  9.999886930E+04</t>
  </si>
  <si>
    <t>16  9.999887298E+04</t>
  </si>
  <si>
    <t>17  9.999887200E+04</t>
  </si>
  <si>
    <t>18  9.999888101E+04</t>
  </si>
  <si>
    <t>19  9.999886705E+04</t>
  </si>
  <si>
    <t>Thu Jun 01 14:07:01 2017</t>
  </si>
  <si>
    <t>Item? G1, with GMH5 reading 20.51</t>
  </si>
  <si>
    <t>Trial   9.999836176E+04</t>
  </si>
  <si>
    <t>Trial 2   9.999834648E+04</t>
  </si>
  <si>
    <t>0  9.999834301E+04</t>
  </si>
  <si>
    <t>1  9.999835466E+04</t>
  </si>
  <si>
    <t>2  9.999835246E+04</t>
  </si>
  <si>
    <t>3  9.999834782E+04</t>
  </si>
  <si>
    <t>4  9.999833479E+04</t>
  </si>
  <si>
    <t>5  9.999832900E+04</t>
  </si>
  <si>
    <t>6  9.999834780E+04</t>
  </si>
  <si>
    <t>7  9.999833382E+04</t>
  </si>
  <si>
    <t>8  9.999834182E+04</t>
  </si>
  <si>
    <t>9  9.999833914E+04</t>
  </si>
  <si>
    <t>10  9.999834125E+04</t>
  </si>
  <si>
    <t>11  9.999832407E+04</t>
  </si>
  <si>
    <t>12  9.999831739E+04</t>
  </si>
  <si>
    <t>13  9.999833160E+04</t>
  </si>
  <si>
    <t>14  9.999832869E+04</t>
  </si>
  <si>
    <t>15  9.999832822E+04</t>
  </si>
  <si>
    <t>16  9.999834164E+04</t>
  </si>
  <si>
    <t>17  9.999834068E+04</t>
  </si>
  <si>
    <t>18  9.999833286E+04</t>
  </si>
  <si>
    <t>19  9.999832933E+04</t>
  </si>
  <si>
    <t>Thu Jun 01 14:11:19 2017</t>
  </si>
  <si>
    <t>First quick check on the meter, serial no.2823A21245 (watt bridge meter).</t>
  </si>
  <si>
    <t>C:\Python27\python.exe C:/Users/k.jones/PycharmProjects/UbridgeCalibration/ACALall3458.py</t>
  </si>
  <si>
    <t>mains frequency =  49.9897804E+00</t>
  </si>
  <si>
    <t>Temperature = 35.9</t>
  </si>
  <si>
    <t>Time taken =  16.2833166639 minutes</t>
  </si>
  <si>
    <t>Wed May 31 14:29:40 2017</t>
  </si>
  <si>
    <t>Process finished with exit code 0</t>
  </si>
  <si>
    <t>Item? SR104 thermometer, GMH5 20.58 (in well)</t>
  </si>
  <si>
    <t>Next SR104 itself</t>
  </si>
  <si>
    <t>Then 100k ESI in parallel</t>
  </si>
  <si>
    <t>Repeat after lunch</t>
  </si>
  <si>
    <t>Next 100k S-P</t>
  </si>
  <si>
    <r>
      <t>Now the 10</t>
    </r>
    <r>
      <rPr>
        <vertAlign val="superscript"/>
        <sz val="11"/>
        <rFont val="Calibri"/>
        <family val="2"/>
      </rPr>
      <t>th</t>
    </r>
    <r>
      <rPr>
        <sz val="11"/>
        <rFont val="Calibri"/>
        <family val="2"/>
      </rPr>
      <t xml:space="preserve"> element</t>
    </r>
  </si>
  <si>
    <t>Finally, for now, 1 M ohm, 1-10 ESI in series</t>
  </si>
  <si>
    <t>Now the internal UB standards.</t>
  </si>
  <si>
    <t>Now R4A</t>
  </si>
  <si>
    <t>Next R4C with right angle adapters and C joined to P in a pi adapter</t>
  </si>
  <si>
    <t>Then we come to R2 (lower position)</t>
  </si>
  <si>
    <t>And, finally G1, upper position</t>
  </si>
  <si>
    <t>sheet:ResultsFrom ValuesUsed; cell I18</t>
  </si>
  <si>
    <t>U ppm</t>
  </si>
  <si>
    <t>mains frequency =</t>
  </si>
  <si>
    <t xml:space="preserve"> 49.9854618E+00</t>
  </si>
  <si>
    <t/>
  </si>
  <si>
    <t>temperature =</t>
  </si>
  <si>
    <t>33.3</t>
  </si>
  <si>
    <t>Item?:</t>
  </si>
  <si>
    <t>SR104, SN:109006</t>
  </si>
  <si>
    <t>Time:</t>
  </si>
  <si>
    <t>Tue Jan 31 10:57:54 2023</t>
  </si>
  <si>
    <t>A_mean:</t>
  </si>
  <si>
    <t>10000.019534</t>
  </si>
  <si>
    <t>A_stdevp:</t>
  </si>
  <si>
    <t>0.004134559608655788</t>
  </si>
  <si>
    <t>B_mean:</t>
  </si>
  <si>
    <t>10000.0179305</t>
  </si>
  <si>
    <t>B_stdevp:</t>
  </si>
  <si>
    <t>0.0013878778762882844</t>
  </si>
  <si>
    <t xml:space="preserve"> 49.9900916E+00</t>
  </si>
  <si>
    <t>SR104, SN:109006, resistor ternimals repeat</t>
  </si>
  <si>
    <t>Tue Jan 31 11:11:00 2023</t>
  </si>
  <si>
    <t>10000.019602000002</t>
  </si>
  <si>
    <t>0.002021613737990394</t>
  </si>
  <si>
    <t>10000.017241500002</t>
  </si>
  <si>
    <t>0.0017046292234726512</t>
  </si>
  <si>
    <t xml:space="preserve"> 49.9957409E+00</t>
  </si>
  <si>
    <t>SR104, SN:109006 Temp semsor reading_1</t>
  </si>
  <si>
    <t>Tue Jan 31 11:21:09 2023</t>
  </si>
  <si>
    <t>9981.0262778</t>
  </si>
  <si>
    <t>0.004442466226086462</t>
  </si>
  <si>
    <t>9981.0249082</t>
  </si>
  <si>
    <t>0.004513280142210357</t>
  </si>
  <si>
    <t xml:space="preserve"> 49.9925106E+00</t>
  </si>
  <si>
    <t>SR104, SN:109006 Temp semsor reading_2</t>
  </si>
  <si>
    <t>Tue Jan 31 11:25:10 2023</t>
  </si>
  <si>
    <t>9981.08561885</t>
  </si>
  <si>
    <t>0.004515444715204005</t>
  </si>
  <si>
    <t>9981.0833095</t>
  </si>
  <si>
    <t>0.004518600918942526</t>
  </si>
  <si>
    <t xml:space="preserve"> 49.9921380E+00</t>
  </si>
  <si>
    <t>33.4</t>
  </si>
  <si>
    <t>esi SR1010 sn: 937003 in parallel PC101 sn: 939007</t>
  </si>
  <si>
    <t>Tue Jan 31 12:06:30 2023</t>
  </si>
  <si>
    <t>10000.143969000002</t>
  </si>
  <si>
    <t>0.0055625570607072015</t>
  </si>
  <si>
    <t>10000.144852000001</t>
  </si>
  <si>
    <t>0.0052697124660064385</t>
  </si>
  <si>
    <t xml:space="preserve"> 50.0339570E+00</t>
  </si>
  <si>
    <t>esi SR1010 sn: 937003 in parallel/series SPC102 sn: 940008</t>
  </si>
  <si>
    <t>Tue Jan 31 13:08:30 2023</t>
  </si>
  <si>
    <t>10000.139812500001</t>
  </si>
  <si>
    <t>0.010778800770701237</t>
  </si>
  <si>
    <t>10000.1401705</t>
  </si>
  <si>
    <t>0.009663476259740686</t>
  </si>
  <si>
    <t xml:space="preserve"> 50.0876297E+00</t>
  </si>
  <si>
    <t>R10 ONLY in esi SR1010 sn: 937003</t>
  </si>
  <si>
    <t>Error due to function accidentally typo</t>
  </si>
  <si>
    <t>100001.12315999999</t>
  </si>
  <si>
    <t>0.008322980236262902</t>
  </si>
  <si>
    <t>100000.97967</t>
  </si>
  <si>
    <t xml:space="preserve"> 50.0655055E+00</t>
  </si>
  <si>
    <t>R10 ONLY in esi SR1010 sn: 937003 repeat</t>
  </si>
  <si>
    <t>Tue Jan 31 13:26:56 2023</t>
  </si>
  <si>
    <t>100001.08276500001</t>
  </si>
  <si>
    <t>0.011271308474733231</t>
  </si>
  <si>
    <t>100000.94443499998</t>
  </si>
  <si>
    <t>0.0116006022996121</t>
  </si>
  <si>
    <t xml:space="preserve"> 49.9997594E+00</t>
  </si>
  <si>
    <t>R10 ONLY in esi SR1010 sn: 937003 No Ground</t>
  </si>
  <si>
    <t>Tue Jan 31 13:30:41 2023</t>
  </si>
  <si>
    <t>100001.08064999999</t>
  </si>
  <si>
    <t>0.011976182502723285</t>
  </si>
  <si>
    <t>100000.93784</t>
  </si>
  <si>
    <t>0.008410857643272722</t>
  </si>
  <si>
    <t xml:space="preserve"> 50.0135650E+00</t>
  </si>
  <si>
    <t xml:space="preserve">UB impedance 4wire cable zero with coaxial short </t>
  </si>
  <si>
    <t>Tue Jan 31 14:33:54 2023</t>
  </si>
  <si>
    <t>0.00228932024475</t>
  </si>
  <si>
    <t>1.3839761719688043e-05</t>
  </si>
  <si>
    <t>0.0022892898923500002</t>
  </si>
  <si>
    <t>2.2927334223598846e-05</t>
  </si>
  <si>
    <t xml:space="preserve"> 49.9679828E+00</t>
  </si>
  <si>
    <t>33.6</t>
  </si>
  <si>
    <t>UB G1</t>
  </si>
  <si>
    <t>Tue Jan 31 14:48:45 2023</t>
  </si>
  <si>
    <t>99998.2863975</t>
  </si>
  <si>
    <t>0.015152377569737014</t>
  </si>
  <si>
    <t>99998.1814875</t>
  </si>
  <si>
    <t>0.013347610026660316</t>
  </si>
  <si>
    <t xml:space="preserve"> 49.9970898E+00</t>
  </si>
  <si>
    <t>UB G2</t>
  </si>
  <si>
    <t>Tue Jan 31 14:57:29 2023</t>
  </si>
  <si>
    <t>99998.885913</t>
  </si>
  <si>
    <t>0.00845639907261579</t>
  </si>
  <si>
    <t>99998.7823265</t>
  </si>
  <si>
    <t>0.009348035131469411</t>
  </si>
  <si>
    <t xml:space="preserve"> 49.9823930E+00</t>
  </si>
  <si>
    <t>33.8</t>
  </si>
  <si>
    <t xml:space="preserve"> UB R4C</t>
  </si>
  <si>
    <t>Tue Jan 31 15:59:26 2023</t>
  </si>
  <si>
    <t>1000075.4752</t>
  </si>
  <si>
    <t>0.9836337893827924</t>
  </si>
  <si>
    <t>1000075.73225</t>
  </si>
  <si>
    <t>1.779940267336856</t>
  </si>
  <si>
    <t xml:space="preserve"> 49.9863151E+00</t>
  </si>
  <si>
    <t>UB R4A</t>
  </si>
  <si>
    <t>Tue Jan 31 16:05:39 2023</t>
  </si>
  <si>
    <t>10000.548465499998</t>
  </si>
  <si>
    <t>0.008200356523020575</t>
  </si>
  <si>
    <t>10000.551211</t>
  </si>
  <si>
    <t>0.006637910974320766</t>
  </si>
  <si>
    <t xml:space="preserve"> 50.0325542E+00</t>
  </si>
  <si>
    <t>UB R4B</t>
  </si>
  <si>
    <t>Tue Jan 31 16:11:03 2023</t>
  </si>
  <si>
    <t>99999.33132550001</t>
  </si>
  <si>
    <t>0.009978601564664652</t>
  </si>
  <si>
    <t>99999.235396</t>
  </si>
  <si>
    <t>0.016064037115282145</t>
  </si>
  <si>
    <t xml:space="preserve"> 49.9933075E+00</t>
  </si>
  <si>
    <t>33.9</t>
  </si>
  <si>
    <t>esi SR1010 sn: 937003 in series p2 used a jupmer</t>
  </si>
  <si>
    <t>Tue Jan 31 16:56:06 2023</t>
  </si>
  <si>
    <t>1000015.10485</t>
  </si>
  <si>
    <t>0.2846176151336055</t>
  </si>
  <si>
    <t>999466.2641550001</t>
  </si>
  <si>
    <t>2455.073229902235</t>
  </si>
  <si>
    <t xml:space="preserve"> 49.9263398E+00</t>
  </si>
  <si>
    <t>esi SR1010 sn: 937003 R1-R10 in series</t>
  </si>
  <si>
    <t>Tue Jan 31 17:00:42 2023</t>
  </si>
  <si>
    <t>1000016.3737</t>
  </si>
  <si>
    <t>1.1955658911324463</t>
  </si>
  <si>
    <t>1000016.1350499999</t>
  </si>
  <si>
    <t>0.6583370177523764</t>
  </si>
  <si>
    <t xml:space="preserve"> 49.9913317E+00</t>
  </si>
  <si>
    <t>R1-R10 another repeat 21.41C</t>
  </si>
  <si>
    <t>Tue Jan 31 17:03:53 2023</t>
  </si>
  <si>
    <t>1000015.3794</t>
  </si>
  <si>
    <t>0.6090915928084638</t>
  </si>
  <si>
    <t>1000015.3623499997</t>
  </si>
  <si>
    <t>0.595737338351875</t>
  </si>
  <si>
    <t>Note;</t>
  </si>
  <si>
    <t>BY DMM3458A</t>
  </si>
  <si>
    <t>esi sr1010 sn:939007 p//ssspc102 sn:94008</t>
  </si>
  <si>
    <t>Wed Feb  1 17:09:44 2023</t>
  </si>
  <si>
    <t>Started at 24/01/23: whole calibration of UB</t>
  </si>
  <si>
    <t>sheet color changed to after editing</t>
  </si>
  <si>
    <t>confirmed and finished, color</t>
  </si>
  <si>
    <t>G:\Shared drives\MSL - Electricity - Ongoing\OHM\ESI_Boxes</t>
  </si>
  <si>
    <t>Latest one is "BuildupESIboxes2016", which modified at 01/11/22</t>
  </si>
  <si>
    <t>Sheets before "ReadMe" are not in use</t>
  </si>
  <si>
    <t>3458A S/N  MY45055679</t>
  </si>
  <si>
    <t>esi SR1010 BOX  S/N: 937003</t>
  </si>
  <si>
    <t>R2(correct name:G2)</t>
  </si>
  <si>
    <t>GMH5I</t>
  </si>
  <si>
    <t>Year</t>
  </si>
  <si>
    <t>DUT</t>
  </si>
  <si>
    <t>delta19-17</t>
  </si>
  <si>
    <t>New sheet from this year 2023</t>
  </si>
  <si>
    <t>delta23-19</t>
  </si>
  <si>
    <t>Delta 23-17</t>
  </si>
  <si>
    <t xml:space="preserve"> 4 wire ohms</t>
  </si>
  <si>
    <t xml:space="preserve">To be comfirmed, if it's needed </t>
  </si>
  <si>
    <t>Data collected in 'E3458A_Res_2023-01-31.csv' and 'E3458A_Res_2023-02-01.csv', combined to "UBcalibrationJune2023_OD.xlsx"</t>
  </si>
  <si>
    <t xml:space="preserve">SR104 S/N:109006 </t>
  </si>
  <si>
    <t>α23 = +0.18</t>
  </si>
  <si>
    <t>β = -0.027</t>
  </si>
  <si>
    <t xml:space="preserve">...\Electricity\Ongoing\OHM\Buildup2021_MDE.xls, </t>
  </si>
  <si>
    <t>Alpha_23</t>
  </si>
  <si>
    <t>Beta_23</t>
  </si>
  <si>
    <t>T</t>
  </si>
  <si>
    <t>Delta T</t>
  </si>
  <si>
    <t>A_T_numerator</t>
  </si>
  <si>
    <t>denominator</t>
  </si>
  <si>
    <t>Calculation of temp by the Temp sensors</t>
  </si>
  <si>
    <t>From E009-011 P23</t>
  </si>
  <si>
    <t>Alpha_21</t>
  </si>
  <si>
    <t>Beta_21</t>
  </si>
  <si>
    <t xml:space="preserve">temp by the SR 104 box formula </t>
  </si>
  <si>
    <t xml:space="preserve">temp by E009p23 formula </t>
  </si>
  <si>
    <t>100k#2</t>
  </si>
  <si>
    <t>100k#4</t>
  </si>
  <si>
    <t>10k#3</t>
  </si>
  <si>
    <t>10k#4</t>
  </si>
  <si>
    <t>1k#1</t>
  </si>
  <si>
    <t>1k#4</t>
  </si>
  <si>
    <t>100#2</t>
  </si>
  <si>
    <t>100#5</t>
  </si>
  <si>
    <t>20.96C</t>
  </si>
  <si>
    <t>21.01C</t>
  </si>
  <si>
    <t>21.17C</t>
  </si>
  <si>
    <t>20.95C</t>
  </si>
  <si>
    <t>20.99C</t>
  </si>
  <si>
    <t>21.09C</t>
  </si>
  <si>
    <t>21.16C</t>
  </si>
  <si>
    <t>21.14C</t>
  </si>
  <si>
    <t>20.94C</t>
  </si>
  <si>
    <t>20.98C</t>
  </si>
  <si>
    <t>21.04C</t>
  </si>
  <si>
    <t>21.02C</t>
  </si>
  <si>
    <t xml:space="preserve"> With the C value taken by E4890A @15/02/2023</t>
  </si>
  <si>
    <t>with New UB reading @pm, 15/02/2023</t>
  </si>
  <si>
    <t>delta</t>
  </si>
  <si>
    <t>2a</t>
  </si>
  <si>
    <t>+</t>
  </si>
  <si>
    <t>-</t>
  </si>
  <si>
    <t>taken:21/02/2023</t>
  </si>
  <si>
    <t>DMM3458MRS.py</t>
  </si>
  <si>
    <t>readings of Step 16 in 2023 Starts from row 2111</t>
  </si>
  <si>
    <t>Resistor ESI 1k S NetworkBars measured by HP3458A with ID number 5</t>
  </si>
  <si>
    <t>Range?:</t>
  </si>
  <si>
    <t>ESI 1k S NetworkBars</t>
  </si>
  <si>
    <t>Trail1</t>
  </si>
  <si>
    <t>Trail2</t>
  </si>
  <si>
    <t>at</t>
  </si>
  <si>
    <t>Tue Feb 21 11:25:01 2023</t>
  </si>
  <si>
    <t>reading is:</t>
  </si>
  <si>
    <t>Resistance_mean:</t>
  </si>
  <si>
    <t>Resistance_stdevp:</t>
  </si>
  <si>
    <t xml:space="preserve">Time taken = </t>
  </si>
  <si>
    <t>minutes</t>
  </si>
  <si>
    <t>----------------</t>
  </si>
  <si>
    <t>Resistor ESI 1k S 2Jumpers measured by HP3458A with ID number 5</t>
  </si>
  <si>
    <t>ESI 1k S 2Jumpers</t>
  </si>
  <si>
    <t>Tue Feb 21 13:09:36 2023</t>
  </si>
  <si>
    <t>Resistor ESI 1k S//P NetworkBars measured by HP3458A with ID number 5</t>
  </si>
  <si>
    <t>1.0e+3.0</t>
  </si>
  <si>
    <t>ESI 1k S//P NetworkBars</t>
  </si>
  <si>
    <t>Tue Feb 21 14:56:41 2023</t>
  </si>
  <si>
    <t>Resistor ESI R10 only measured by HP3458A with ID number 5</t>
  </si>
  <si>
    <t>ESI R10 only</t>
  </si>
  <si>
    <t>Tue Feb 21 15:06:34 2023</t>
  </si>
  <si>
    <t>Resistor ESI 1k R1 only measured by HP3458A with ID number 5</t>
  </si>
  <si>
    <t>ESI 1k R1 only</t>
  </si>
  <si>
    <t>Tue Feb 21 15:12:29 2023</t>
  </si>
  <si>
    <t>Resistor ESI 1k P// only measured by HP3458A with ID number 5</t>
  </si>
  <si>
    <t>ESI 1k P// only</t>
  </si>
  <si>
    <t>Tue Feb 21 15:23:17 2023</t>
  </si>
  <si>
    <t>Resistor ESI 100 Ohm S network bars measured by HP3458A with ID number 5</t>
  </si>
  <si>
    <t>ESI 100 Ohm S network bars</t>
  </si>
  <si>
    <t>Tue Feb 21 16:17:16 2023</t>
  </si>
  <si>
    <t>Resistor SI 100 Ohm S 2XJumper Sn:123009  measured by HP3458A with ID number 5</t>
  </si>
  <si>
    <t xml:space="preserve">SI 100 Ohm S 2XJumper Sn:123009 </t>
  </si>
  <si>
    <t>Tue Feb 21 16:23:19 2023</t>
  </si>
  <si>
    <t>Resistor ESI 100 Ohm R1 only measured by HP3458A with ID number 5</t>
  </si>
  <si>
    <t>ESI 100 Ohm R1 only</t>
  </si>
  <si>
    <t>Tue Feb 21 16:30:02 2023</t>
  </si>
  <si>
    <t>Resistor eSI 100 Ohm P// network bars measured by HP3458A with ID number 5</t>
  </si>
  <si>
    <t>eSI 100 Ohm P// network bars</t>
  </si>
  <si>
    <t>Tue Feb 21 16:39:42 2023</t>
  </si>
  <si>
    <t>Resistor ESI 10 Ohm R1 only SN:A1-1752030 measured by HP3458A with ID number 5</t>
  </si>
  <si>
    <t>ESI 10 Ohm R1 only SN:A1-1752030</t>
  </si>
  <si>
    <t>Tue Feb 21 16:46:30 2023</t>
  </si>
  <si>
    <t>Resistor ESI 10 Ohm S network bars measured by HP3458A with ID number 5</t>
  </si>
  <si>
    <t>ESI 10 Ohm S network bars</t>
  </si>
  <si>
    <t>Tue Feb 21 16:55:53 2023</t>
  </si>
  <si>
    <t>Resistor ESI 10 Ohm S 2 X jumpers measured by HP3458A with ID number 5</t>
  </si>
  <si>
    <t>ESI 10 Ohm S 2 X jumpers</t>
  </si>
  <si>
    <t>Tue Feb 21 17:01:07 2023</t>
  </si>
  <si>
    <t>Resistor 100k Vishay measured by HP3458A with ID number 5</t>
  </si>
  <si>
    <t>Tue Feb 21 17:08:35 2023</t>
  </si>
  <si>
    <t>Resistor 10k Vishay measured by HP3458A with ID number 5</t>
  </si>
  <si>
    <t>10k Vishay</t>
  </si>
  <si>
    <t>Tue Feb 21 17:12:44 2023</t>
  </si>
  <si>
    <t>Resistor 100 Vishay measured by HP3458A with ID number 5</t>
  </si>
  <si>
    <t>100 Vishay</t>
  </si>
  <si>
    <t>Tue Feb 21 17:20:47 2023</t>
  </si>
  <si>
    <t>end of the measurement</t>
  </si>
  <si>
    <t>Auto Calibration</t>
  </si>
  <si>
    <t>ACAL starting</t>
  </si>
  <si>
    <t>Cal done</t>
  </si>
  <si>
    <t>Tue Feb 21 17:37:30 2023</t>
  </si>
  <si>
    <t>Resistor SR104 StdsR SN:109006 measured by HP3458A with ID number 5</t>
  </si>
  <si>
    <t>SR104 StdsR SN:109006</t>
  </si>
  <si>
    <t>Mon Feb 20 16:03:37 2023</t>
  </si>
  <si>
    <t>Resistor SR104 Temp_sensor SN109006 measured by HP3458A with ID number 5</t>
  </si>
  <si>
    <t>SR104 Temp_sensor SN109006</t>
  </si>
  <si>
    <t>Mon Feb 20 16:15:02 2023</t>
  </si>
  <si>
    <t>Temp. by GMH5I from Notebook: "Minyu II"</t>
  </si>
  <si>
    <t xml:space="preserve">ESI 100 Ohm S network bars  SN:123009 </t>
  </si>
  <si>
    <t xml:space="preserve"> </t>
  </si>
  <si>
    <t>23..0065</t>
  </si>
  <si>
    <t>Y</t>
  </si>
  <si>
    <t>Z</t>
  </si>
  <si>
    <t>29/30</t>
  </si>
  <si>
    <t>31/32</t>
  </si>
  <si>
    <t>33/34</t>
  </si>
  <si>
    <t>35/36</t>
  </si>
  <si>
    <t>37/38</t>
  </si>
  <si>
    <t>39/40</t>
  </si>
  <si>
    <t>41/42</t>
  </si>
  <si>
    <t>43/44</t>
  </si>
  <si>
    <t>as the table from row 61-row 71</t>
  </si>
  <si>
    <t>calculated results as Row 75-Row 86</t>
  </si>
  <si>
    <t>2023 comment I</t>
  </si>
  <si>
    <t>2023 comment II</t>
  </si>
  <si>
    <t>Y ranges higher phase error with the calculation  C value by LCR E4890A</t>
  </si>
  <si>
    <t>Y ranges higher phase error. Take the C value by LCR E4890A and recalculated</t>
  </si>
  <si>
    <t>re-measured Thompsons keep them away from any electronics apparatuses  as the table from row 94-row 105</t>
  </si>
  <si>
    <t>calculated results as Row 109-Row 119</t>
  </si>
  <si>
    <t>21.68C</t>
  </si>
  <si>
    <t>21.86C</t>
  </si>
  <si>
    <t>21.87C</t>
  </si>
  <si>
    <t>21.71C</t>
  </si>
  <si>
    <t>21.72C</t>
  </si>
  <si>
    <t>21.59C</t>
  </si>
  <si>
    <t>21.50C</t>
  </si>
  <si>
    <t>21.88C</t>
  </si>
  <si>
    <t>45/46</t>
  </si>
  <si>
    <t>47/48</t>
  </si>
  <si>
    <t>49/50</t>
  </si>
  <si>
    <t>51/52</t>
  </si>
  <si>
    <t>21.80C</t>
  </si>
  <si>
    <t>21.52C</t>
  </si>
  <si>
    <t>21.77C</t>
  </si>
  <si>
    <t>21.57C</t>
  </si>
  <si>
    <t>21.47C</t>
  </si>
  <si>
    <t>21..57C</t>
  </si>
  <si>
    <t>21.73C</t>
  </si>
  <si>
    <t>53/54</t>
  </si>
  <si>
    <t>55/56</t>
  </si>
  <si>
    <t xml:space="preserve">GMH51 </t>
  </si>
  <si>
    <t>65/66</t>
  </si>
  <si>
    <t>67/68</t>
  </si>
  <si>
    <t>69/70</t>
  </si>
  <si>
    <t>71/72</t>
  </si>
  <si>
    <t>73/74</t>
  </si>
  <si>
    <t>75/76</t>
  </si>
  <si>
    <t>77/78</t>
  </si>
  <si>
    <t>79/80</t>
  </si>
  <si>
    <t>81/82</t>
  </si>
  <si>
    <t>83/84</t>
  </si>
  <si>
    <t>85/86</t>
  </si>
  <si>
    <t>87/88</t>
  </si>
  <si>
    <t>89/90</t>
  </si>
  <si>
    <t>ESI 1k R10 only</t>
  </si>
  <si>
    <t>Wed Mar 15 08:37:17 2023</t>
  </si>
  <si>
    <t>Resistor SR1010_10 // P network measured by HP3458A with ID number 5</t>
  </si>
  <si>
    <t>SR1010_10 // P network</t>
  </si>
  <si>
    <t>Resistor SR1010_10 // P Network measured by HP3458A with ID number 5</t>
  </si>
  <si>
    <t>e1</t>
  </si>
  <si>
    <t>SR1010_10 // P Network</t>
  </si>
  <si>
    <t>Wed Mar 15 08:55:43 2023</t>
  </si>
  <si>
    <t>Resistor SR1010_100k // P network measured by HP3458A with ID number 5</t>
  </si>
  <si>
    <t>SR1010_100k // P network</t>
  </si>
  <si>
    <t>Wed Mar 15 09:05:50 2023</t>
  </si>
  <si>
    <t>Resistor SR1010_100K S SN 937003 measured by HP3458A with ID number 5</t>
  </si>
  <si>
    <t>SR1010_100K S SN 937003</t>
  </si>
  <si>
    <t>Wed Mar 15 09:47:09 2023</t>
  </si>
  <si>
    <t>Resistor SR104_10k SN 109006 measured by HP3458A with ID number 5</t>
  </si>
  <si>
    <t>SR104_10k SN 109006</t>
  </si>
  <si>
    <t>Wed Mar 15 09:54:32 2023</t>
  </si>
  <si>
    <t>Resistor SR104 T sensor measured by HP3458A with ID number 5</t>
  </si>
  <si>
    <t>SR104 T sensor</t>
  </si>
  <si>
    <t>Wed Mar 15 10:01:26 2023</t>
  </si>
  <si>
    <t>Resistor SN1010_100k S measured by HP3458A with ID number 5</t>
  </si>
  <si>
    <t>SN1010_100k S</t>
  </si>
  <si>
    <t>Wed Mar 15 10:08:36 2023</t>
  </si>
  <si>
    <t>Resistor Vishay 1M measured by HP3458A with ID number 5</t>
  </si>
  <si>
    <t>Vishay 1M</t>
  </si>
  <si>
    <t>Wed Mar 15 10:14:46 2023</t>
  </si>
  <si>
    <t>10Ohm //</t>
  </si>
  <si>
    <t>On</t>
  </si>
  <si>
    <t>91/92</t>
  </si>
  <si>
    <t>93/94</t>
  </si>
  <si>
    <t>95/96</t>
  </si>
  <si>
    <t>97/98</t>
  </si>
  <si>
    <t>99/100</t>
  </si>
  <si>
    <t>103/104</t>
  </si>
  <si>
    <t>105/106</t>
  </si>
  <si>
    <t>107/108</t>
  </si>
  <si>
    <t>190/110</t>
  </si>
  <si>
    <t>111/112</t>
  </si>
  <si>
    <t>113/114</t>
  </si>
  <si>
    <t>115/116</t>
  </si>
  <si>
    <t>117/118</t>
  </si>
  <si>
    <t>128/129</t>
  </si>
  <si>
    <t>130/131</t>
  </si>
  <si>
    <t>132/133</t>
  </si>
  <si>
    <t>134/135</t>
  </si>
  <si>
    <t>136/137</t>
  </si>
  <si>
    <t>138/139</t>
  </si>
  <si>
    <t>Resistor cal set a</t>
  </si>
  <si>
    <t>Stdev</t>
  </si>
  <si>
    <t>dof</t>
  </si>
  <si>
    <t>Comment</t>
  </si>
  <si>
    <t>true_sr104_20</t>
  </si>
  <si>
    <t>cal_cert interpretation</t>
  </si>
  <si>
    <t>sens_sr104</t>
  </si>
  <si>
    <t>sr104</t>
  </si>
  <si>
    <t>ep_100k</t>
  </si>
  <si>
    <t>esp_100k</t>
  </si>
  <si>
    <t>er10_100k</t>
  </si>
  <si>
    <t>es_100k</t>
  </si>
  <si>
    <t>g1</t>
  </si>
  <si>
    <t>g2</t>
  </si>
  <si>
    <t>r4a</t>
  </si>
  <si>
    <t>r4b</t>
  </si>
  <si>
    <t>r4c</t>
  </si>
  <si>
    <t>Zeros</t>
  </si>
  <si>
    <t>dial a</t>
  </si>
  <si>
    <t>dial b</t>
  </si>
  <si>
    <t>zero7z_1592</t>
  </si>
  <si>
    <t>zero6z_1592</t>
  </si>
  <si>
    <t>zero5z_1592</t>
  </si>
  <si>
    <t>zero4z_1592</t>
  </si>
  <si>
    <t>zero3z_1592</t>
  </si>
  <si>
    <t>zero2z_1592</t>
  </si>
  <si>
    <t>zero1z_1592</t>
  </si>
  <si>
    <t>zero7y_1592</t>
  </si>
  <si>
    <t>zero6y_1592</t>
  </si>
  <si>
    <t>zero5y_1592</t>
  </si>
  <si>
    <t>zero4y_1592</t>
  </si>
  <si>
    <t>zero3y_1592</t>
  </si>
  <si>
    <t>zero2y_1592</t>
  </si>
  <si>
    <t>flying leads</t>
  </si>
  <si>
    <t>zero1y_1592</t>
  </si>
  <si>
    <t>zero7z_160</t>
  </si>
  <si>
    <t>not measured at 160 Hz!</t>
  </si>
  <si>
    <t>zero6z_160</t>
  </si>
  <si>
    <t>zero5z_160</t>
  </si>
  <si>
    <t>zero4z_160</t>
  </si>
  <si>
    <t>zero3z_160</t>
  </si>
  <si>
    <t>zero2z_160</t>
  </si>
  <si>
    <t>zero1z_160</t>
  </si>
  <si>
    <t>zero7y_160</t>
  </si>
  <si>
    <t>zero6y_160</t>
  </si>
  <si>
    <t>zero5y_160</t>
  </si>
  <si>
    <t>zero4y_160</t>
  </si>
  <si>
    <t>zero3y_160</t>
  </si>
  <si>
    <t>zero2y_160</t>
  </si>
  <si>
    <t>zero1y_160</t>
  </si>
  <si>
    <t>Thompson ac Cal</t>
  </si>
  <si>
    <t>cap pF</t>
  </si>
  <si>
    <t>thomp_100k_4_z_1592</t>
  </si>
  <si>
    <t>thomp_100k_4_y_1592</t>
  </si>
  <si>
    <t>thomp_10k_4_z_1592</t>
  </si>
  <si>
    <t>thomp_10k_4_y_1592</t>
  </si>
  <si>
    <t>thomp_1k_4_z_1592</t>
  </si>
  <si>
    <t>thomp_1k_4_y_1592</t>
  </si>
  <si>
    <t>thomp_100_2_z_1592</t>
  </si>
  <si>
    <t>thomp_100_2_y_1592</t>
  </si>
  <si>
    <t>thomp_100k_4_y_160</t>
  </si>
  <si>
    <t>thomp_10k_4_y_160</t>
  </si>
  <si>
    <t>thomp_1k_4_z_160</t>
  </si>
  <si>
    <t>thomp_1k_4_y_160</t>
  </si>
  <si>
    <t>thomp_100_2_z_160</t>
  </si>
  <si>
    <t>thomp_100_2_y_160</t>
  </si>
  <si>
    <t>Resistor cal set b</t>
  </si>
  <si>
    <t>sens_sr104b</t>
  </si>
  <si>
    <t>assume true value of sr104 as in set1, just different temperature</t>
  </si>
  <si>
    <t>sr104b</t>
  </si>
  <si>
    <t>es_1k</t>
  </si>
  <si>
    <t>esp_1k</t>
  </si>
  <si>
    <t>er10_1k</t>
  </si>
  <si>
    <t>er1_1k</t>
  </si>
  <si>
    <t>es_100</t>
  </si>
  <si>
    <t>ep_1k</t>
  </si>
  <si>
    <t>er1_100</t>
  </si>
  <si>
    <t>ep_100</t>
  </si>
  <si>
    <t>er1_10</t>
  </si>
  <si>
    <t>es_10</t>
  </si>
  <si>
    <t>v_100k</t>
  </si>
  <si>
    <t>v_10k</t>
  </si>
  <si>
    <t>v_100</t>
  </si>
  <si>
    <t>Resistor cal set c</t>
  </si>
  <si>
    <t>sr104c</t>
  </si>
  <si>
    <t>sens_sr104c</t>
  </si>
  <si>
    <t>v_1M</t>
  </si>
  <si>
    <t>Resistor ac Cal</t>
  </si>
  <si>
    <t>Y dial a</t>
  </si>
  <si>
    <t>Y dial b</t>
  </si>
  <si>
    <t>Z dial a</t>
  </si>
  <si>
    <t>Z dial b</t>
  </si>
  <si>
    <t>v_1M_1592</t>
  </si>
  <si>
    <t>v_1M_160</t>
  </si>
  <si>
    <t>v_100k_1592</t>
  </si>
  <si>
    <t>v_100k_160</t>
  </si>
  <si>
    <t>v_10k_1592</t>
  </si>
  <si>
    <t>v_10k_160</t>
  </si>
  <si>
    <t>er1_1k_1592</t>
  </si>
  <si>
    <t>er1_1k_160</t>
  </si>
  <si>
    <t>er1_100_1592</t>
  </si>
  <si>
    <t>er1_100_160</t>
  </si>
  <si>
    <t>er1_10_1592</t>
  </si>
  <si>
    <t>er1_10_160</t>
  </si>
  <si>
    <t>ep_10_1592</t>
  </si>
  <si>
    <t>ep_10_160</t>
  </si>
  <si>
    <t>SR104 cal val</t>
  </si>
  <si>
    <t>at 20</t>
  </si>
  <si>
    <t>thomp_100k_2_z_160</t>
  </si>
  <si>
    <t>thomp_10k_3_z_160</t>
  </si>
  <si>
    <t>160 Hz not measured!</t>
  </si>
  <si>
    <t>not measured, use the sr104b value</t>
  </si>
  <si>
    <t>161 Hz not measured!</t>
  </si>
  <si>
    <t>162 Hz not measured!</t>
  </si>
  <si>
    <t>163 Hz not measured!</t>
  </si>
  <si>
    <t>164 Hz not measured!</t>
  </si>
  <si>
    <t>165 Hz not measured!</t>
  </si>
  <si>
    <t>166 Hz not measured!</t>
  </si>
  <si>
    <t>167 Hz not measured!</t>
  </si>
  <si>
    <t>DC calibration of resistors</t>
  </si>
  <si>
    <t>Name</t>
  </si>
  <si>
    <t>Uncertainty</t>
  </si>
  <si>
    <t>ohm</t>
  </si>
  <si>
    <t>true_sr104_t</t>
  </si>
  <si>
    <t>true_ep_100k</t>
  </si>
  <si>
    <t>true_esp_100k</t>
  </si>
  <si>
    <t>true_es_100k</t>
  </si>
  <si>
    <t>true_g1</t>
  </si>
  <si>
    <t>true_g2</t>
  </si>
  <si>
    <t>true_r4a</t>
  </si>
  <si>
    <t>true_r4b</t>
  </si>
  <si>
    <t>true_r4c</t>
  </si>
  <si>
    <t>true_sr104b_t</t>
  </si>
  <si>
    <t>true_es_1k</t>
  </si>
  <si>
    <t>true_esp_1k</t>
  </si>
  <si>
    <t>true_er1_1k</t>
  </si>
  <si>
    <t>true_es_100</t>
  </si>
  <si>
    <t>true_ep_1k</t>
  </si>
  <si>
    <t>true_ep_100</t>
  </si>
  <si>
    <t>true_er1_100</t>
  </si>
  <si>
    <t>true_er1_10</t>
  </si>
  <si>
    <t>true_es_10</t>
  </si>
  <si>
    <t>true_v_100k</t>
  </si>
  <si>
    <t>true_v_10k</t>
  </si>
  <si>
    <t>true_v_100</t>
  </si>
  <si>
    <t>true_sr104c_t</t>
  </si>
  <si>
    <t>true_epc_100k</t>
  </si>
  <si>
    <t>true_esc_100k</t>
  </si>
  <si>
    <t>true_v_1M</t>
  </si>
  <si>
    <t>Phase angle corrections from Thompson set</t>
  </si>
  <si>
    <t>Label</t>
  </si>
  <si>
    <t>Freq/Hz</t>
  </si>
  <si>
    <t>F</t>
  </si>
  <si>
    <t>H</t>
  </si>
  <si>
    <t>ppm C</t>
  </si>
  <si>
    <t>ppm L</t>
  </si>
  <si>
    <t>thomp_6a</t>
  </si>
  <si>
    <t>thomp_5a</t>
  </si>
  <si>
    <t>thomp_4a</t>
  </si>
  <si>
    <t>thomp_3a</t>
  </si>
  <si>
    <t>Gain Factor</t>
  </si>
  <si>
    <t>prod / ppm</t>
  </si>
  <si>
    <t>factor / ppm</t>
  </si>
  <si>
    <t>Freq / Hz</t>
  </si>
  <si>
    <t>UB measured values</t>
  </si>
  <si>
    <t>G / siemen</t>
  </si>
  <si>
    <t>R / ohm</t>
  </si>
  <si>
    <t>ppm from nominal</t>
  </si>
  <si>
    <t>nominal</t>
  </si>
  <si>
    <t>1/G</t>
  </si>
  <si>
    <t>GxR</t>
  </si>
  <si>
    <t>DC R</t>
  </si>
  <si>
    <t>rel to 1/G</t>
  </si>
  <si>
    <t>rel to R</t>
  </si>
  <si>
    <t>Resistor ac Cal zeros</t>
  </si>
  <si>
    <t>00000-1</t>
  </si>
  <si>
    <t>00000-11</t>
  </si>
  <si>
    <t>7Z, 1595</t>
  </si>
  <si>
    <t>7Z, 161</t>
  </si>
  <si>
    <t>7Y, 1595</t>
  </si>
  <si>
    <t>7Y, 161</t>
  </si>
  <si>
    <t>0000-192</t>
  </si>
  <si>
    <t>6Z, 1595</t>
  </si>
  <si>
    <t>0000-190</t>
  </si>
  <si>
    <t>6Z, 161</t>
  </si>
  <si>
    <t>6Y, 1595</t>
  </si>
  <si>
    <t>6Y, 161</t>
  </si>
  <si>
    <t>0000-177</t>
  </si>
  <si>
    <t>5Z, 1594</t>
  </si>
  <si>
    <t>0000-178</t>
  </si>
  <si>
    <t>5Z, 161</t>
  </si>
  <si>
    <t>0000-19</t>
  </si>
  <si>
    <t>5Y, 1595</t>
  </si>
  <si>
    <t>5Y, 161</t>
  </si>
  <si>
    <t>4Z, 1594</t>
  </si>
  <si>
    <t>00000-13</t>
  </si>
  <si>
    <t>4Z, 161</t>
  </si>
  <si>
    <t>000000-1</t>
  </si>
  <si>
    <t>4Y, 1594</t>
  </si>
  <si>
    <t>00000-17</t>
  </si>
  <si>
    <t>4Y, 161</t>
  </si>
  <si>
    <t>000-1995</t>
  </si>
  <si>
    <t>3Z, 1594</t>
  </si>
  <si>
    <t>3Z, 161</t>
  </si>
  <si>
    <t>3Y, 1595</t>
  </si>
  <si>
    <t>00000-16</t>
  </si>
  <si>
    <t>3Y, 161</t>
  </si>
  <si>
    <t>2Z, 1597</t>
  </si>
  <si>
    <t>0000-160</t>
  </si>
  <si>
    <t>2Z, 161</t>
  </si>
  <si>
    <t>00000-19</t>
  </si>
  <si>
    <t>2Y, 1596</t>
  </si>
  <si>
    <t>00000-18</t>
  </si>
  <si>
    <t>2Y, 161</t>
  </si>
  <si>
    <t>000-178</t>
  </si>
  <si>
    <t>00000X-1</t>
  </si>
  <si>
    <t>1Z, 1592</t>
  </si>
  <si>
    <t>000020-1</t>
  </si>
  <si>
    <t>1Z, 161</t>
  </si>
  <si>
    <t>1Y, 1597</t>
  </si>
  <si>
    <t>1Y, 161</t>
  </si>
  <si>
    <t>Zeros from Minyu II, 26/3/23</t>
  </si>
  <si>
    <t>Manual entry</t>
  </si>
  <si>
    <t>dial a zero</t>
  </si>
  <si>
    <t>dial b zero</t>
  </si>
  <si>
    <t>gr100uh_1k</t>
  </si>
  <si>
    <t>gr1000uh_1k</t>
  </si>
  <si>
    <t>gr10000uh_1k</t>
  </si>
  <si>
    <t>gr100000uh_1k</t>
  </si>
  <si>
    <t>gr100000uh_100</t>
  </si>
  <si>
    <t>su100000_1k</t>
  </si>
  <si>
    <t>su1000000_1k</t>
  </si>
  <si>
    <t>gr1000a_1592</t>
  </si>
  <si>
    <t>gr1000b_1592</t>
  </si>
  <si>
    <t>gr100_1592</t>
  </si>
  <si>
    <t>gr_10x100_1k</t>
  </si>
  <si>
    <t>gr_10x10n_1k</t>
  </si>
  <si>
    <t>gr_10x1n_1k</t>
  </si>
  <si>
    <t>gr_0_1k</t>
  </si>
  <si>
    <t>range zeros not measured</t>
  </si>
  <si>
    <t>Inductor set</t>
  </si>
  <si>
    <t>L / henry</t>
  </si>
  <si>
    <t>Capacitor set</t>
  </si>
  <si>
    <t>C / farad</t>
  </si>
  <si>
    <t>L / microhenry</t>
  </si>
  <si>
    <t>C /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</si>
</sst>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0"/>
    <numFmt numFmtId="165" formatCode="0.00000"/>
    <numFmt numFmtId="166" formatCode="0.000000"/>
    <numFmt numFmtId="167" formatCode="0.0000000"/>
    <numFmt numFmtId="168" formatCode="0.00000000"/>
    <numFmt numFmtId="169" formatCode="0.000"/>
    <numFmt numFmtId="170" formatCode="0.0"/>
    <numFmt numFmtId="171" formatCode="General_)"/>
    <numFmt numFmtId="172" formatCode="0.000000_)"/>
    <numFmt numFmtId="173" formatCode="0.0E+00"/>
    <numFmt numFmtId="174" formatCode="0.00000000E+00"/>
    <numFmt numFmtId="175" formatCode="0.0000000E+00"/>
  </numFmts>
  <fonts count="28" x14ac:knownFonts="1">
    <font>
      <sz val="10"/>
      <name val="Arial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b/>
      <sz val="12"/>
      <name val="Helv"/>
    </font>
    <font>
      <b/>
      <sz val="10"/>
      <name val="Helv"/>
    </font>
    <font>
      <b/>
      <sz val="10"/>
      <color indexed="33"/>
      <name val="Helv"/>
    </font>
    <font>
      <b/>
      <sz val="10"/>
      <color indexed="8"/>
      <name val="Helv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i/>
      <sz val="12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8"/>
      <name val="Cambria"/>
      <family val="1"/>
    </font>
    <font>
      <vertAlign val="superscript"/>
      <sz val="11"/>
      <name val="Calibri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10"/>
      <color theme="6"/>
      <name val="Arial"/>
      <family val="2"/>
    </font>
    <font>
      <sz val="10"/>
      <color theme="6" tint="-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302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170" fontId="0" fillId="0" borderId="0" xfId="0" applyNumberFormat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170" fontId="0" fillId="3" borderId="0" xfId="0" applyNumberFormat="1" applyFill="1"/>
    <xf numFmtId="0" fontId="1" fillId="3" borderId="0" xfId="0" applyFont="1" applyFill="1" applyAlignment="1">
      <alignment horizontal="center" wrapText="1"/>
    </xf>
    <xf numFmtId="0" fontId="1" fillId="4" borderId="0" xfId="0" applyFont="1" applyFill="1"/>
    <xf numFmtId="0" fontId="1" fillId="3" borderId="0" xfId="0" applyFont="1" applyFill="1"/>
    <xf numFmtId="0" fontId="1" fillId="5" borderId="3" xfId="0" applyFont="1" applyFill="1" applyBorder="1"/>
    <xf numFmtId="0" fontId="0" fillId="5" borderId="4" xfId="0" applyFill="1" applyBorder="1"/>
    <xf numFmtId="165" fontId="0" fillId="5" borderId="4" xfId="0" applyNumberFormat="1" applyFill="1" applyBorder="1"/>
    <xf numFmtId="165" fontId="0" fillId="5" borderId="2" xfId="0" applyNumberFormat="1" applyFill="1" applyBorder="1"/>
    <xf numFmtId="0" fontId="0" fillId="5" borderId="5" xfId="0" applyFill="1" applyBorder="1"/>
    <xf numFmtId="0" fontId="0" fillId="5" borderId="0" xfId="0" applyFill="1"/>
    <xf numFmtId="0" fontId="0" fillId="5" borderId="1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0" xfId="0" applyFill="1"/>
    <xf numFmtId="0" fontId="0" fillId="6" borderId="0" xfId="0" applyFill="1"/>
    <xf numFmtId="170" fontId="0" fillId="6" borderId="0" xfId="0" applyNumberFormat="1" applyFill="1"/>
    <xf numFmtId="0" fontId="0" fillId="6" borderId="0" xfId="0" applyFill="1" applyAlignment="1">
      <alignment horizontal="center" wrapText="1"/>
    </xf>
    <xf numFmtId="164" fontId="0" fillId="6" borderId="0" xfId="0" applyNumberFormat="1" applyFill="1"/>
    <xf numFmtId="166" fontId="0" fillId="6" borderId="0" xfId="0" applyNumberFormat="1" applyFill="1"/>
    <xf numFmtId="169" fontId="0" fillId="6" borderId="0" xfId="0" applyNumberFormat="1" applyFill="1"/>
    <xf numFmtId="1" fontId="0" fillId="6" borderId="0" xfId="0" applyNumberFormat="1" applyFill="1"/>
    <xf numFmtId="166" fontId="0" fillId="3" borderId="0" xfId="0" applyNumberFormat="1" applyFill="1"/>
    <xf numFmtId="2" fontId="0" fillId="0" borderId="0" xfId="0" applyNumberFormat="1"/>
    <xf numFmtId="167" fontId="0" fillId="6" borderId="0" xfId="0" applyNumberFormat="1" applyFill="1"/>
    <xf numFmtId="164" fontId="0" fillId="3" borderId="0" xfId="0" applyNumberFormat="1" applyFill="1"/>
    <xf numFmtId="15" fontId="0" fillId="3" borderId="0" xfId="0" applyNumberFormat="1" applyFill="1"/>
    <xf numFmtId="0" fontId="0" fillId="6" borderId="3" xfId="0" applyFill="1" applyBorder="1"/>
    <xf numFmtId="0" fontId="0" fillId="6" borderId="4" xfId="0" applyFill="1" applyBorder="1"/>
    <xf numFmtId="170" fontId="0" fillId="6" borderId="2" xfId="0" applyNumberFormat="1" applyFill="1" applyBorder="1"/>
    <xf numFmtId="0" fontId="0" fillId="6" borderId="5" xfId="0" applyFill="1" applyBorder="1"/>
    <xf numFmtId="170" fontId="0" fillId="6" borderId="1" xfId="0" applyNumberFormat="1" applyFill="1" applyBorder="1"/>
    <xf numFmtId="0" fontId="0" fillId="6" borderId="1" xfId="0" applyFill="1" applyBorder="1"/>
    <xf numFmtId="0" fontId="0" fillId="6" borderId="6" xfId="0" applyFill="1" applyBorder="1"/>
    <xf numFmtId="170" fontId="0" fillId="6" borderId="7" xfId="0" applyNumberFormat="1" applyFill="1" applyBorder="1"/>
    <xf numFmtId="0" fontId="0" fillId="6" borderId="8" xfId="0" applyFill="1" applyBorder="1"/>
    <xf numFmtId="167" fontId="0" fillId="3" borderId="0" xfId="0" applyNumberFormat="1" applyFill="1"/>
    <xf numFmtId="168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69" fontId="0" fillId="3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170" fontId="0" fillId="6" borderId="10" xfId="0" applyNumberFormat="1" applyFill="1" applyBorder="1"/>
    <xf numFmtId="170" fontId="0" fillId="7" borderId="0" xfId="0" applyNumberFormat="1" applyFill="1"/>
    <xf numFmtId="0" fontId="0" fillId="7" borderId="0" xfId="0" applyFill="1"/>
    <xf numFmtId="15" fontId="0" fillId="0" borderId="0" xfId="0" applyNumberFormat="1"/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171" fontId="5" fillId="0" borderId="0" xfId="0" applyNumberFormat="1" applyFont="1"/>
    <xf numFmtId="171" fontId="5" fillId="0" borderId="0" xfId="0" applyNumberFormat="1" applyFont="1" applyAlignment="1">
      <alignment horizontal="center"/>
    </xf>
    <xf numFmtId="171" fontId="4" fillId="0" borderId="0" xfId="0" applyNumberFormat="1" applyFont="1"/>
    <xf numFmtId="0" fontId="8" fillId="0" borderId="0" xfId="0" applyFont="1"/>
    <xf numFmtId="0" fontId="1" fillId="5" borderId="0" xfId="0" applyFont="1" applyFill="1"/>
    <xf numFmtId="172" fontId="5" fillId="5" borderId="0" xfId="0" applyNumberFormat="1" applyFont="1" applyFill="1" applyAlignment="1">
      <alignment horizontal="center"/>
    </xf>
    <xf numFmtId="171" fontId="6" fillId="5" borderId="0" xfId="0" applyNumberFormat="1" applyFont="1" applyFill="1"/>
    <xf numFmtId="171" fontId="7" fillId="5" borderId="0" xfId="0" applyNumberFormat="1" applyFont="1" applyFill="1" applyAlignment="1">
      <alignment horizontal="center"/>
    </xf>
    <xf numFmtId="171" fontId="5" fillId="5" borderId="0" xfId="0" applyNumberFormat="1" applyFont="1" applyFill="1" applyAlignment="1">
      <alignment horizontal="center"/>
    </xf>
    <xf numFmtId="0" fontId="1" fillId="2" borderId="0" xfId="0" applyFont="1" applyFill="1"/>
    <xf numFmtId="172" fontId="5" fillId="2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170" fontId="0" fillId="5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8" fillId="4" borderId="0" xfId="0" applyFont="1" applyFill="1"/>
    <xf numFmtId="0" fontId="1" fillId="8" borderId="0" xfId="0" applyFont="1" applyFill="1"/>
    <xf numFmtId="0" fontId="0" fillId="6" borderId="0" xfId="0" applyFill="1" applyAlignment="1">
      <alignment horizontal="right"/>
    </xf>
    <xf numFmtId="2" fontId="0" fillId="6" borderId="0" xfId="0" applyNumberFormat="1" applyFill="1"/>
    <xf numFmtId="0" fontId="0" fillId="0" borderId="4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6" xfId="0" applyBorder="1"/>
    <xf numFmtId="17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4" fontId="9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5" xfId="0" applyBorder="1" applyAlignment="1">
      <alignment horizontal="right"/>
    </xf>
    <xf numFmtId="14" fontId="0" fillId="0" borderId="5" xfId="0" applyNumberFormat="1" applyBorder="1"/>
    <xf numFmtId="0" fontId="10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5" fontId="0" fillId="2" borderId="20" xfId="0" applyNumberFormat="1" applyFill="1" applyBorder="1" applyProtection="1">
      <protection locked="0"/>
    </xf>
    <xf numFmtId="0" fontId="0" fillId="2" borderId="21" xfId="0" applyFill="1" applyBorder="1" applyProtection="1">
      <protection locked="0"/>
    </xf>
    <xf numFmtId="0" fontId="0" fillId="2" borderId="22" xfId="0" applyFill="1" applyBorder="1" applyProtection="1"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Protection="1"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2" xfId="0" applyFill="1" applyBorder="1" applyProtection="1"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166" fontId="0" fillId="2" borderId="0" xfId="0" applyNumberFormat="1" applyFill="1" applyProtection="1">
      <protection locked="0"/>
    </xf>
    <xf numFmtId="0" fontId="0" fillId="2" borderId="1" xfId="0" applyFill="1" applyBorder="1" applyProtection="1">
      <protection locked="0"/>
    </xf>
    <xf numFmtId="167" fontId="0" fillId="2" borderId="0" xfId="0" applyNumberFormat="1" applyFill="1" applyProtection="1"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7" xfId="0" applyFill="1" applyBorder="1" applyProtection="1"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8" xfId="0" applyFill="1" applyBorder="1" applyProtection="1">
      <protection locked="0"/>
    </xf>
    <xf numFmtId="0" fontId="0" fillId="2" borderId="9" xfId="0" applyFill="1" applyBorder="1" applyProtection="1">
      <protection locked="0"/>
    </xf>
    <xf numFmtId="15" fontId="0" fillId="2" borderId="11" xfId="0" applyNumberFormat="1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0" xfId="0" applyFill="1" applyBorder="1" applyProtection="1">
      <protection locked="0"/>
    </xf>
    <xf numFmtId="15" fontId="0" fillId="2" borderId="3" xfId="0" applyNumberFormat="1" applyFill="1" applyBorder="1" applyProtection="1">
      <protection locked="0"/>
    </xf>
    <xf numFmtId="15" fontId="0" fillId="2" borderId="6" xfId="0" applyNumberFormat="1" applyFill="1" applyBorder="1" applyProtection="1">
      <protection locked="0"/>
    </xf>
    <xf numFmtId="15" fontId="0" fillId="2" borderId="23" xfId="0" applyNumberFormat="1" applyFill="1" applyBorder="1" applyProtection="1">
      <protection locked="0"/>
    </xf>
    <xf numFmtId="1" fontId="0" fillId="2" borderId="23" xfId="0" applyNumberFormat="1" applyFill="1" applyBorder="1" applyProtection="1">
      <protection locked="0"/>
    </xf>
    <xf numFmtId="166" fontId="0" fillId="2" borderId="7" xfId="0" applyNumberForma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1" fontId="0" fillId="2" borderId="4" xfId="0" applyNumberFormat="1" applyFill="1" applyBorder="1" applyProtection="1">
      <protection locked="0"/>
    </xf>
    <xf numFmtId="1" fontId="0" fillId="2" borderId="0" xfId="0" applyNumberFormat="1" applyFill="1" applyProtection="1">
      <protection locked="0"/>
    </xf>
    <xf numFmtId="1" fontId="0" fillId="2" borderId="7" xfId="0" applyNumberFormat="1" applyFill="1" applyBorder="1" applyProtection="1">
      <protection locked="0"/>
    </xf>
    <xf numFmtId="0" fontId="1" fillId="2" borderId="0" xfId="0" applyFont="1" applyFill="1" applyProtection="1">
      <protection locked="0"/>
    </xf>
    <xf numFmtId="170" fontId="3" fillId="2" borderId="0" xfId="0" applyNumberFormat="1" applyFont="1" applyFill="1" applyProtection="1">
      <protection locked="0"/>
    </xf>
    <xf numFmtId="0" fontId="0" fillId="0" borderId="5" xfId="0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170" fontId="0" fillId="0" borderId="1" xfId="0" applyNumberFormat="1" applyBorder="1"/>
    <xf numFmtId="0" fontId="0" fillId="0" borderId="6" xfId="0" applyBorder="1"/>
    <xf numFmtId="0" fontId="0" fillId="0" borderId="7" xfId="0" applyBorder="1"/>
    <xf numFmtId="170" fontId="0" fillId="0" borderId="7" xfId="0" applyNumberFormat="1" applyBorder="1"/>
    <xf numFmtId="170" fontId="0" fillId="0" borderId="8" xfId="0" applyNumberFormat="1" applyBorder="1"/>
    <xf numFmtId="0" fontId="0" fillId="2" borderId="3" xfId="0" applyFill="1" applyBorder="1" applyProtection="1">
      <protection locked="0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11" fillId="0" borderId="0" xfId="0" applyFont="1"/>
    <xf numFmtId="166" fontId="0" fillId="2" borderId="4" xfId="0" applyNumberFormat="1" applyFill="1" applyBorder="1" applyProtection="1">
      <protection locked="0"/>
    </xf>
    <xf numFmtId="0" fontId="0" fillId="4" borderId="0" xfId="0" applyFill="1" applyProtection="1">
      <protection locked="0"/>
    </xf>
    <xf numFmtId="170" fontId="3" fillId="4" borderId="0" xfId="0" applyNumberFormat="1" applyFont="1" applyFill="1" applyProtection="1">
      <protection locked="0"/>
    </xf>
    <xf numFmtId="172" fontId="5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0" xfId="0" applyNumberFormat="1" applyFill="1"/>
    <xf numFmtId="165" fontId="0" fillId="2" borderId="0" xfId="0" applyNumberFormat="1" applyFill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11" fontId="0" fillId="2" borderId="4" xfId="0" applyNumberFormat="1" applyFill="1" applyBorder="1"/>
    <xf numFmtId="11" fontId="0" fillId="2" borderId="0" xfId="0" applyNumberFormat="1" applyFill="1"/>
    <xf numFmtId="11" fontId="0" fillId="2" borderId="7" xfId="0" applyNumberFormat="1" applyFill="1" applyBorder="1"/>
    <xf numFmtId="164" fontId="0" fillId="2" borderId="0" xfId="0" applyNumberFormat="1" applyFill="1"/>
    <xf numFmtId="174" fontId="0" fillId="0" borderId="0" xfId="0" applyNumberFormat="1"/>
    <xf numFmtId="167" fontId="0" fillId="2" borderId="2" xfId="0" applyNumberFormat="1" applyFill="1" applyBorder="1" applyProtection="1">
      <protection locked="0"/>
    </xf>
    <xf numFmtId="167" fontId="0" fillId="2" borderId="1" xfId="0" applyNumberFormat="1" applyFill="1" applyBorder="1" applyProtection="1">
      <protection locked="0"/>
    </xf>
    <xf numFmtId="167" fontId="0" fillId="2" borderId="8" xfId="0" applyNumberFormat="1" applyFill="1" applyBorder="1" applyProtection="1">
      <protection locked="0"/>
    </xf>
    <xf numFmtId="167" fontId="0" fillId="2" borderId="4" xfId="0" applyNumberFormat="1" applyFill="1" applyBorder="1" applyProtection="1">
      <protection locked="0"/>
    </xf>
    <xf numFmtId="167" fontId="0" fillId="2" borderId="7" xfId="0" applyNumberFormat="1" applyFill="1" applyBorder="1" applyProtection="1">
      <protection locked="0"/>
    </xf>
    <xf numFmtId="0" fontId="1" fillId="9" borderId="0" xfId="0" applyFont="1" applyFill="1"/>
    <xf numFmtId="172" fontId="5" fillId="9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Alignment="1">
      <alignment wrapText="1"/>
    </xf>
    <xf numFmtId="2" fontId="0" fillId="2" borderId="4" xfId="0" applyNumberFormat="1" applyFill="1" applyBorder="1" applyProtection="1">
      <protection locked="0"/>
    </xf>
    <xf numFmtId="173" fontId="0" fillId="3" borderId="0" xfId="0" applyNumberFormat="1" applyFill="1" applyAlignment="1">
      <alignment horizontal="right"/>
    </xf>
    <xf numFmtId="173" fontId="0" fillId="6" borderId="4" xfId="0" applyNumberFormat="1" applyFill="1" applyBorder="1" applyAlignment="1">
      <alignment horizontal="right"/>
    </xf>
    <xf numFmtId="173" fontId="0" fillId="6" borderId="0" xfId="0" applyNumberFormat="1" applyFill="1" applyAlignment="1">
      <alignment horizontal="right"/>
    </xf>
    <xf numFmtId="173" fontId="0" fillId="6" borderId="7" xfId="0" applyNumberFormat="1" applyFill="1" applyBorder="1" applyAlignment="1">
      <alignment horizontal="right"/>
    </xf>
    <xf numFmtId="173" fontId="0" fillId="3" borderId="0" xfId="0" applyNumberFormat="1" applyFill="1" applyAlignment="1">
      <alignment horizontal="center"/>
    </xf>
    <xf numFmtId="14" fontId="0" fillId="0" borderId="0" xfId="0" applyNumberFormat="1"/>
    <xf numFmtId="0" fontId="0" fillId="5" borderId="0" xfId="0" applyFill="1" applyAlignment="1">
      <alignment horizontal="center" wrapText="1"/>
    </xf>
    <xf numFmtId="167" fontId="0" fillId="5" borderId="0" xfId="0" applyNumberFormat="1" applyFill="1"/>
    <xf numFmtId="169" fontId="0" fillId="5" borderId="0" xfId="0" applyNumberFormat="1" applyFill="1"/>
    <xf numFmtId="170" fontId="0" fillId="5" borderId="0" xfId="0" applyNumberFormat="1" applyFill="1"/>
    <xf numFmtId="166" fontId="0" fillId="5" borderId="0" xfId="0" applyNumberFormat="1" applyFill="1"/>
    <xf numFmtId="164" fontId="0" fillId="5" borderId="0" xfId="0" applyNumberFormat="1" applyFill="1"/>
    <xf numFmtId="1" fontId="0" fillId="5" borderId="0" xfId="0" applyNumberFormat="1" applyFill="1"/>
    <xf numFmtId="14" fontId="0" fillId="3" borderId="0" xfId="0" applyNumberFormat="1" applyFill="1"/>
    <xf numFmtId="0" fontId="0" fillId="10" borderId="0" xfId="0" applyFill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1" fontId="0" fillId="0" borderId="0" xfId="0" applyNumberFormat="1"/>
    <xf numFmtId="11" fontId="16" fillId="0" borderId="0" xfId="0" applyNumberFormat="1" applyFont="1" applyAlignment="1">
      <alignment vertical="center"/>
    </xf>
    <xf numFmtId="0" fontId="3" fillId="0" borderId="0" xfId="0" applyFont="1"/>
    <xf numFmtId="0" fontId="0" fillId="11" borderId="0" xfId="0" applyFill="1"/>
    <xf numFmtId="0" fontId="3" fillId="11" borderId="0" xfId="0" applyFont="1" applyFill="1"/>
    <xf numFmtId="2" fontId="0" fillId="2" borderId="2" xfId="0" applyNumberFormat="1" applyFill="1" applyBorder="1"/>
    <xf numFmtId="2" fontId="0" fillId="2" borderId="1" xfId="0" applyNumberFormat="1" applyFill="1" applyBorder="1"/>
    <xf numFmtId="2" fontId="0" fillId="2" borderId="8" xfId="0" applyNumberFormat="1" applyFill="1" applyBorder="1"/>
    <xf numFmtId="0" fontId="3" fillId="2" borderId="11" xfId="0" applyFont="1" applyFill="1" applyBorder="1" applyProtection="1">
      <protection locked="0"/>
    </xf>
    <xf numFmtId="0" fontId="16" fillId="0" borderId="0" xfId="0" applyFont="1" applyAlignment="1">
      <alignment vertical="center" wrapText="1"/>
    </xf>
    <xf numFmtId="0" fontId="3" fillId="3" borderId="0" xfId="0" applyFont="1" applyFill="1"/>
    <xf numFmtId="0" fontId="1" fillId="5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170" fontId="0" fillId="5" borderId="5" xfId="0" applyNumberFormat="1" applyFill="1" applyBorder="1" applyAlignment="1">
      <alignment horizontal="center"/>
    </xf>
    <xf numFmtId="170" fontId="0" fillId="5" borderId="1" xfId="0" applyNumberFormat="1" applyFill="1" applyBorder="1" applyAlignment="1">
      <alignment horizontal="center"/>
    </xf>
    <xf numFmtId="0" fontId="0" fillId="2" borderId="0" xfId="0" quotePrefix="1" applyFill="1" applyAlignment="1" applyProtection="1">
      <alignment horizontal="center"/>
      <protection locked="0"/>
    </xf>
    <xf numFmtId="0" fontId="0" fillId="2" borderId="3" xfId="0" quotePrefix="1" applyFill="1" applyBorder="1" applyAlignment="1" applyProtection="1">
      <alignment horizontal="center"/>
      <protection locked="0"/>
    </xf>
    <xf numFmtId="0" fontId="0" fillId="2" borderId="5" xfId="0" quotePrefix="1" applyFill="1" applyBorder="1" applyAlignment="1" applyProtection="1">
      <alignment horizontal="center"/>
      <protection locked="0"/>
    </xf>
    <xf numFmtId="0" fontId="0" fillId="2" borderId="6" xfId="0" quotePrefix="1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3" fillId="2" borderId="5" xfId="0" quotePrefix="1" applyFont="1" applyFill="1" applyBorder="1" applyAlignment="1" applyProtection="1">
      <alignment horizontal="center"/>
      <protection locked="0"/>
    </xf>
    <xf numFmtId="0" fontId="3" fillId="2" borderId="3" xfId="0" quotePrefix="1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Protection="1">
      <protection locked="0"/>
    </xf>
    <xf numFmtId="165" fontId="0" fillId="3" borderId="0" xfId="0" applyNumberFormat="1" applyFill="1"/>
    <xf numFmtId="2" fontId="0" fillId="0" borderId="0" xfId="0" applyNumberFormat="1" applyAlignment="1">
      <alignment horizontal="center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2" borderId="4" xfId="0" applyFont="1" applyFill="1" applyBorder="1" applyProtection="1">
      <protection locked="0"/>
    </xf>
    <xf numFmtId="170" fontId="0" fillId="12" borderId="0" xfId="0" applyNumberFormat="1" applyFill="1" applyAlignment="1">
      <alignment horizontal="right"/>
    </xf>
    <xf numFmtId="170" fontId="0" fillId="12" borderId="0" xfId="0" applyNumberFormat="1" applyFill="1" applyAlignment="1">
      <alignment horizontal="right" vertical="center" wrapText="1"/>
    </xf>
    <xf numFmtId="2" fontId="0" fillId="11" borderId="0" xfId="0" applyNumberFormat="1" applyFill="1"/>
    <xf numFmtId="0" fontId="3" fillId="4" borderId="0" xfId="0" applyFont="1" applyFill="1" applyProtection="1">
      <protection locked="0"/>
    </xf>
    <xf numFmtId="0" fontId="3" fillId="4" borderId="0" xfId="0" quotePrefix="1" applyFont="1" applyFill="1" applyProtection="1">
      <protection locked="0"/>
    </xf>
    <xf numFmtId="0" fontId="1" fillId="13" borderId="0" xfId="0" applyFont="1" applyFill="1"/>
    <xf numFmtId="2" fontId="0" fillId="2" borderId="2" xfId="0" applyNumberFormat="1" applyFill="1" applyBorder="1" applyProtection="1">
      <protection locked="0"/>
    </xf>
    <xf numFmtId="2" fontId="0" fillId="2" borderId="1" xfId="0" applyNumberFormat="1" applyFill="1" applyBorder="1" applyProtection="1">
      <protection locked="0"/>
    </xf>
    <xf numFmtId="2" fontId="0" fillId="2" borderId="8" xfId="0" applyNumberFormat="1" applyFill="1" applyBorder="1" applyProtection="1">
      <protection locked="0"/>
    </xf>
    <xf numFmtId="0" fontId="1" fillId="12" borderId="0" xfId="0" applyFont="1" applyFill="1"/>
    <xf numFmtId="172" fontId="5" fillId="12" borderId="0" xfId="0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0" fontId="19" fillId="0" borderId="0" xfId="0" applyFont="1" applyAlignment="1">
      <alignment vertical="center"/>
    </xf>
    <xf numFmtId="14" fontId="16" fillId="0" borderId="0" xfId="0" applyNumberFormat="1" applyFont="1" applyAlignment="1">
      <alignment vertical="center"/>
    </xf>
    <xf numFmtId="0" fontId="16" fillId="11" borderId="0" xfId="0" applyFont="1" applyFill="1" applyAlignment="1">
      <alignment vertical="center"/>
    </xf>
    <xf numFmtId="0" fontId="21" fillId="14" borderId="0" xfId="0" applyFont="1" applyFill="1"/>
    <xf numFmtId="165" fontId="0" fillId="2" borderId="4" xfId="0" applyNumberFormat="1" applyFill="1" applyBorder="1" applyAlignment="1">
      <alignment horizontal="left"/>
    </xf>
    <xf numFmtId="166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left"/>
    </xf>
    <xf numFmtId="2" fontId="0" fillId="2" borderId="7" xfId="0" applyNumberFormat="1" applyFill="1" applyBorder="1" applyAlignment="1">
      <alignment horizontal="left"/>
    </xf>
    <xf numFmtId="0" fontId="0" fillId="3" borderId="0" xfId="0" applyFill="1" applyAlignment="1">
      <alignment horizontal="left"/>
    </xf>
    <xf numFmtId="0" fontId="22" fillId="15" borderId="0" xfId="0" applyFont="1" applyFill="1"/>
    <xf numFmtId="0" fontId="23" fillId="0" borderId="0" xfId="0" applyFont="1"/>
    <xf numFmtId="11" fontId="0" fillId="3" borderId="0" xfId="0" applyNumberFormat="1" applyFill="1"/>
    <xf numFmtId="15" fontId="3" fillId="2" borderId="11" xfId="0" applyNumberFormat="1" applyFont="1" applyFill="1" applyBorder="1" applyProtection="1">
      <protection locked="0"/>
    </xf>
    <xf numFmtId="0" fontId="3" fillId="0" borderId="24" xfId="0" applyFont="1" applyBorder="1"/>
    <xf numFmtId="0" fontId="0" fillId="0" borderId="25" xfId="0" applyBorder="1"/>
    <xf numFmtId="0" fontId="0" fillId="11" borderId="3" xfId="0" applyFill="1" applyBorder="1" applyAlignment="1" applyProtection="1">
      <alignment horizontal="center"/>
      <protection locked="0"/>
    </xf>
    <xf numFmtId="0" fontId="0" fillId="11" borderId="4" xfId="0" applyFill="1" applyBorder="1" applyProtection="1">
      <protection locked="0"/>
    </xf>
    <xf numFmtId="0" fontId="0" fillId="11" borderId="5" xfId="0" applyFill="1" applyBorder="1" applyAlignment="1" applyProtection="1">
      <alignment horizontal="center"/>
      <protection locked="0"/>
    </xf>
    <xf numFmtId="0" fontId="0" fillId="11" borderId="0" xfId="0" applyFill="1" applyProtection="1">
      <protection locked="0"/>
    </xf>
    <xf numFmtId="0" fontId="0" fillId="11" borderId="6" xfId="0" applyFill="1" applyBorder="1" applyAlignment="1" applyProtection="1">
      <alignment horizontal="center"/>
      <protection locked="0"/>
    </xf>
    <xf numFmtId="0" fontId="0" fillId="11" borderId="7" xfId="0" applyFill="1" applyBorder="1" applyProtection="1">
      <protection locked="0"/>
    </xf>
    <xf numFmtId="170" fontId="0" fillId="11" borderId="7" xfId="0" applyNumberFormat="1" applyFill="1" applyBorder="1" applyProtection="1">
      <protection locked="0"/>
    </xf>
    <xf numFmtId="15" fontId="0" fillId="11" borderId="0" xfId="0" applyNumberFormat="1" applyFill="1"/>
    <xf numFmtId="170" fontId="0" fillId="11" borderId="0" xfId="0" applyNumberFormat="1" applyFill="1"/>
    <xf numFmtId="0" fontId="1" fillId="11" borderId="0" xfId="0" applyFont="1" applyFill="1"/>
    <xf numFmtId="0" fontId="24" fillId="0" borderId="0" xfId="1"/>
    <xf numFmtId="11" fontId="0" fillId="2" borderId="4" xfId="0" applyNumberFormat="1" applyFill="1" applyBorder="1" applyProtection="1">
      <protection locked="0"/>
    </xf>
    <xf numFmtId="0" fontId="21" fillId="11" borderId="0" xfId="0" applyFont="1" applyFill="1"/>
    <xf numFmtId="174" fontId="21" fillId="11" borderId="0" xfId="0" applyNumberFormat="1" applyFont="1" applyFill="1"/>
    <xf numFmtId="2" fontId="21" fillId="11" borderId="0" xfId="0" applyNumberFormat="1" applyFont="1" applyFill="1"/>
    <xf numFmtId="0" fontId="0" fillId="11" borderId="0" xfId="0" applyFill="1" applyAlignment="1">
      <alignment horizontal="center"/>
    </xf>
    <xf numFmtId="0" fontId="0" fillId="11" borderId="0" xfId="0" applyFill="1" applyAlignment="1" applyProtection="1">
      <alignment horizontal="center"/>
      <protection locked="0"/>
    </xf>
    <xf numFmtId="11" fontId="0" fillId="2" borderId="5" xfId="0" applyNumberFormat="1" applyFill="1" applyBorder="1" applyAlignment="1" applyProtection="1">
      <alignment horizontal="center"/>
      <protection locked="0"/>
    </xf>
    <xf numFmtId="173" fontId="0" fillId="11" borderId="0" xfId="0" applyNumberFormat="1" applyFill="1" applyAlignment="1">
      <alignment horizontal="center"/>
    </xf>
    <xf numFmtId="15" fontId="0" fillId="2" borderId="0" xfId="0" applyNumberFormat="1" applyFill="1" applyProtection="1">
      <protection locked="0"/>
    </xf>
    <xf numFmtId="166" fontId="1" fillId="0" borderId="0" xfId="0" applyNumberFormat="1" applyFont="1"/>
    <xf numFmtId="167" fontId="1" fillId="0" borderId="0" xfId="0" applyNumberFormat="1" applyFont="1"/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26" fillId="0" borderId="0" xfId="0" applyFont="1"/>
    <xf numFmtId="2" fontId="26" fillId="0" borderId="0" xfId="0" applyNumberFormat="1" applyFont="1"/>
    <xf numFmtId="11" fontId="26" fillId="0" borderId="0" xfId="0" applyNumberFormat="1" applyFont="1"/>
    <xf numFmtId="0" fontId="27" fillId="0" borderId="0" xfId="0" applyFont="1"/>
    <xf numFmtId="175" fontId="27" fillId="0" borderId="0" xfId="0" applyNumberFormat="1" applyFont="1"/>
    <xf numFmtId="167" fontId="0" fillId="11" borderId="0" xfId="0" applyNumberFormat="1" applyFill="1" applyProtection="1">
      <protection locked="0"/>
    </xf>
    <xf numFmtId="0" fontId="0" fillId="3" borderId="2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2" borderId="22" xfId="0" applyFill="1" applyBorder="1" applyAlignment="1" applyProtection="1">
      <alignment horizontal="center" vertical="center"/>
      <protection locked="0"/>
    </xf>
    <xf numFmtId="0" fontId="0" fillId="12" borderId="0" xfId="0" applyFill="1"/>
    <xf numFmtId="11" fontId="0" fillId="12" borderId="0" xfId="0" applyNumberFormat="1" applyFill="1"/>
    <xf numFmtId="164" fontId="27" fillId="0" borderId="0" xfId="0" applyNumberFormat="1" applyFont="1"/>
    <xf numFmtId="169" fontId="27" fillId="0" borderId="0" xfId="0" applyNumberFormat="1" applyFont="1"/>
    <xf numFmtId="2" fontId="27" fillId="0" borderId="0" xfId="0" applyNumberFormat="1" applyFont="1"/>
    <xf numFmtId="170" fontId="27" fillId="0" borderId="0" xfId="0" applyNumberFormat="1" applyFont="1"/>
    <xf numFmtId="1" fontId="2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24</xdr:row>
      <xdr:rowOff>66675</xdr:rowOff>
    </xdr:from>
    <xdr:to>
      <xdr:col>13</xdr:col>
      <xdr:colOff>551846</xdr:colOff>
      <xdr:row>28</xdr:row>
      <xdr:rowOff>28499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843F-EBB1-41CD-8B15-D5D603FCA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990975"/>
          <a:ext cx="4828571" cy="6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17</xdr:col>
      <xdr:colOff>313139</xdr:colOff>
      <xdr:row>62</xdr:row>
      <xdr:rowOff>113658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AAC0F6-878A-1880-4A0B-E7CF2DA7E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0" y="5019675"/>
          <a:ext cx="9485714" cy="5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74</xdr:row>
      <xdr:rowOff>190500</xdr:rowOff>
    </xdr:from>
    <xdr:to>
      <xdr:col>9</xdr:col>
      <xdr:colOff>676274</xdr:colOff>
      <xdr:row>76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562599" y="11849100"/>
          <a:ext cx="2981325" cy="3143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NZ" sz="1200" b="1"/>
            <a:t>Set</a:t>
          </a:r>
          <a:r>
            <a:rPr lang="en-NZ" sz="1200" b="1" baseline="0"/>
            <a:t> 'test_c' to  give a zero average +/- error</a:t>
          </a:r>
          <a:r>
            <a:rPr lang="en-NZ" sz="1100" baseline="0"/>
            <a:t>.</a:t>
          </a:r>
          <a:endParaRPr lang="en-NZ" sz="1100"/>
        </a:p>
      </xdr:txBody>
    </xdr:sp>
    <xdr:clientData/>
  </xdr:twoCellAnchor>
  <xdr:twoCellAnchor>
    <xdr:from>
      <xdr:col>10</xdr:col>
      <xdr:colOff>95250</xdr:colOff>
      <xdr:row>76</xdr:row>
      <xdr:rowOff>47625</xdr:rowOff>
    </xdr:from>
    <xdr:to>
      <xdr:col>13</xdr:col>
      <xdr:colOff>161925</xdr:colOff>
      <xdr:row>76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8667750" y="12096750"/>
          <a:ext cx="2314575" cy="666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352426</xdr:colOff>
      <xdr:row>75</xdr:row>
      <xdr:rowOff>85725</xdr:rowOff>
    </xdr:from>
    <xdr:to>
      <xdr:col>5</xdr:col>
      <xdr:colOff>723900</xdr:colOff>
      <xdr:row>75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>
          <a:off x="3524251" y="11972925"/>
          <a:ext cx="1924049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nyu Zhang" id="{409F2394-D45F-429F-AF78-AC650BD09917}" userId="S::Minyu.Zhang@callaghaninnovation.govt.nz::96f54b1c-14b2-4aa8-9889-cbf9c26069a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8" dT="2023-02-14T01:56:47.22" personId="{409F2394-D45F-429F-AF78-AC650BD09917}" id="{205B40CB-5669-4B7B-8708-787FBEF13C16}">
    <text>close to 21c then alpha and beta will be like the calculation in "Comparision" L15 and L16</text>
  </threadedComment>
  <threadedComment ref="H17" dT="2023-02-13T02:38:22.79" personId="{409F2394-D45F-429F-AF78-AC650BD09917}" id="{16442FF8-77AD-4B3E-965B-0CE6E8561F3C}">
    <text>10 times bigger than 2017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  <wetp:taskpane dockstate="right" visibility="0" width="350" row="4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D1D49F2E-B601-459A-B9FC-FA4EC9F42A16}">
  <we:reference id="wa200001584" version="2.5.0.0" store="en-US" storeType="OMEX"/>
  <we:alternateReferences>
    <we:reference id="wa200001584" version="2.5.0.0" store="WA20000158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B5FEB8A6-E698-4CB6-8583-9AFC7B462E85}">
  <we:reference id="wa200005105" version="1.0.0.1" store="en-US" storeType="OMEX"/>
  <we:alternateReferences>
    <we:reference id="wa200005105" version="1.0.0.1" store="WA20000510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_xldudf_ALPHASHEET_GPT3</we:customFunctionIds>
        <we:customFunctionIds>_xldudf_ALPHASHEET_GPT3_FILL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01C50E9A-5445-4E31-BC20-722B181B7643}">
  <we:reference id="wa104380955" version="3.16.2.1" store="en-US" storeType="OMEX"/>
  <we:alternateReferences>
    <we:reference id="WA104380955" version="3.16.2.1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94"/>
  <sheetViews>
    <sheetView topLeftCell="A137" workbookViewId="0">
      <selection activeCell="A207" sqref="A207"/>
    </sheetView>
  </sheetViews>
  <sheetFormatPr defaultRowHeight="12.5" x14ac:dyDescent="0.25"/>
  <cols>
    <col min="1" max="1" width="106" customWidth="1"/>
  </cols>
  <sheetData>
    <row r="1" spans="1:1" ht="34.5" x14ac:dyDescent="0.25">
      <c r="A1" s="244" t="s">
        <v>278</v>
      </c>
    </row>
    <row r="2" spans="1:1" ht="14.5" x14ac:dyDescent="0.25">
      <c r="A2" s="202" t="s">
        <v>2152</v>
      </c>
    </row>
    <row r="3" spans="1:1" ht="14.5" x14ac:dyDescent="0.25">
      <c r="A3" s="202" t="s">
        <v>2153</v>
      </c>
    </row>
    <row r="4" spans="1:1" ht="14.5" x14ac:dyDescent="0.25">
      <c r="A4" s="202" t="s">
        <v>1829</v>
      </c>
    </row>
    <row r="5" spans="1:1" ht="14.5" x14ac:dyDescent="0.25">
      <c r="A5" s="202" t="s">
        <v>283</v>
      </c>
    </row>
    <row r="6" spans="1:1" ht="14.5" x14ac:dyDescent="0.25">
      <c r="A6" s="202"/>
    </row>
    <row r="7" spans="1:1" ht="14.5" x14ac:dyDescent="0.25">
      <c r="A7" s="202" t="s">
        <v>2154</v>
      </c>
    </row>
    <row r="8" spans="1:1" ht="14.5" x14ac:dyDescent="0.25">
      <c r="A8" s="202" t="s">
        <v>1831</v>
      </c>
    </row>
    <row r="9" spans="1:1" ht="14.5" x14ac:dyDescent="0.25">
      <c r="A9" s="202" t="s">
        <v>2155</v>
      </c>
    </row>
    <row r="10" spans="1:1" ht="14.5" x14ac:dyDescent="0.25">
      <c r="A10" s="202"/>
    </row>
    <row r="11" spans="1:1" ht="14.5" x14ac:dyDescent="0.25">
      <c r="A11" s="202" t="s">
        <v>286</v>
      </c>
    </row>
    <row r="12" spans="1:1" ht="14.5" x14ac:dyDescent="0.25">
      <c r="A12" s="202" t="s">
        <v>287</v>
      </c>
    </row>
    <row r="13" spans="1:1" ht="14.5" x14ac:dyDescent="0.25">
      <c r="A13" s="202" t="s">
        <v>2156</v>
      </c>
    </row>
    <row r="14" spans="1:1" ht="14.5" x14ac:dyDescent="0.25">
      <c r="A14" s="202" t="s">
        <v>2155</v>
      </c>
    </row>
    <row r="15" spans="1:1" ht="14.5" x14ac:dyDescent="0.25">
      <c r="A15" s="202"/>
    </row>
    <row r="16" spans="1:1" ht="14.5" x14ac:dyDescent="0.25">
      <c r="A16" s="202" t="s">
        <v>2157</v>
      </c>
    </row>
    <row r="17" spans="1:1" ht="14.5" x14ac:dyDescent="0.25">
      <c r="A17" s="202" t="s">
        <v>291</v>
      </c>
    </row>
    <row r="18" spans="1:1" ht="14.5" x14ac:dyDescent="0.25">
      <c r="A18" s="202"/>
    </row>
    <row r="19" spans="1:1" ht="14.5" x14ac:dyDescent="0.25">
      <c r="A19" s="202" t="s">
        <v>2158</v>
      </c>
    </row>
    <row r="20" spans="1:1" ht="14.5" x14ac:dyDescent="0.25">
      <c r="A20" s="245">
        <v>42887</v>
      </c>
    </row>
    <row r="21" spans="1:1" ht="14.5" x14ac:dyDescent="0.25">
      <c r="A21" s="202" t="s">
        <v>282</v>
      </c>
    </row>
    <row r="22" spans="1:1" ht="14.5" x14ac:dyDescent="0.25">
      <c r="A22" s="202" t="s">
        <v>1829</v>
      </c>
    </row>
    <row r="23" spans="1:1" ht="14.5" x14ac:dyDescent="0.25">
      <c r="A23" s="202" t="s">
        <v>283</v>
      </c>
    </row>
    <row r="24" spans="1:1" ht="14.5" x14ac:dyDescent="0.25">
      <c r="A24" s="202"/>
    </row>
    <row r="25" spans="1:1" ht="14.5" x14ac:dyDescent="0.25">
      <c r="A25" s="202" t="s">
        <v>1830</v>
      </c>
    </row>
    <row r="26" spans="1:1" ht="14.5" x14ac:dyDescent="0.25">
      <c r="A26" s="202" t="s">
        <v>1831</v>
      </c>
    </row>
    <row r="27" spans="1:1" ht="14.5" x14ac:dyDescent="0.25">
      <c r="A27" s="202" t="s">
        <v>1832</v>
      </c>
    </row>
    <row r="28" spans="1:1" ht="14.5" x14ac:dyDescent="0.25">
      <c r="A28" s="202"/>
    </row>
    <row r="29" spans="1:1" ht="14.5" x14ac:dyDescent="0.25">
      <c r="A29" s="202" t="s">
        <v>286</v>
      </c>
    </row>
    <row r="30" spans="1:1" ht="14.5" x14ac:dyDescent="0.25">
      <c r="A30" s="202" t="s">
        <v>287</v>
      </c>
    </row>
    <row r="31" spans="1:1" ht="14.5" x14ac:dyDescent="0.25">
      <c r="A31" s="202" t="s">
        <v>1833</v>
      </c>
    </row>
    <row r="32" spans="1:1" ht="14.5" x14ac:dyDescent="0.25">
      <c r="A32" s="202" t="s">
        <v>1832</v>
      </c>
    </row>
    <row r="33" spans="1:1" ht="14.5" x14ac:dyDescent="0.25">
      <c r="A33" s="202"/>
    </row>
    <row r="34" spans="1:1" ht="14.5" x14ac:dyDescent="0.25">
      <c r="A34" s="202" t="s">
        <v>1834</v>
      </c>
    </row>
    <row r="35" spans="1:1" ht="14.5" x14ac:dyDescent="0.25">
      <c r="A35" s="202" t="s">
        <v>291</v>
      </c>
    </row>
    <row r="36" spans="1:1" ht="14.5" x14ac:dyDescent="0.25">
      <c r="A36" s="202" t="s">
        <v>292</v>
      </c>
    </row>
    <row r="37" spans="1:1" ht="14.5" x14ac:dyDescent="0.25">
      <c r="A37" s="202" t="s">
        <v>295</v>
      </c>
    </row>
    <row r="38" spans="1:1" ht="14.5" x14ac:dyDescent="0.25">
      <c r="A38" s="202" t="s">
        <v>1829</v>
      </c>
    </row>
    <row r="39" spans="1:1" ht="14.5" x14ac:dyDescent="0.25">
      <c r="A39" s="202" t="s">
        <v>283</v>
      </c>
    </row>
    <row r="40" spans="1:1" ht="14.5" x14ac:dyDescent="0.25">
      <c r="A40" s="202"/>
    </row>
    <row r="41" spans="1:1" ht="14.5" x14ac:dyDescent="0.25">
      <c r="A41" s="202" t="s">
        <v>1835</v>
      </c>
    </row>
    <row r="42" spans="1:1" ht="14.5" x14ac:dyDescent="0.25">
      <c r="A42" s="202"/>
    </row>
    <row r="43" spans="1:1" ht="14.5" x14ac:dyDescent="0.25">
      <c r="A43" s="202" t="s">
        <v>1836</v>
      </c>
    </row>
    <row r="44" spans="1:1" ht="14.5" x14ac:dyDescent="0.25">
      <c r="A44" s="202" t="s">
        <v>2159</v>
      </c>
    </row>
    <row r="45" spans="1:1" ht="14.5" x14ac:dyDescent="0.25">
      <c r="A45" s="202" t="s">
        <v>1837</v>
      </c>
    </row>
    <row r="46" spans="1:1" ht="14.5" x14ac:dyDescent="0.25">
      <c r="A46" s="202"/>
    </row>
    <row r="47" spans="1:1" ht="14.5" x14ac:dyDescent="0.25">
      <c r="A47" s="202" t="s">
        <v>1838</v>
      </c>
    </row>
    <row r="48" spans="1:1" ht="14.5" x14ac:dyDescent="0.25">
      <c r="A48" s="202"/>
    </row>
    <row r="49" spans="1:1" ht="14.5" x14ac:dyDescent="0.25">
      <c r="A49" s="202" t="s">
        <v>1839</v>
      </c>
    </row>
    <row r="50" spans="1:1" ht="14.5" x14ac:dyDescent="0.25">
      <c r="A50" s="202"/>
    </row>
    <row r="51" spans="1:1" ht="14.5" x14ac:dyDescent="0.25">
      <c r="A51" s="202" t="s">
        <v>1840</v>
      </c>
    </row>
    <row r="52" spans="1:1" ht="14.5" x14ac:dyDescent="0.25">
      <c r="A52" s="202"/>
    </row>
    <row r="53" spans="1:1" ht="14.5" x14ac:dyDescent="0.25">
      <c r="A53" s="202" t="s">
        <v>1841</v>
      </c>
    </row>
    <row r="54" spans="1:1" ht="14.5" x14ac:dyDescent="0.25">
      <c r="A54" s="202"/>
    </row>
    <row r="55" spans="1:1" ht="14.5" x14ac:dyDescent="0.25">
      <c r="A55" s="202" t="s">
        <v>1842</v>
      </c>
    </row>
    <row r="56" spans="1:1" ht="14.5" x14ac:dyDescent="0.25">
      <c r="A56" s="202"/>
    </row>
    <row r="57" spans="1:1" ht="14.5" x14ac:dyDescent="0.25">
      <c r="A57" s="202" t="s">
        <v>1843</v>
      </c>
    </row>
    <row r="58" spans="1:1" ht="14.5" x14ac:dyDescent="0.25">
      <c r="A58" s="202"/>
    </row>
    <row r="59" spans="1:1" ht="14.5" x14ac:dyDescent="0.25">
      <c r="A59" s="202" t="s">
        <v>1844</v>
      </c>
    </row>
    <row r="60" spans="1:1" ht="14.5" x14ac:dyDescent="0.25">
      <c r="A60" s="202"/>
    </row>
    <row r="61" spans="1:1" ht="14.5" x14ac:dyDescent="0.25">
      <c r="A61" s="202" t="s">
        <v>1845</v>
      </c>
    </row>
    <row r="62" spans="1:1" ht="14.5" x14ac:dyDescent="0.25">
      <c r="A62" s="202"/>
    </row>
    <row r="63" spans="1:1" ht="14.5" x14ac:dyDescent="0.25">
      <c r="A63" s="202" t="s">
        <v>1846</v>
      </c>
    </row>
    <row r="64" spans="1:1" ht="14.5" x14ac:dyDescent="0.25">
      <c r="A64" s="202"/>
    </row>
    <row r="65" spans="1:1" ht="14.5" x14ac:dyDescent="0.25">
      <c r="A65" s="202" t="s">
        <v>1847</v>
      </c>
    </row>
    <row r="66" spans="1:1" ht="14.5" x14ac:dyDescent="0.25">
      <c r="A66" s="202"/>
    </row>
    <row r="67" spans="1:1" ht="14.5" x14ac:dyDescent="0.25">
      <c r="A67" s="202" t="s">
        <v>1848</v>
      </c>
    </row>
    <row r="68" spans="1:1" ht="14.5" x14ac:dyDescent="0.25">
      <c r="A68" s="202"/>
    </row>
    <row r="69" spans="1:1" ht="14.5" x14ac:dyDescent="0.25">
      <c r="A69" s="202" t="s">
        <v>1849</v>
      </c>
    </row>
    <row r="70" spans="1:1" ht="14.5" x14ac:dyDescent="0.25">
      <c r="A70" s="202"/>
    </row>
    <row r="71" spans="1:1" ht="14.5" x14ac:dyDescent="0.25">
      <c r="A71" s="202" t="s">
        <v>1850</v>
      </c>
    </row>
    <row r="72" spans="1:1" ht="14.5" x14ac:dyDescent="0.25">
      <c r="A72" s="202"/>
    </row>
    <row r="73" spans="1:1" ht="14.5" x14ac:dyDescent="0.25">
      <c r="A73" s="202" t="s">
        <v>1851</v>
      </c>
    </row>
    <row r="74" spans="1:1" ht="14.5" x14ac:dyDescent="0.25">
      <c r="A74" s="202"/>
    </row>
    <row r="75" spans="1:1" ht="14.5" x14ac:dyDescent="0.25">
      <c r="A75" s="202" t="s">
        <v>1852</v>
      </c>
    </row>
    <row r="76" spans="1:1" ht="14.5" x14ac:dyDescent="0.25">
      <c r="A76" s="202"/>
    </row>
    <row r="77" spans="1:1" ht="14.5" x14ac:dyDescent="0.25">
      <c r="A77" s="202" t="s">
        <v>1853</v>
      </c>
    </row>
    <row r="78" spans="1:1" ht="14.5" x14ac:dyDescent="0.25">
      <c r="A78" s="202"/>
    </row>
    <row r="79" spans="1:1" ht="14.5" x14ac:dyDescent="0.25">
      <c r="A79" s="202" t="s">
        <v>1854</v>
      </c>
    </row>
    <row r="80" spans="1:1" ht="14.5" x14ac:dyDescent="0.25">
      <c r="A80" s="202"/>
    </row>
    <row r="81" spans="1:1" ht="14.5" x14ac:dyDescent="0.25">
      <c r="A81" s="202" t="s">
        <v>1855</v>
      </c>
    </row>
    <row r="82" spans="1:1" ht="14.5" x14ac:dyDescent="0.25">
      <c r="A82" s="202"/>
    </row>
    <row r="83" spans="1:1" ht="14.5" x14ac:dyDescent="0.25">
      <c r="A83" s="202" t="s">
        <v>1856</v>
      </c>
    </row>
    <row r="84" spans="1:1" ht="14.5" x14ac:dyDescent="0.25">
      <c r="A84" s="202"/>
    </row>
    <row r="85" spans="1:1" ht="14.5" x14ac:dyDescent="0.25">
      <c r="A85" s="202" t="s">
        <v>1857</v>
      </c>
    </row>
    <row r="86" spans="1:1" ht="14.5" x14ac:dyDescent="0.25">
      <c r="A86" s="202"/>
    </row>
    <row r="87" spans="1:1" ht="14.5" x14ac:dyDescent="0.25">
      <c r="A87" s="202" t="s">
        <v>1858</v>
      </c>
    </row>
    <row r="88" spans="1:1" ht="14.5" x14ac:dyDescent="0.25">
      <c r="A88" s="202"/>
    </row>
    <row r="89" spans="1:1" ht="14.5" x14ac:dyDescent="0.25">
      <c r="A89" s="202" t="s">
        <v>321</v>
      </c>
    </row>
    <row r="90" spans="1:1" ht="14.5" x14ac:dyDescent="0.25">
      <c r="A90" s="246" t="s">
        <v>1859</v>
      </c>
    </row>
    <row r="91" spans="1:1" ht="14.5" x14ac:dyDescent="0.25">
      <c r="A91" s="246">
        <v>9976.2680987000003</v>
      </c>
    </row>
    <row r="92" spans="1:1" ht="14.5" x14ac:dyDescent="0.25">
      <c r="A92" s="246">
        <v>2.1611057865000001E-3</v>
      </c>
    </row>
    <row r="93" spans="1:1" ht="14.5" x14ac:dyDescent="0.25">
      <c r="A93" s="202" t="s">
        <v>292</v>
      </c>
    </row>
    <row r="94" spans="1:1" ht="14.5" x14ac:dyDescent="0.25">
      <c r="A94" s="202" t="s">
        <v>2160</v>
      </c>
    </row>
    <row r="95" spans="1:1" ht="14.5" x14ac:dyDescent="0.25">
      <c r="A95" s="202" t="s">
        <v>295</v>
      </c>
    </row>
    <row r="96" spans="1:1" ht="14.5" x14ac:dyDescent="0.25">
      <c r="A96" s="202" t="s">
        <v>1829</v>
      </c>
    </row>
    <row r="97" spans="1:1" ht="14.5" x14ac:dyDescent="0.25">
      <c r="A97" s="202" t="s">
        <v>283</v>
      </c>
    </row>
    <row r="98" spans="1:1" ht="14.5" x14ac:dyDescent="0.25">
      <c r="A98" s="202"/>
    </row>
    <row r="99" spans="1:1" ht="14.5" x14ac:dyDescent="0.25">
      <c r="A99" s="202" t="s">
        <v>1835</v>
      </c>
    </row>
    <row r="100" spans="1:1" ht="14.5" x14ac:dyDescent="0.25">
      <c r="A100" s="202"/>
    </row>
    <row r="101" spans="1:1" ht="14.5" x14ac:dyDescent="0.25">
      <c r="A101" s="202" t="s">
        <v>1836</v>
      </c>
    </row>
    <row r="102" spans="1:1" ht="14.5" x14ac:dyDescent="0.25">
      <c r="A102" s="202" t="s">
        <v>1860</v>
      </c>
    </row>
    <row r="103" spans="1:1" ht="14.5" x14ac:dyDescent="0.25">
      <c r="A103" s="202" t="s">
        <v>1861</v>
      </c>
    </row>
    <row r="104" spans="1:1" ht="14.5" x14ac:dyDescent="0.25">
      <c r="A104" s="202"/>
    </row>
    <row r="105" spans="1:1" ht="14.5" x14ac:dyDescent="0.25">
      <c r="A105" s="202" t="s">
        <v>1862</v>
      </c>
    </row>
    <row r="106" spans="1:1" ht="14.5" x14ac:dyDescent="0.25">
      <c r="A106" s="202"/>
    </row>
    <row r="107" spans="1:1" ht="14.5" x14ac:dyDescent="0.25">
      <c r="A107" s="202" t="s">
        <v>1863</v>
      </c>
    </row>
    <row r="108" spans="1:1" ht="14.5" x14ac:dyDescent="0.25">
      <c r="A108" s="202"/>
    </row>
    <row r="109" spans="1:1" ht="14.5" x14ac:dyDescent="0.25">
      <c r="A109" s="202" t="s">
        <v>1864</v>
      </c>
    </row>
    <row r="110" spans="1:1" ht="14.5" x14ac:dyDescent="0.25">
      <c r="A110" s="202"/>
    </row>
    <row r="111" spans="1:1" ht="14.5" x14ac:dyDescent="0.25">
      <c r="A111" s="202" t="s">
        <v>1865</v>
      </c>
    </row>
    <row r="112" spans="1:1" ht="14.5" x14ac:dyDescent="0.25">
      <c r="A112" s="202"/>
    </row>
    <row r="113" spans="1:1" ht="14.5" x14ac:dyDescent="0.25">
      <c r="A113" s="202" t="s">
        <v>1866</v>
      </c>
    </row>
    <row r="114" spans="1:1" ht="14.5" x14ac:dyDescent="0.25">
      <c r="A114" s="202"/>
    </row>
    <row r="115" spans="1:1" ht="14.5" x14ac:dyDescent="0.25">
      <c r="A115" s="202" t="s">
        <v>1867</v>
      </c>
    </row>
    <row r="116" spans="1:1" ht="14.5" x14ac:dyDescent="0.25">
      <c r="A116" s="202"/>
    </row>
    <row r="117" spans="1:1" ht="14.5" x14ac:dyDescent="0.25">
      <c r="A117" s="202" t="s">
        <v>1868</v>
      </c>
    </row>
    <row r="118" spans="1:1" ht="14.5" x14ac:dyDescent="0.25">
      <c r="A118" s="202"/>
    </row>
    <row r="119" spans="1:1" ht="14.5" x14ac:dyDescent="0.25">
      <c r="A119" s="202" t="s">
        <v>1869</v>
      </c>
    </row>
    <row r="120" spans="1:1" ht="14.5" x14ac:dyDescent="0.25">
      <c r="A120" s="202"/>
    </row>
    <row r="121" spans="1:1" ht="14.5" x14ac:dyDescent="0.25">
      <c r="A121" s="202" t="s">
        <v>1870</v>
      </c>
    </row>
    <row r="122" spans="1:1" ht="14.5" x14ac:dyDescent="0.25">
      <c r="A122" s="202"/>
    </row>
    <row r="123" spans="1:1" ht="14.5" x14ac:dyDescent="0.25">
      <c r="A123" s="202" t="s">
        <v>1871</v>
      </c>
    </row>
    <row r="124" spans="1:1" ht="14.5" x14ac:dyDescent="0.25">
      <c r="A124" s="202"/>
    </row>
    <row r="125" spans="1:1" ht="14.5" x14ac:dyDescent="0.25">
      <c r="A125" s="202" t="s">
        <v>1872</v>
      </c>
    </row>
    <row r="126" spans="1:1" ht="14.5" x14ac:dyDescent="0.25">
      <c r="A126" s="202"/>
    </row>
    <row r="127" spans="1:1" ht="14.5" x14ac:dyDescent="0.25">
      <c r="A127" s="202" t="s">
        <v>1873</v>
      </c>
    </row>
    <row r="128" spans="1:1" ht="14.5" x14ac:dyDescent="0.25">
      <c r="A128" s="202"/>
    </row>
    <row r="129" spans="1:1" ht="14.5" x14ac:dyDescent="0.25">
      <c r="A129" s="202" t="s">
        <v>1874</v>
      </c>
    </row>
    <row r="130" spans="1:1" ht="14.5" x14ac:dyDescent="0.25">
      <c r="A130" s="202"/>
    </row>
    <row r="131" spans="1:1" ht="14.5" x14ac:dyDescent="0.25">
      <c r="A131" s="202" t="s">
        <v>1875</v>
      </c>
    </row>
    <row r="132" spans="1:1" ht="14.5" x14ac:dyDescent="0.25">
      <c r="A132" s="202"/>
    </row>
    <row r="133" spans="1:1" ht="14.5" x14ac:dyDescent="0.25">
      <c r="A133" s="202" t="s">
        <v>1876</v>
      </c>
    </row>
    <row r="134" spans="1:1" ht="14.5" x14ac:dyDescent="0.25">
      <c r="A134" s="202"/>
    </row>
    <row r="135" spans="1:1" ht="14.5" x14ac:dyDescent="0.25">
      <c r="A135" s="202" t="s">
        <v>1877</v>
      </c>
    </row>
    <row r="136" spans="1:1" ht="14.5" x14ac:dyDescent="0.25">
      <c r="A136" s="202"/>
    </row>
    <row r="137" spans="1:1" ht="14.5" x14ac:dyDescent="0.25">
      <c r="A137" s="202" t="s">
        <v>1878</v>
      </c>
    </row>
    <row r="138" spans="1:1" ht="14.5" x14ac:dyDescent="0.25">
      <c r="A138" s="202"/>
    </row>
    <row r="139" spans="1:1" ht="14.5" x14ac:dyDescent="0.25">
      <c r="A139" s="202" t="s">
        <v>1879</v>
      </c>
    </row>
    <row r="140" spans="1:1" ht="14.5" x14ac:dyDescent="0.25">
      <c r="A140" s="202"/>
    </row>
    <row r="141" spans="1:1" ht="14.5" x14ac:dyDescent="0.25">
      <c r="A141" s="202" t="s">
        <v>1880</v>
      </c>
    </row>
    <row r="142" spans="1:1" ht="14.5" x14ac:dyDescent="0.25">
      <c r="A142" s="202"/>
    </row>
    <row r="143" spans="1:1" ht="14.5" x14ac:dyDescent="0.25">
      <c r="A143" s="202" t="s">
        <v>1881</v>
      </c>
    </row>
    <row r="144" spans="1:1" ht="14.5" x14ac:dyDescent="0.25">
      <c r="A144" s="202"/>
    </row>
    <row r="145" spans="1:1" ht="14.5" x14ac:dyDescent="0.25">
      <c r="A145" s="202" t="s">
        <v>1882</v>
      </c>
    </row>
    <row r="146" spans="1:1" ht="14.5" x14ac:dyDescent="0.25">
      <c r="A146" s="202"/>
    </row>
    <row r="147" spans="1:1" ht="14.5" x14ac:dyDescent="0.25">
      <c r="A147" s="202" t="s">
        <v>321</v>
      </c>
    </row>
    <row r="148" spans="1:1" ht="14.5" x14ac:dyDescent="0.25">
      <c r="A148" s="246" t="s">
        <v>1883</v>
      </c>
    </row>
    <row r="149" spans="1:1" ht="14.5" x14ac:dyDescent="0.25">
      <c r="A149" s="246">
        <v>9999.9968231999992</v>
      </c>
    </row>
    <row r="150" spans="1:1" ht="14.5" x14ac:dyDescent="0.25">
      <c r="A150" s="246">
        <v>9.8998626261999996E-4</v>
      </c>
    </row>
    <row r="151" spans="1:1" ht="14.5" x14ac:dyDescent="0.25">
      <c r="A151" s="202" t="s">
        <v>292</v>
      </c>
    </row>
    <row r="152" spans="1:1" ht="14.5" x14ac:dyDescent="0.25">
      <c r="A152" s="202" t="s">
        <v>2161</v>
      </c>
    </row>
    <row r="153" spans="1:1" ht="14.5" x14ac:dyDescent="0.25">
      <c r="A153" s="202" t="s">
        <v>295</v>
      </c>
    </row>
    <row r="154" spans="1:1" ht="14.5" x14ac:dyDescent="0.25">
      <c r="A154" s="202" t="s">
        <v>1829</v>
      </c>
    </row>
    <row r="155" spans="1:1" ht="14.5" x14ac:dyDescent="0.25">
      <c r="A155" s="202" t="s">
        <v>283</v>
      </c>
    </row>
    <row r="156" spans="1:1" ht="14.5" x14ac:dyDescent="0.25">
      <c r="A156" s="202"/>
    </row>
    <row r="157" spans="1:1" ht="14.5" x14ac:dyDescent="0.25">
      <c r="A157" s="202" t="s">
        <v>1884</v>
      </c>
    </row>
    <row r="158" spans="1:1" ht="14.5" x14ac:dyDescent="0.25">
      <c r="A158" s="202"/>
    </row>
    <row r="159" spans="1:1" ht="14.5" x14ac:dyDescent="0.25">
      <c r="A159" s="202" t="s">
        <v>1836</v>
      </c>
    </row>
    <row r="160" spans="1:1" ht="14.5" x14ac:dyDescent="0.25">
      <c r="A160" s="202" t="s">
        <v>1885</v>
      </c>
    </row>
    <row r="161" spans="1:1" ht="14.5" x14ac:dyDescent="0.25">
      <c r="A161" s="202" t="s">
        <v>1886</v>
      </c>
    </row>
    <row r="162" spans="1:1" ht="14.5" x14ac:dyDescent="0.25">
      <c r="A162" s="202"/>
    </row>
    <row r="163" spans="1:1" ht="14.5" x14ac:dyDescent="0.25">
      <c r="A163" s="202" t="s">
        <v>1887</v>
      </c>
    </row>
    <row r="164" spans="1:1" ht="14.5" x14ac:dyDescent="0.25">
      <c r="A164" s="202"/>
    </row>
    <row r="165" spans="1:1" ht="14.5" x14ac:dyDescent="0.25">
      <c r="A165" s="202" t="s">
        <v>1888</v>
      </c>
    </row>
    <row r="166" spans="1:1" ht="14.5" x14ac:dyDescent="0.25">
      <c r="A166" s="202"/>
    </row>
    <row r="167" spans="1:1" ht="14.5" x14ac:dyDescent="0.25">
      <c r="A167" s="202" t="s">
        <v>1889</v>
      </c>
    </row>
    <row r="168" spans="1:1" ht="14.5" x14ac:dyDescent="0.25">
      <c r="A168" s="202"/>
    </row>
    <row r="169" spans="1:1" ht="14.5" x14ac:dyDescent="0.25">
      <c r="A169" s="202" t="s">
        <v>1890</v>
      </c>
    </row>
    <row r="170" spans="1:1" ht="14.5" x14ac:dyDescent="0.25">
      <c r="A170" s="202"/>
    </row>
    <row r="171" spans="1:1" ht="14.5" x14ac:dyDescent="0.25">
      <c r="A171" s="202" t="s">
        <v>1891</v>
      </c>
    </row>
    <row r="172" spans="1:1" ht="14.5" x14ac:dyDescent="0.25">
      <c r="A172" s="202"/>
    </row>
    <row r="173" spans="1:1" ht="14.5" x14ac:dyDescent="0.25">
      <c r="A173" s="202" t="s">
        <v>1892</v>
      </c>
    </row>
    <row r="174" spans="1:1" ht="14.5" x14ac:dyDescent="0.25">
      <c r="A174" s="202"/>
    </row>
    <row r="175" spans="1:1" ht="14.5" x14ac:dyDescent="0.25">
      <c r="A175" s="202" t="s">
        <v>1893</v>
      </c>
    </row>
    <row r="176" spans="1:1" ht="14.5" x14ac:dyDescent="0.25">
      <c r="A176" s="202"/>
    </row>
    <row r="177" spans="1:1" ht="14.5" x14ac:dyDescent="0.25">
      <c r="A177" s="202" t="s">
        <v>1894</v>
      </c>
    </row>
    <row r="178" spans="1:1" ht="14.5" x14ac:dyDescent="0.25">
      <c r="A178" s="202"/>
    </row>
    <row r="179" spans="1:1" ht="14.5" x14ac:dyDescent="0.25">
      <c r="A179" s="202" t="s">
        <v>1895</v>
      </c>
    </row>
    <row r="180" spans="1:1" ht="14.5" x14ac:dyDescent="0.25">
      <c r="A180" s="202"/>
    </row>
    <row r="181" spans="1:1" ht="14.5" x14ac:dyDescent="0.25">
      <c r="A181" s="202" t="s">
        <v>1896</v>
      </c>
    </row>
    <row r="182" spans="1:1" ht="14.5" x14ac:dyDescent="0.25">
      <c r="A182" s="202"/>
    </row>
    <row r="183" spans="1:1" ht="14.5" x14ac:dyDescent="0.25">
      <c r="A183" s="202" t="s">
        <v>1897</v>
      </c>
    </row>
    <row r="184" spans="1:1" ht="14.5" x14ac:dyDescent="0.25">
      <c r="A184" s="202"/>
    </row>
    <row r="185" spans="1:1" ht="14.5" x14ac:dyDescent="0.25">
      <c r="A185" s="202" t="s">
        <v>1898</v>
      </c>
    </row>
    <row r="186" spans="1:1" ht="14.5" x14ac:dyDescent="0.25">
      <c r="A186" s="202"/>
    </row>
    <row r="187" spans="1:1" ht="14.5" x14ac:dyDescent="0.25">
      <c r="A187" s="202" t="s">
        <v>1899</v>
      </c>
    </row>
    <row r="188" spans="1:1" ht="14.5" x14ac:dyDescent="0.25">
      <c r="A188" s="202"/>
    </row>
    <row r="189" spans="1:1" ht="14.5" x14ac:dyDescent="0.25">
      <c r="A189" s="202" t="s">
        <v>1900</v>
      </c>
    </row>
    <row r="190" spans="1:1" ht="14.5" x14ac:dyDescent="0.25">
      <c r="A190" s="202"/>
    </row>
    <row r="191" spans="1:1" ht="14.5" x14ac:dyDescent="0.25">
      <c r="A191" s="202" t="s">
        <v>1901</v>
      </c>
    </row>
    <row r="192" spans="1:1" ht="14.5" x14ac:dyDescent="0.25">
      <c r="A192" s="202"/>
    </row>
    <row r="193" spans="1:1" ht="14.5" x14ac:dyDescent="0.25">
      <c r="A193" s="202" t="s">
        <v>1902</v>
      </c>
    </row>
    <row r="194" spans="1:1" ht="14.5" x14ac:dyDescent="0.25">
      <c r="A194" s="202"/>
    </row>
    <row r="195" spans="1:1" ht="14.5" x14ac:dyDescent="0.25">
      <c r="A195" s="202" t="s">
        <v>1903</v>
      </c>
    </row>
    <row r="196" spans="1:1" ht="14.5" x14ac:dyDescent="0.25">
      <c r="A196" s="202"/>
    </row>
    <row r="197" spans="1:1" ht="14.5" x14ac:dyDescent="0.25">
      <c r="A197" s="202" t="s">
        <v>1904</v>
      </c>
    </row>
    <row r="198" spans="1:1" ht="14.5" x14ac:dyDescent="0.25">
      <c r="A198" s="202"/>
    </row>
    <row r="199" spans="1:1" ht="14.5" x14ac:dyDescent="0.25">
      <c r="A199" s="202" t="s">
        <v>1905</v>
      </c>
    </row>
    <row r="200" spans="1:1" ht="14.5" x14ac:dyDescent="0.25">
      <c r="A200" s="202"/>
    </row>
    <row r="201" spans="1:1" ht="14.5" x14ac:dyDescent="0.25">
      <c r="A201" s="202" t="s">
        <v>1906</v>
      </c>
    </row>
    <row r="202" spans="1:1" ht="14.5" x14ac:dyDescent="0.25">
      <c r="A202" s="202"/>
    </row>
    <row r="203" spans="1:1" ht="14.5" x14ac:dyDescent="0.25">
      <c r="A203" s="202" t="s">
        <v>1907</v>
      </c>
    </row>
    <row r="204" spans="1:1" ht="14.5" x14ac:dyDescent="0.25">
      <c r="A204" s="202"/>
    </row>
    <row r="205" spans="1:1" ht="14.5" x14ac:dyDescent="0.25">
      <c r="A205" s="202" t="s">
        <v>321</v>
      </c>
    </row>
    <row r="206" spans="1:1" x14ac:dyDescent="0.25">
      <c r="A206" t="s">
        <v>1908</v>
      </c>
    </row>
    <row r="207" spans="1:1" x14ac:dyDescent="0.25">
      <c r="A207">
        <v>10000.092995999999</v>
      </c>
    </row>
    <row r="208" spans="1:1" x14ac:dyDescent="0.25">
      <c r="A208">
        <v>1.33851213525E-3</v>
      </c>
    </row>
    <row r="209" spans="1:1" ht="14.5" x14ac:dyDescent="0.25">
      <c r="A209" s="202" t="s">
        <v>292</v>
      </c>
    </row>
    <row r="210" spans="1:1" ht="14.5" x14ac:dyDescent="0.25">
      <c r="A210" s="202"/>
    </row>
    <row r="211" spans="1:1" ht="14.5" x14ac:dyDescent="0.25">
      <c r="A211" s="202" t="s">
        <v>2162</v>
      </c>
    </row>
    <row r="212" spans="1:1" ht="14.5" x14ac:dyDescent="0.25">
      <c r="A212" s="202" t="s">
        <v>295</v>
      </c>
    </row>
    <row r="213" spans="1:1" ht="14.5" x14ac:dyDescent="0.25">
      <c r="A213" s="202" t="s">
        <v>1829</v>
      </c>
    </row>
    <row r="214" spans="1:1" ht="14.5" x14ac:dyDescent="0.25">
      <c r="A214" s="202" t="s">
        <v>283</v>
      </c>
    </row>
    <row r="215" spans="1:1" ht="14.5" x14ac:dyDescent="0.25">
      <c r="A215" s="202"/>
    </row>
    <row r="216" spans="1:1" ht="14.5" x14ac:dyDescent="0.25">
      <c r="A216" s="202" t="s">
        <v>1884</v>
      </c>
    </row>
    <row r="217" spans="1:1" ht="14.5" x14ac:dyDescent="0.25">
      <c r="A217" s="202"/>
    </row>
    <row r="218" spans="1:1" ht="14.5" x14ac:dyDescent="0.25">
      <c r="A218" s="202" t="s">
        <v>1836</v>
      </c>
    </row>
    <row r="219" spans="1:1" ht="14.5" x14ac:dyDescent="0.25">
      <c r="A219" s="202" t="s">
        <v>1909</v>
      </c>
    </row>
    <row r="220" spans="1:1" ht="14.5" x14ac:dyDescent="0.25">
      <c r="A220" s="202" t="s">
        <v>1910</v>
      </c>
    </row>
    <row r="221" spans="1:1" ht="14.5" x14ac:dyDescent="0.25">
      <c r="A221" s="202"/>
    </row>
    <row r="222" spans="1:1" ht="14.5" x14ac:dyDescent="0.25">
      <c r="A222" s="202" t="s">
        <v>1911</v>
      </c>
    </row>
    <row r="223" spans="1:1" ht="14.5" x14ac:dyDescent="0.25">
      <c r="A223" s="202"/>
    </row>
    <row r="224" spans="1:1" ht="14.5" x14ac:dyDescent="0.25">
      <c r="A224" s="202" t="s">
        <v>1912</v>
      </c>
    </row>
    <row r="225" spans="1:1" ht="14.5" x14ac:dyDescent="0.25">
      <c r="A225" s="202"/>
    </row>
    <row r="226" spans="1:1" ht="14.5" x14ac:dyDescent="0.25">
      <c r="A226" s="202" t="s">
        <v>1913</v>
      </c>
    </row>
    <row r="227" spans="1:1" ht="14.5" x14ac:dyDescent="0.25">
      <c r="A227" s="202"/>
    </row>
    <row r="228" spans="1:1" ht="14.5" x14ac:dyDescent="0.25">
      <c r="A228" s="202" t="s">
        <v>1914</v>
      </c>
    </row>
    <row r="229" spans="1:1" ht="14.5" x14ac:dyDescent="0.25">
      <c r="A229" s="202"/>
    </row>
    <row r="230" spans="1:1" ht="14.5" x14ac:dyDescent="0.25">
      <c r="A230" s="202" t="s">
        <v>1915</v>
      </c>
    </row>
    <row r="231" spans="1:1" ht="14.5" x14ac:dyDescent="0.25">
      <c r="A231" s="202"/>
    </row>
    <row r="232" spans="1:1" ht="14.5" x14ac:dyDescent="0.25">
      <c r="A232" s="202" t="s">
        <v>1916</v>
      </c>
    </row>
    <row r="233" spans="1:1" ht="14.5" x14ac:dyDescent="0.25">
      <c r="A233" s="202"/>
    </row>
    <row r="234" spans="1:1" ht="14.5" x14ac:dyDescent="0.25">
      <c r="A234" s="202" t="s">
        <v>1917</v>
      </c>
    </row>
    <row r="235" spans="1:1" ht="14.5" x14ac:dyDescent="0.25">
      <c r="A235" s="202"/>
    </row>
    <row r="236" spans="1:1" ht="14.5" x14ac:dyDescent="0.25">
      <c r="A236" s="202" t="s">
        <v>1918</v>
      </c>
    </row>
    <row r="237" spans="1:1" ht="14.5" x14ac:dyDescent="0.25">
      <c r="A237" s="202"/>
    </row>
    <row r="238" spans="1:1" ht="14.5" x14ac:dyDescent="0.25">
      <c r="A238" s="202" t="s">
        <v>1919</v>
      </c>
    </row>
    <row r="239" spans="1:1" ht="14.5" x14ac:dyDescent="0.25">
      <c r="A239" s="202"/>
    </row>
    <row r="240" spans="1:1" ht="14.5" x14ac:dyDescent="0.25">
      <c r="A240" s="202" t="s">
        <v>1920</v>
      </c>
    </row>
    <row r="241" spans="1:1" ht="14.5" x14ac:dyDescent="0.25">
      <c r="A241" s="202"/>
    </row>
    <row r="242" spans="1:1" ht="14.5" x14ac:dyDescent="0.25">
      <c r="A242" s="202" t="s">
        <v>1921</v>
      </c>
    </row>
    <row r="243" spans="1:1" ht="14.5" x14ac:dyDescent="0.25">
      <c r="A243" s="202"/>
    </row>
    <row r="244" spans="1:1" ht="14.5" x14ac:dyDescent="0.25">
      <c r="A244" s="202" t="s">
        <v>1922</v>
      </c>
    </row>
    <row r="245" spans="1:1" ht="14.5" x14ac:dyDescent="0.25">
      <c r="A245" s="202"/>
    </row>
    <row r="246" spans="1:1" ht="14.5" x14ac:dyDescent="0.25">
      <c r="A246" s="202" t="s">
        <v>1923</v>
      </c>
    </row>
    <row r="247" spans="1:1" ht="14.5" x14ac:dyDescent="0.25">
      <c r="A247" s="202"/>
    </row>
    <row r="248" spans="1:1" ht="14.5" x14ac:dyDescent="0.25">
      <c r="A248" s="202" t="s">
        <v>1924</v>
      </c>
    </row>
    <row r="249" spans="1:1" ht="14.5" x14ac:dyDescent="0.25">
      <c r="A249" s="202"/>
    </row>
    <row r="250" spans="1:1" ht="14.5" x14ac:dyDescent="0.25">
      <c r="A250" s="202" t="s">
        <v>1925</v>
      </c>
    </row>
    <row r="251" spans="1:1" ht="14.5" x14ac:dyDescent="0.25">
      <c r="A251" s="202"/>
    </row>
    <row r="252" spans="1:1" ht="14.5" x14ac:dyDescent="0.25">
      <c r="A252" s="202" t="s">
        <v>1926</v>
      </c>
    </row>
    <row r="253" spans="1:1" ht="14.5" x14ac:dyDescent="0.25">
      <c r="A253" s="202"/>
    </row>
    <row r="254" spans="1:1" ht="14.5" x14ac:dyDescent="0.25">
      <c r="A254" s="202" t="s">
        <v>1927</v>
      </c>
    </row>
    <row r="255" spans="1:1" ht="14.5" x14ac:dyDescent="0.25">
      <c r="A255" s="202"/>
    </row>
    <row r="256" spans="1:1" ht="14.5" x14ac:dyDescent="0.25">
      <c r="A256" s="202" t="s">
        <v>1928</v>
      </c>
    </row>
    <row r="257" spans="1:1" ht="14.5" x14ac:dyDescent="0.25">
      <c r="A257" s="202"/>
    </row>
    <row r="258" spans="1:1" ht="14.5" x14ac:dyDescent="0.25">
      <c r="A258" s="202" t="s">
        <v>1929</v>
      </c>
    </row>
    <row r="259" spans="1:1" ht="14.5" x14ac:dyDescent="0.25">
      <c r="A259" s="202"/>
    </row>
    <row r="260" spans="1:1" ht="14.5" x14ac:dyDescent="0.25">
      <c r="A260" s="202" t="s">
        <v>1930</v>
      </c>
    </row>
    <row r="261" spans="1:1" ht="14.5" x14ac:dyDescent="0.25">
      <c r="A261" s="202"/>
    </row>
    <row r="262" spans="1:1" ht="14.5" x14ac:dyDescent="0.25">
      <c r="A262" s="202" t="s">
        <v>1931</v>
      </c>
    </row>
    <row r="263" spans="1:1" ht="14.5" x14ac:dyDescent="0.25">
      <c r="A263" s="202"/>
    </row>
    <row r="264" spans="1:1" ht="14.5" x14ac:dyDescent="0.25">
      <c r="A264" s="202" t="s">
        <v>321</v>
      </c>
    </row>
    <row r="265" spans="1:1" ht="14.5" x14ac:dyDescent="0.25">
      <c r="A265" s="246" t="s">
        <v>1932</v>
      </c>
    </row>
    <row r="266" spans="1:1" ht="14.5" x14ac:dyDescent="0.25">
      <c r="A266" s="246">
        <v>10000.091248500001</v>
      </c>
    </row>
    <row r="267" spans="1:1" ht="14.5" x14ac:dyDescent="0.25">
      <c r="A267" s="246">
        <v>5.2249394606500004E-3</v>
      </c>
    </row>
    <row r="268" spans="1:1" ht="14.5" x14ac:dyDescent="0.25">
      <c r="A268" s="202" t="s">
        <v>292</v>
      </c>
    </row>
    <row r="269" spans="1:1" ht="14.5" x14ac:dyDescent="0.25">
      <c r="A269" s="202" t="s">
        <v>2163</v>
      </c>
    </row>
    <row r="270" spans="1:1" ht="14.5" x14ac:dyDescent="0.25">
      <c r="A270" s="202" t="s">
        <v>295</v>
      </c>
    </row>
    <row r="271" spans="1:1" ht="14.5" x14ac:dyDescent="0.25">
      <c r="A271" s="202" t="s">
        <v>1829</v>
      </c>
    </row>
    <row r="272" spans="1:1" ht="14.5" x14ac:dyDescent="0.25">
      <c r="A272" s="202" t="s">
        <v>283</v>
      </c>
    </row>
    <row r="273" spans="1:1" ht="14.5" x14ac:dyDescent="0.25">
      <c r="A273" s="202"/>
    </row>
    <row r="274" spans="1:1" ht="14.5" x14ac:dyDescent="0.25">
      <c r="A274" s="202" t="s">
        <v>1884</v>
      </c>
    </row>
    <row r="275" spans="1:1" ht="14.5" x14ac:dyDescent="0.25">
      <c r="A275" s="202"/>
    </row>
    <row r="276" spans="1:1" ht="14.5" x14ac:dyDescent="0.25">
      <c r="A276" s="202" t="s">
        <v>1933</v>
      </c>
    </row>
    <row r="277" spans="1:1" ht="14.5" x14ac:dyDescent="0.25">
      <c r="A277" s="202" t="s">
        <v>1934</v>
      </c>
    </row>
    <row r="278" spans="1:1" ht="14.5" x14ac:dyDescent="0.25">
      <c r="A278" s="202" t="s">
        <v>1935</v>
      </c>
    </row>
    <row r="279" spans="1:1" ht="14.5" x14ac:dyDescent="0.25">
      <c r="A279" s="202"/>
    </row>
    <row r="280" spans="1:1" ht="14.5" x14ac:dyDescent="0.25">
      <c r="A280" s="202" t="s">
        <v>1936</v>
      </c>
    </row>
    <row r="281" spans="1:1" ht="14.5" x14ac:dyDescent="0.25">
      <c r="A281" s="202"/>
    </row>
    <row r="282" spans="1:1" ht="14.5" x14ac:dyDescent="0.25">
      <c r="A282" s="202" t="s">
        <v>1937</v>
      </c>
    </row>
    <row r="283" spans="1:1" ht="14.5" x14ac:dyDescent="0.25">
      <c r="A283" s="202"/>
    </row>
    <row r="284" spans="1:1" ht="14.5" x14ac:dyDescent="0.25">
      <c r="A284" s="202" t="s">
        <v>1938</v>
      </c>
    </row>
    <row r="285" spans="1:1" ht="14.5" x14ac:dyDescent="0.25">
      <c r="A285" s="202"/>
    </row>
    <row r="286" spans="1:1" ht="14.5" x14ac:dyDescent="0.25">
      <c r="A286" s="202" t="s">
        <v>1939</v>
      </c>
    </row>
    <row r="287" spans="1:1" ht="14.5" x14ac:dyDescent="0.25">
      <c r="A287" s="202"/>
    </row>
    <row r="288" spans="1:1" ht="14.5" x14ac:dyDescent="0.25">
      <c r="A288" s="202" t="s">
        <v>1940</v>
      </c>
    </row>
    <row r="289" spans="1:1" ht="14.5" x14ac:dyDescent="0.25">
      <c r="A289" s="202"/>
    </row>
    <row r="290" spans="1:1" ht="14.5" x14ac:dyDescent="0.25">
      <c r="A290" s="202" t="s">
        <v>1941</v>
      </c>
    </row>
    <row r="291" spans="1:1" ht="14.5" x14ac:dyDescent="0.25">
      <c r="A291" s="202"/>
    </row>
    <row r="292" spans="1:1" ht="14.5" x14ac:dyDescent="0.25">
      <c r="A292" s="202" t="s">
        <v>1942</v>
      </c>
    </row>
    <row r="293" spans="1:1" ht="14.5" x14ac:dyDescent="0.25">
      <c r="A293" s="202"/>
    </row>
    <row r="294" spans="1:1" ht="14.5" x14ac:dyDescent="0.25">
      <c r="A294" s="202" t="s">
        <v>1943</v>
      </c>
    </row>
    <row r="295" spans="1:1" ht="14.5" x14ac:dyDescent="0.25">
      <c r="A295" s="202"/>
    </row>
    <row r="296" spans="1:1" ht="14.5" x14ac:dyDescent="0.25">
      <c r="A296" s="202" t="s">
        <v>1944</v>
      </c>
    </row>
    <row r="297" spans="1:1" ht="14.5" x14ac:dyDescent="0.25">
      <c r="A297" s="202"/>
    </row>
    <row r="298" spans="1:1" ht="14.5" x14ac:dyDescent="0.25">
      <c r="A298" s="202" t="s">
        <v>1945</v>
      </c>
    </row>
    <row r="299" spans="1:1" ht="14.5" x14ac:dyDescent="0.25">
      <c r="A299" s="202"/>
    </row>
    <row r="300" spans="1:1" ht="14.5" x14ac:dyDescent="0.25">
      <c r="A300" s="202" t="s">
        <v>1946</v>
      </c>
    </row>
    <row r="301" spans="1:1" ht="14.5" x14ac:dyDescent="0.25">
      <c r="A301" s="202"/>
    </row>
    <row r="302" spans="1:1" ht="14.5" x14ac:dyDescent="0.25">
      <c r="A302" s="202" t="s">
        <v>1947</v>
      </c>
    </row>
    <row r="303" spans="1:1" ht="14.5" x14ac:dyDescent="0.25">
      <c r="A303" s="202"/>
    </row>
    <row r="304" spans="1:1" ht="14.5" x14ac:dyDescent="0.25">
      <c r="A304" s="202" t="s">
        <v>1948</v>
      </c>
    </row>
    <row r="305" spans="1:1" ht="14.5" x14ac:dyDescent="0.25">
      <c r="A305" s="202"/>
    </row>
    <row r="306" spans="1:1" ht="14.5" x14ac:dyDescent="0.25">
      <c r="A306" s="202" t="s">
        <v>1949</v>
      </c>
    </row>
    <row r="307" spans="1:1" ht="14.5" x14ac:dyDescent="0.25">
      <c r="A307" s="202"/>
    </row>
    <row r="308" spans="1:1" ht="14.5" x14ac:dyDescent="0.25">
      <c r="A308" s="202" t="s">
        <v>1950</v>
      </c>
    </row>
    <row r="309" spans="1:1" ht="14.5" x14ac:dyDescent="0.25">
      <c r="A309" s="202"/>
    </row>
    <row r="310" spans="1:1" ht="14.5" x14ac:dyDescent="0.25">
      <c r="A310" s="202" t="s">
        <v>1951</v>
      </c>
    </row>
    <row r="311" spans="1:1" ht="14.5" x14ac:dyDescent="0.25">
      <c r="A311" s="202"/>
    </row>
    <row r="312" spans="1:1" ht="14.5" x14ac:dyDescent="0.25">
      <c r="A312" s="202" t="s">
        <v>1952</v>
      </c>
    </row>
    <row r="313" spans="1:1" ht="14.5" x14ac:dyDescent="0.25">
      <c r="A313" s="202"/>
    </row>
    <row r="314" spans="1:1" ht="14.5" x14ac:dyDescent="0.25">
      <c r="A314" s="202" t="s">
        <v>1953</v>
      </c>
    </row>
    <row r="315" spans="1:1" ht="14.5" x14ac:dyDescent="0.25">
      <c r="A315" s="202"/>
    </row>
    <row r="316" spans="1:1" ht="14.5" x14ac:dyDescent="0.25">
      <c r="A316" s="202" t="s">
        <v>1954</v>
      </c>
    </row>
    <row r="317" spans="1:1" ht="14.5" x14ac:dyDescent="0.25">
      <c r="A317" s="202"/>
    </row>
    <row r="318" spans="1:1" ht="14.5" x14ac:dyDescent="0.25">
      <c r="A318" s="202" t="s">
        <v>1955</v>
      </c>
    </row>
    <row r="319" spans="1:1" ht="14.5" x14ac:dyDescent="0.25">
      <c r="A319" s="202"/>
    </row>
    <row r="320" spans="1:1" ht="14.5" x14ac:dyDescent="0.25">
      <c r="A320" s="202" t="s">
        <v>1956</v>
      </c>
    </row>
    <row r="321" spans="1:1" ht="14.5" x14ac:dyDescent="0.25">
      <c r="A321" s="202"/>
    </row>
    <row r="322" spans="1:1" ht="14.5" x14ac:dyDescent="0.25">
      <c r="A322" s="202" t="s">
        <v>321</v>
      </c>
    </row>
    <row r="323" spans="1:1" ht="14.5" x14ac:dyDescent="0.25">
      <c r="A323" s="246" t="s">
        <v>1957</v>
      </c>
    </row>
    <row r="324" spans="1:1" ht="14.5" x14ac:dyDescent="0.25">
      <c r="A324" s="246">
        <v>100000.701875</v>
      </c>
    </row>
    <row r="325" spans="1:1" ht="14.5" x14ac:dyDescent="0.25">
      <c r="A325" s="246">
        <v>8.06988390785E-3</v>
      </c>
    </row>
    <row r="326" spans="1:1" ht="14.5" x14ac:dyDescent="0.25">
      <c r="A326" s="202" t="s">
        <v>292</v>
      </c>
    </row>
    <row r="327" spans="1:1" ht="16.5" x14ac:dyDescent="0.25">
      <c r="A327" s="202" t="s">
        <v>2164</v>
      </c>
    </row>
    <row r="328" spans="1:1" ht="14.5" x14ac:dyDescent="0.25">
      <c r="A328" s="202" t="s">
        <v>295</v>
      </c>
    </row>
    <row r="329" spans="1:1" ht="14.5" x14ac:dyDescent="0.25">
      <c r="A329" s="202" t="s">
        <v>1829</v>
      </c>
    </row>
    <row r="330" spans="1:1" ht="14.5" x14ac:dyDescent="0.25">
      <c r="A330" s="202" t="s">
        <v>283</v>
      </c>
    </row>
    <row r="331" spans="1:1" ht="14.5" x14ac:dyDescent="0.25">
      <c r="A331" s="202"/>
    </row>
    <row r="332" spans="1:1" ht="14.5" x14ac:dyDescent="0.25">
      <c r="A332" s="202" t="s">
        <v>1884</v>
      </c>
    </row>
    <row r="333" spans="1:1" ht="14.5" x14ac:dyDescent="0.25">
      <c r="A333" s="202"/>
    </row>
    <row r="334" spans="1:1" ht="14.5" x14ac:dyDescent="0.25">
      <c r="A334" s="202" t="s">
        <v>1933</v>
      </c>
    </row>
    <row r="335" spans="1:1" ht="14.5" x14ac:dyDescent="0.25">
      <c r="A335" s="202" t="s">
        <v>1958</v>
      </c>
    </row>
    <row r="336" spans="1:1" ht="14.5" x14ac:dyDescent="0.25">
      <c r="A336" s="202" t="s">
        <v>1959</v>
      </c>
    </row>
    <row r="337" spans="1:1" ht="14.5" x14ac:dyDescent="0.25">
      <c r="A337" s="202"/>
    </row>
    <row r="338" spans="1:1" ht="14.5" x14ac:dyDescent="0.25">
      <c r="A338" s="202" t="s">
        <v>1960</v>
      </c>
    </row>
    <row r="339" spans="1:1" ht="14.5" x14ac:dyDescent="0.25">
      <c r="A339" s="202"/>
    </row>
    <row r="340" spans="1:1" ht="14.5" x14ac:dyDescent="0.25">
      <c r="A340" s="202" t="s">
        <v>1961</v>
      </c>
    </row>
    <row r="341" spans="1:1" ht="14.5" x14ac:dyDescent="0.25">
      <c r="A341" s="202"/>
    </row>
    <row r="342" spans="1:1" ht="14.5" x14ac:dyDescent="0.25">
      <c r="A342" s="202" t="s">
        <v>1962</v>
      </c>
    </row>
    <row r="343" spans="1:1" ht="14.5" x14ac:dyDescent="0.25">
      <c r="A343" s="202"/>
    </row>
    <row r="344" spans="1:1" ht="14.5" x14ac:dyDescent="0.25">
      <c r="A344" s="202" t="s">
        <v>1963</v>
      </c>
    </row>
    <row r="345" spans="1:1" ht="14.5" x14ac:dyDescent="0.25">
      <c r="A345" s="202"/>
    </row>
    <row r="346" spans="1:1" ht="14.5" x14ac:dyDescent="0.25">
      <c r="A346" s="202" t="s">
        <v>1964</v>
      </c>
    </row>
    <row r="347" spans="1:1" ht="14.5" x14ac:dyDescent="0.25">
      <c r="A347" s="202"/>
    </row>
    <row r="348" spans="1:1" ht="14.5" x14ac:dyDescent="0.25">
      <c r="A348" s="202" t="s">
        <v>1965</v>
      </c>
    </row>
    <row r="349" spans="1:1" ht="14.5" x14ac:dyDescent="0.25">
      <c r="A349" s="202"/>
    </row>
    <row r="350" spans="1:1" ht="14.5" x14ac:dyDescent="0.25">
      <c r="A350" s="202" t="s">
        <v>1966</v>
      </c>
    </row>
    <row r="351" spans="1:1" ht="14.5" x14ac:dyDescent="0.25">
      <c r="A351" s="202"/>
    </row>
    <row r="352" spans="1:1" ht="14.5" x14ac:dyDescent="0.25">
      <c r="A352" s="202" t="s">
        <v>1967</v>
      </c>
    </row>
    <row r="353" spans="1:1" ht="14.5" x14ac:dyDescent="0.25">
      <c r="A353" s="202"/>
    </row>
    <row r="354" spans="1:1" ht="14.5" x14ac:dyDescent="0.25">
      <c r="A354" s="202" t="s">
        <v>1968</v>
      </c>
    </row>
    <row r="355" spans="1:1" ht="14.5" x14ac:dyDescent="0.25">
      <c r="A355" s="202"/>
    </row>
    <row r="356" spans="1:1" ht="14.5" x14ac:dyDescent="0.25">
      <c r="A356" s="202" t="s">
        <v>1969</v>
      </c>
    </row>
    <row r="357" spans="1:1" ht="14.5" x14ac:dyDescent="0.25">
      <c r="A357" s="202"/>
    </row>
    <row r="358" spans="1:1" ht="14.5" x14ac:dyDescent="0.25">
      <c r="A358" s="202" t="s">
        <v>1970</v>
      </c>
    </row>
    <row r="359" spans="1:1" ht="14.5" x14ac:dyDescent="0.25">
      <c r="A359" s="202"/>
    </row>
    <row r="360" spans="1:1" ht="14.5" x14ac:dyDescent="0.25">
      <c r="A360" s="202" t="s">
        <v>1971</v>
      </c>
    </row>
    <row r="361" spans="1:1" ht="14.5" x14ac:dyDescent="0.25">
      <c r="A361" s="202"/>
    </row>
    <row r="362" spans="1:1" ht="14.5" x14ac:dyDescent="0.25">
      <c r="A362" s="202" t="s">
        <v>1972</v>
      </c>
    </row>
    <row r="363" spans="1:1" ht="14.5" x14ac:dyDescent="0.25">
      <c r="A363" s="202"/>
    </row>
    <row r="364" spans="1:1" ht="14.5" x14ac:dyDescent="0.25">
      <c r="A364" s="202" t="s">
        <v>1973</v>
      </c>
    </row>
    <row r="365" spans="1:1" ht="14.5" x14ac:dyDescent="0.25">
      <c r="A365" s="202"/>
    </row>
    <row r="366" spans="1:1" ht="14.5" x14ac:dyDescent="0.25">
      <c r="A366" s="202" t="s">
        <v>1974</v>
      </c>
    </row>
    <row r="367" spans="1:1" ht="14.5" x14ac:dyDescent="0.25">
      <c r="A367" s="202"/>
    </row>
    <row r="368" spans="1:1" ht="14.5" x14ac:dyDescent="0.25">
      <c r="A368" s="202" t="s">
        <v>1975</v>
      </c>
    </row>
    <row r="369" spans="1:1" ht="14.5" x14ac:dyDescent="0.25">
      <c r="A369" s="202"/>
    </row>
    <row r="370" spans="1:1" ht="14.5" x14ac:dyDescent="0.25">
      <c r="A370" s="202" t="s">
        <v>1976</v>
      </c>
    </row>
    <row r="371" spans="1:1" ht="14.5" x14ac:dyDescent="0.25">
      <c r="A371" s="202"/>
    </row>
    <row r="372" spans="1:1" ht="14.5" x14ac:dyDescent="0.25">
      <c r="A372" s="202" t="s">
        <v>1977</v>
      </c>
    </row>
    <row r="373" spans="1:1" ht="14.5" x14ac:dyDescent="0.25">
      <c r="A373" s="202"/>
    </row>
    <row r="374" spans="1:1" ht="14.5" x14ac:dyDescent="0.25">
      <c r="A374" s="202" t="s">
        <v>1978</v>
      </c>
    </row>
    <row r="375" spans="1:1" ht="14.5" x14ac:dyDescent="0.25">
      <c r="A375" s="202"/>
    </row>
    <row r="376" spans="1:1" ht="14.5" x14ac:dyDescent="0.25">
      <c r="A376" s="202" t="s">
        <v>1979</v>
      </c>
    </row>
    <row r="377" spans="1:1" ht="14.5" x14ac:dyDescent="0.25">
      <c r="A377" s="202"/>
    </row>
    <row r="378" spans="1:1" ht="14.5" x14ac:dyDescent="0.25">
      <c r="A378" s="202" t="s">
        <v>1980</v>
      </c>
    </row>
    <row r="379" spans="1:1" ht="14.5" x14ac:dyDescent="0.25">
      <c r="A379" s="202"/>
    </row>
    <row r="380" spans="1:1" ht="14.5" x14ac:dyDescent="0.25">
      <c r="A380" s="202" t="s">
        <v>321</v>
      </c>
    </row>
    <row r="381" spans="1:1" ht="14.5" x14ac:dyDescent="0.25">
      <c r="A381" s="246" t="s">
        <v>1981</v>
      </c>
    </row>
    <row r="382" spans="1:1" ht="14.5" x14ac:dyDescent="0.25">
      <c r="A382" s="246">
        <v>100000.48716</v>
      </c>
    </row>
    <row r="383" spans="1:1" ht="14.5" x14ac:dyDescent="0.25">
      <c r="A383" s="246">
        <v>7.2340132275899999E-3</v>
      </c>
    </row>
    <row r="384" spans="1:1" ht="14.5" x14ac:dyDescent="0.25">
      <c r="A384" s="202" t="s">
        <v>292</v>
      </c>
    </row>
    <row r="385" spans="1:1" ht="14.5" x14ac:dyDescent="0.25">
      <c r="A385" s="202" t="s">
        <v>295</v>
      </c>
    </row>
    <row r="386" spans="1:1" ht="14.5" x14ac:dyDescent="0.25">
      <c r="A386" s="202" t="s">
        <v>1829</v>
      </c>
    </row>
    <row r="387" spans="1:1" ht="14.5" x14ac:dyDescent="0.25">
      <c r="A387" s="202" t="s">
        <v>283</v>
      </c>
    </row>
    <row r="388" spans="1:1" ht="14.5" x14ac:dyDescent="0.25">
      <c r="A388" s="202"/>
    </row>
    <row r="389" spans="1:1" ht="14.5" x14ac:dyDescent="0.25">
      <c r="A389" s="202" t="s">
        <v>1884</v>
      </c>
    </row>
    <row r="390" spans="1:1" ht="14.5" x14ac:dyDescent="0.25">
      <c r="A390" s="202"/>
    </row>
    <row r="391" spans="1:1" ht="14.5" x14ac:dyDescent="0.25">
      <c r="A391" s="202" t="s">
        <v>1982</v>
      </c>
    </row>
    <row r="392" spans="1:1" ht="14.5" x14ac:dyDescent="0.25">
      <c r="A392" s="202" t="s">
        <v>1983</v>
      </c>
    </row>
    <row r="393" spans="1:1" ht="14.5" x14ac:dyDescent="0.25">
      <c r="A393" s="202" t="s">
        <v>1984</v>
      </c>
    </row>
    <row r="394" spans="1:1" ht="14.5" x14ac:dyDescent="0.25">
      <c r="A394" s="202"/>
    </row>
    <row r="395" spans="1:1" ht="14.5" x14ac:dyDescent="0.25">
      <c r="A395" s="202" t="s">
        <v>1985</v>
      </c>
    </row>
    <row r="396" spans="1:1" ht="14.5" x14ac:dyDescent="0.25">
      <c r="A396" s="202"/>
    </row>
    <row r="397" spans="1:1" ht="14.5" x14ac:dyDescent="0.25">
      <c r="A397" s="202" t="s">
        <v>1986</v>
      </c>
    </row>
    <row r="398" spans="1:1" ht="14.5" x14ac:dyDescent="0.25">
      <c r="A398" s="202"/>
    </row>
    <row r="399" spans="1:1" ht="14.5" x14ac:dyDescent="0.25">
      <c r="A399" s="202" t="s">
        <v>1987</v>
      </c>
    </row>
    <row r="400" spans="1:1" ht="14.5" x14ac:dyDescent="0.25">
      <c r="A400" s="202"/>
    </row>
    <row r="401" spans="1:1" ht="14.5" x14ac:dyDescent="0.25">
      <c r="A401" s="202" t="s">
        <v>1988</v>
      </c>
    </row>
    <row r="402" spans="1:1" ht="14.5" x14ac:dyDescent="0.25">
      <c r="A402" s="202"/>
    </row>
    <row r="403" spans="1:1" ht="14.5" x14ac:dyDescent="0.25">
      <c r="A403" s="202" t="s">
        <v>1989</v>
      </c>
    </row>
    <row r="404" spans="1:1" ht="14.5" x14ac:dyDescent="0.25">
      <c r="A404" s="202"/>
    </row>
    <row r="405" spans="1:1" ht="14.5" x14ac:dyDescent="0.25">
      <c r="A405" s="202" t="s">
        <v>1990</v>
      </c>
    </row>
    <row r="406" spans="1:1" ht="14.5" x14ac:dyDescent="0.25">
      <c r="A406" s="202"/>
    </row>
    <row r="407" spans="1:1" ht="14.5" x14ac:dyDescent="0.25">
      <c r="A407" s="202" t="s">
        <v>1991</v>
      </c>
    </row>
    <row r="408" spans="1:1" ht="14.5" x14ac:dyDescent="0.25">
      <c r="A408" s="202"/>
    </row>
    <row r="409" spans="1:1" ht="14.5" x14ac:dyDescent="0.25">
      <c r="A409" s="202" t="s">
        <v>1992</v>
      </c>
    </row>
    <row r="410" spans="1:1" ht="14.5" x14ac:dyDescent="0.25">
      <c r="A410" s="202"/>
    </row>
    <row r="411" spans="1:1" ht="14.5" x14ac:dyDescent="0.25">
      <c r="A411" s="202" t="s">
        <v>1993</v>
      </c>
    </row>
    <row r="412" spans="1:1" ht="14.5" x14ac:dyDescent="0.25">
      <c r="A412" s="202"/>
    </row>
    <row r="413" spans="1:1" ht="14.5" x14ac:dyDescent="0.25">
      <c r="A413" s="202" t="s">
        <v>1994</v>
      </c>
    </row>
    <row r="414" spans="1:1" ht="14.5" x14ac:dyDescent="0.25">
      <c r="A414" s="202"/>
    </row>
    <row r="415" spans="1:1" ht="14.5" x14ac:dyDescent="0.25">
      <c r="A415" s="202" t="s">
        <v>1995</v>
      </c>
    </row>
    <row r="416" spans="1:1" ht="14.5" x14ac:dyDescent="0.25">
      <c r="A416" s="202"/>
    </row>
    <row r="417" spans="1:1" ht="14.5" x14ac:dyDescent="0.25">
      <c r="A417" s="202" t="s">
        <v>1996</v>
      </c>
    </row>
    <row r="418" spans="1:1" ht="14.5" x14ac:dyDescent="0.25">
      <c r="A418" s="202"/>
    </row>
    <row r="419" spans="1:1" ht="14.5" x14ac:dyDescent="0.25">
      <c r="A419" s="202" t="s">
        <v>1997</v>
      </c>
    </row>
    <row r="420" spans="1:1" ht="14.5" x14ac:dyDescent="0.25">
      <c r="A420" s="202"/>
    </row>
    <row r="421" spans="1:1" ht="14.5" x14ac:dyDescent="0.25">
      <c r="A421" s="202" t="s">
        <v>1998</v>
      </c>
    </row>
    <row r="422" spans="1:1" ht="14.5" x14ac:dyDescent="0.25">
      <c r="A422" s="202"/>
    </row>
    <row r="423" spans="1:1" ht="14.5" x14ac:dyDescent="0.25">
      <c r="A423" s="202" t="s">
        <v>1999</v>
      </c>
    </row>
    <row r="424" spans="1:1" ht="14.5" x14ac:dyDescent="0.25">
      <c r="A424" s="202"/>
    </row>
    <row r="425" spans="1:1" ht="14.5" x14ac:dyDescent="0.25">
      <c r="A425" s="202" t="s">
        <v>2000</v>
      </c>
    </row>
    <row r="426" spans="1:1" ht="14.5" x14ac:dyDescent="0.25">
      <c r="A426" s="202"/>
    </row>
    <row r="427" spans="1:1" ht="14.5" x14ac:dyDescent="0.25">
      <c r="A427" s="202" t="s">
        <v>2001</v>
      </c>
    </row>
    <row r="428" spans="1:1" ht="14.5" x14ac:dyDescent="0.25">
      <c r="A428" s="202"/>
    </row>
    <row r="429" spans="1:1" ht="14.5" x14ac:dyDescent="0.25">
      <c r="A429" s="202" t="s">
        <v>2002</v>
      </c>
    </row>
    <row r="430" spans="1:1" ht="14.5" x14ac:dyDescent="0.25">
      <c r="A430" s="202"/>
    </row>
    <row r="431" spans="1:1" ht="14.5" x14ac:dyDescent="0.25">
      <c r="A431" s="202" t="s">
        <v>2003</v>
      </c>
    </row>
    <row r="432" spans="1:1" ht="14.5" x14ac:dyDescent="0.25">
      <c r="A432" s="202"/>
    </row>
    <row r="433" spans="1:1" ht="14.5" x14ac:dyDescent="0.25">
      <c r="A433" s="202" t="s">
        <v>2004</v>
      </c>
    </row>
    <row r="434" spans="1:1" ht="14.5" x14ac:dyDescent="0.25">
      <c r="A434" s="202"/>
    </row>
    <row r="435" spans="1:1" ht="14.5" x14ac:dyDescent="0.25">
      <c r="A435" s="202" t="s">
        <v>2005</v>
      </c>
    </row>
    <row r="436" spans="1:1" ht="14.5" x14ac:dyDescent="0.25">
      <c r="A436" s="202"/>
    </row>
    <row r="437" spans="1:1" ht="14.5" x14ac:dyDescent="0.25">
      <c r="A437" s="202" t="s">
        <v>321</v>
      </c>
    </row>
    <row r="438" spans="1:1" ht="14.5" x14ac:dyDescent="0.25">
      <c r="A438" s="202" t="s">
        <v>2006</v>
      </c>
    </row>
    <row r="439" spans="1:1" ht="14.5" x14ac:dyDescent="0.25">
      <c r="A439" s="202">
        <v>100000.45275</v>
      </c>
    </row>
    <row r="440" spans="1:1" ht="14.5" x14ac:dyDescent="0.25">
      <c r="A440" s="202">
        <v>9.4992243453200006E-3</v>
      </c>
    </row>
    <row r="441" spans="1:1" ht="14.5" x14ac:dyDescent="0.25">
      <c r="A441" s="202" t="s">
        <v>292</v>
      </c>
    </row>
    <row r="442" spans="1:1" ht="14.5" x14ac:dyDescent="0.25">
      <c r="A442" s="202" t="s">
        <v>2165</v>
      </c>
    </row>
    <row r="443" spans="1:1" ht="14.5" x14ac:dyDescent="0.25">
      <c r="A443" s="202" t="s">
        <v>295</v>
      </c>
    </row>
    <row r="444" spans="1:1" ht="14.5" x14ac:dyDescent="0.25">
      <c r="A444" s="202" t="s">
        <v>1829</v>
      </c>
    </row>
    <row r="445" spans="1:1" ht="14.5" x14ac:dyDescent="0.25">
      <c r="A445" s="202" t="s">
        <v>283</v>
      </c>
    </row>
    <row r="446" spans="1:1" ht="14.5" x14ac:dyDescent="0.25">
      <c r="A446" s="202"/>
    </row>
    <row r="447" spans="1:1" ht="14.5" x14ac:dyDescent="0.25">
      <c r="A447" s="202" t="s">
        <v>1884</v>
      </c>
    </row>
    <row r="448" spans="1:1" ht="14.5" x14ac:dyDescent="0.25">
      <c r="A448" s="202"/>
    </row>
    <row r="449" spans="1:1" ht="14.5" x14ac:dyDescent="0.25">
      <c r="A449" s="202" t="s">
        <v>2007</v>
      </c>
    </row>
    <row r="450" spans="1:1" ht="14.5" x14ac:dyDescent="0.25">
      <c r="A450" s="202" t="s">
        <v>2008</v>
      </c>
    </row>
    <row r="451" spans="1:1" ht="14.5" x14ac:dyDescent="0.25">
      <c r="A451" s="202" t="s">
        <v>2009</v>
      </c>
    </row>
    <row r="452" spans="1:1" ht="14.5" x14ac:dyDescent="0.25">
      <c r="A452" s="202"/>
    </row>
    <row r="453" spans="1:1" ht="14.5" x14ac:dyDescent="0.25">
      <c r="A453" s="202" t="s">
        <v>2010</v>
      </c>
    </row>
    <row r="454" spans="1:1" ht="14.5" x14ac:dyDescent="0.25">
      <c r="A454" s="202"/>
    </row>
    <row r="455" spans="1:1" ht="14.5" x14ac:dyDescent="0.25">
      <c r="A455" s="202" t="s">
        <v>2011</v>
      </c>
    </row>
    <row r="456" spans="1:1" ht="14.5" x14ac:dyDescent="0.25">
      <c r="A456" s="202"/>
    </row>
    <row r="457" spans="1:1" ht="14.5" x14ac:dyDescent="0.25">
      <c r="A457" s="202" t="s">
        <v>2012</v>
      </c>
    </row>
    <row r="458" spans="1:1" ht="14.5" x14ac:dyDescent="0.25">
      <c r="A458" s="202"/>
    </row>
    <row r="459" spans="1:1" ht="14.5" x14ac:dyDescent="0.25">
      <c r="A459" s="202" t="s">
        <v>2013</v>
      </c>
    </row>
    <row r="460" spans="1:1" ht="14.5" x14ac:dyDescent="0.25">
      <c r="A460" s="202"/>
    </row>
    <row r="461" spans="1:1" ht="14.5" x14ac:dyDescent="0.25">
      <c r="A461" s="202" t="s">
        <v>2014</v>
      </c>
    </row>
    <row r="462" spans="1:1" ht="14.5" x14ac:dyDescent="0.25">
      <c r="A462" s="202"/>
    </row>
    <row r="463" spans="1:1" ht="14.5" x14ac:dyDescent="0.25">
      <c r="A463" s="202" t="s">
        <v>2015</v>
      </c>
    </row>
    <row r="464" spans="1:1" ht="14.5" x14ac:dyDescent="0.25">
      <c r="A464" s="202"/>
    </row>
    <row r="465" spans="1:1" ht="14.5" x14ac:dyDescent="0.25">
      <c r="A465" s="202" t="s">
        <v>2016</v>
      </c>
    </row>
    <row r="466" spans="1:1" ht="14.5" x14ac:dyDescent="0.25">
      <c r="A466" s="202"/>
    </row>
    <row r="467" spans="1:1" ht="14.5" x14ac:dyDescent="0.25">
      <c r="A467" s="202" t="s">
        <v>2017</v>
      </c>
    </row>
    <row r="468" spans="1:1" ht="14.5" x14ac:dyDescent="0.25">
      <c r="A468" s="202"/>
    </row>
    <row r="469" spans="1:1" ht="14.5" x14ac:dyDescent="0.25">
      <c r="A469" s="202" t="s">
        <v>2018</v>
      </c>
    </row>
    <row r="470" spans="1:1" ht="14.5" x14ac:dyDescent="0.25">
      <c r="A470" s="202"/>
    </row>
    <row r="471" spans="1:1" ht="14.5" x14ac:dyDescent="0.25">
      <c r="A471" s="202" t="s">
        <v>2019</v>
      </c>
    </row>
    <row r="472" spans="1:1" ht="14.5" x14ac:dyDescent="0.25">
      <c r="A472" s="202"/>
    </row>
    <row r="473" spans="1:1" ht="14.5" x14ac:dyDescent="0.25">
      <c r="A473" s="202" t="s">
        <v>2020</v>
      </c>
    </row>
    <row r="474" spans="1:1" ht="14.5" x14ac:dyDescent="0.25">
      <c r="A474" s="202"/>
    </row>
    <row r="475" spans="1:1" ht="14.5" x14ac:dyDescent="0.25">
      <c r="A475" s="202" t="s">
        <v>2021</v>
      </c>
    </row>
    <row r="476" spans="1:1" ht="14.5" x14ac:dyDescent="0.25">
      <c r="A476" s="202"/>
    </row>
    <row r="477" spans="1:1" ht="14.5" x14ac:dyDescent="0.25">
      <c r="A477" s="202" t="s">
        <v>2022</v>
      </c>
    </row>
    <row r="478" spans="1:1" ht="14.5" x14ac:dyDescent="0.25">
      <c r="A478" s="202"/>
    </row>
    <row r="479" spans="1:1" ht="14.5" x14ac:dyDescent="0.25">
      <c r="A479" s="202" t="s">
        <v>2023</v>
      </c>
    </row>
    <row r="480" spans="1:1" ht="14.5" x14ac:dyDescent="0.25">
      <c r="A480" s="202"/>
    </row>
    <row r="481" spans="1:1" ht="14.5" x14ac:dyDescent="0.25">
      <c r="A481" s="202" t="s">
        <v>2024</v>
      </c>
    </row>
    <row r="482" spans="1:1" ht="14.5" x14ac:dyDescent="0.25">
      <c r="A482" s="202"/>
    </row>
    <row r="483" spans="1:1" ht="14.5" x14ac:dyDescent="0.25">
      <c r="A483" s="202" t="s">
        <v>2025</v>
      </c>
    </row>
    <row r="484" spans="1:1" ht="14.5" x14ac:dyDescent="0.25">
      <c r="A484" s="202"/>
    </row>
    <row r="485" spans="1:1" ht="14.5" x14ac:dyDescent="0.25">
      <c r="A485" s="202" t="s">
        <v>2026</v>
      </c>
    </row>
    <row r="486" spans="1:1" ht="14.5" x14ac:dyDescent="0.25">
      <c r="A486" s="202"/>
    </row>
    <row r="487" spans="1:1" ht="14.5" x14ac:dyDescent="0.25">
      <c r="A487" s="202" t="s">
        <v>2027</v>
      </c>
    </row>
    <row r="488" spans="1:1" ht="14.5" x14ac:dyDescent="0.25">
      <c r="A488" s="202"/>
    </row>
    <row r="489" spans="1:1" ht="14.5" x14ac:dyDescent="0.25">
      <c r="A489" s="202" t="s">
        <v>2028</v>
      </c>
    </row>
    <row r="490" spans="1:1" ht="14.5" x14ac:dyDescent="0.25">
      <c r="A490" s="202"/>
    </row>
    <row r="491" spans="1:1" ht="14.5" x14ac:dyDescent="0.25">
      <c r="A491" s="202" t="s">
        <v>2029</v>
      </c>
    </row>
    <row r="492" spans="1:1" ht="14.5" x14ac:dyDescent="0.25">
      <c r="A492" s="202"/>
    </row>
    <row r="493" spans="1:1" ht="14.5" x14ac:dyDescent="0.25">
      <c r="A493" s="202" t="s">
        <v>2030</v>
      </c>
    </row>
    <row r="494" spans="1:1" ht="14.5" x14ac:dyDescent="0.25">
      <c r="A494" s="202"/>
    </row>
    <row r="495" spans="1:1" ht="14.5" x14ac:dyDescent="0.25">
      <c r="A495" s="202" t="s">
        <v>321</v>
      </c>
    </row>
    <row r="496" spans="1:1" ht="14.5" x14ac:dyDescent="0.25">
      <c r="A496" s="246" t="s">
        <v>2031</v>
      </c>
    </row>
    <row r="497" spans="1:1" ht="14.5" x14ac:dyDescent="0.25">
      <c r="A497" s="246">
        <v>1000008.3713</v>
      </c>
    </row>
    <row r="498" spans="1:1" ht="14.5" x14ac:dyDescent="0.25">
      <c r="A498" s="246">
        <v>0.54059792432499998</v>
      </c>
    </row>
    <row r="499" spans="1:1" ht="14.5" x14ac:dyDescent="0.25">
      <c r="A499" s="202" t="s">
        <v>292</v>
      </c>
    </row>
    <row r="500" spans="1:1" ht="14.5" x14ac:dyDescent="0.25">
      <c r="A500" s="202" t="s">
        <v>2166</v>
      </c>
    </row>
    <row r="501" spans="1:1" ht="14.5" x14ac:dyDescent="0.25">
      <c r="A501" s="202" t="s">
        <v>16</v>
      </c>
    </row>
    <row r="502" spans="1:1" ht="14.5" x14ac:dyDescent="0.25">
      <c r="A502" s="202" t="s">
        <v>295</v>
      </c>
    </row>
    <row r="503" spans="1:1" ht="14.5" x14ac:dyDescent="0.25">
      <c r="A503" s="202" t="s">
        <v>1829</v>
      </c>
    </row>
    <row r="504" spans="1:1" ht="14.5" x14ac:dyDescent="0.25">
      <c r="A504" s="202" t="s">
        <v>283</v>
      </c>
    </row>
    <row r="505" spans="1:1" ht="14.5" x14ac:dyDescent="0.25">
      <c r="A505" s="202"/>
    </row>
    <row r="506" spans="1:1" ht="14.5" x14ac:dyDescent="0.25">
      <c r="A506" s="202" t="s">
        <v>1884</v>
      </c>
    </row>
    <row r="507" spans="1:1" ht="14.5" x14ac:dyDescent="0.25">
      <c r="A507" s="202"/>
    </row>
    <row r="508" spans="1:1" ht="14.5" x14ac:dyDescent="0.25">
      <c r="A508" s="202" t="s">
        <v>1982</v>
      </c>
    </row>
    <row r="509" spans="1:1" ht="14.5" x14ac:dyDescent="0.25">
      <c r="A509" s="202" t="s">
        <v>2032</v>
      </c>
    </row>
    <row r="510" spans="1:1" ht="14.5" x14ac:dyDescent="0.25">
      <c r="A510" s="202" t="s">
        <v>2033</v>
      </c>
    </row>
    <row r="511" spans="1:1" ht="14.5" x14ac:dyDescent="0.25">
      <c r="A511" s="202"/>
    </row>
    <row r="512" spans="1:1" ht="14.5" x14ac:dyDescent="0.25">
      <c r="A512" s="202" t="s">
        <v>2034</v>
      </c>
    </row>
    <row r="513" spans="1:1" ht="14.5" x14ac:dyDescent="0.25">
      <c r="A513" s="202"/>
    </row>
    <row r="514" spans="1:1" ht="14.5" x14ac:dyDescent="0.25">
      <c r="A514" s="202" t="s">
        <v>2035</v>
      </c>
    </row>
    <row r="515" spans="1:1" ht="14.5" x14ac:dyDescent="0.25">
      <c r="A515" s="202"/>
    </row>
    <row r="516" spans="1:1" ht="14.5" x14ac:dyDescent="0.25">
      <c r="A516" s="202" t="s">
        <v>2036</v>
      </c>
    </row>
    <row r="517" spans="1:1" ht="14.5" x14ac:dyDescent="0.25">
      <c r="A517" s="202"/>
    </row>
    <row r="518" spans="1:1" ht="14.5" x14ac:dyDescent="0.25">
      <c r="A518" s="202" t="s">
        <v>2037</v>
      </c>
    </row>
    <row r="519" spans="1:1" ht="14.5" x14ac:dyDescent="0.25">
      <c r="A519" s="202"/>
    </row>
    <row r="520" spans="1:1" ht="14.5" x14ac:dyDescent="0.25">
      <c r="A520" s="202" t="s">
        <v>2038</v>
      </c>
    </row>
    <row r="521" spans="1:1" ht="14.5" x14ac:dyDescent="0.25">
      <c r="A521" s="202"/>
    </row>
    <row r="522" spans="1:1" ht="14.5" x14ac:dyDescent="0.25">
      <c r="A522" s="202" t="s">
        <v>2039</v>
      </c>
    </row>
    <row r="523" spans="1:1" ht="14.5" x14ac:dyDescent="0.25">
      <c r="A523" s="202"/>
    </row>
    <row r="524" spans="1:1" ht="14.5" x14ac:dyDescent="0.25">
      <c r="A524" s="202" t="s">
        <v>2040</v>
      </c>
    </row>
    <row r="525" spans="1:1" ht="14.5" x14ac:dyDescent="0.25">
      <c r="A525" s="202"/>
    </row>
    <row r="526" spans="1:1" ht="14.5" x14ac:dyDescent="0.25">
      <c r="A526" s="202" t="s">
        <v>2041</v>
      </c>
    </row>
    <row r="527" spans="1:1" ht="14.5" x14ac:dyDescent="0.25">
      <c r="A527" s="202"/>
    </row>
    <row r="528" spans="1:1" ht="14.5" x14ac:dyDescent="0.25">
      <c r="A528" s="202" t="s">
        <v>2042</v>
      </c>
    </row>
    <row r="529" spans="1:1" ht="14.5" x14ac:dyDescent="0.25">
      <c r="A529" s="202"/>
    </row>
    <row r="530" spans="1:1" ht="14.5" x14ac:dyDescent="0.25">
      <c r="A530" s="202" t="s">
        <v>2043</v>
      </c>
    </row>
    <row r="531" spans="1:1" ht="14.5" x14ac:dyDescent="0.25">
      <c r="A531" s="202"/>
    </row>
    <row r="532" spans="1:1" ht="14.5" x14ac:dyDescent="0.25">
      <c r="A532" s="202" t="s">
        <v>2044</v>
      </c>
    </row>
    <row r="533" spans="1:1" ht="14.5" x14ac:dyDescent="0.25">
      <c r="A533" s="202"/>
    </row>
    <row r="534" spans="1:1" ht="14.5" x14ac:dyDescent="0.25">
      <c r="A534" s="202" t="s">
        <v>2045</v>
      </c>
    </row>
    <row r="535" spans="1:1" ht="14.5" x14ac:dyDescent="0.25">
      <c r="A535" s="202"/>
    </row>
    <row r="536" spans="1:1" ht="14.5" x14ac:dyDescent="0.25">
      <c r="A536" s="202" t="s">
        <v>2046</v>
      </c>
    </row>
    <row r="537" spans="1:1" ht="14.5" x14ac:dyDescent="0.25">
      <c r="A537" s="202"/>
    </row>
    <row r="538" spans="1:1" ht="14.5" x14ac:dyDescent="0.25">
      <c r="A538" s="202" t="s">
        <v>2047</v>
      </c>
    </row>
    <row r="539" spans="1:1" ht="14.5" x14ac:dyDescent="0.25">
      <c r="A539" s="202"/>
    </row>
    <row r="540" spans="1:1" ht="14.5" x14ac:dyDescent="0.25">
      <c r="A540" s="202" t="s">
        <v>2048</v>
      </c>
    </row>
    <row r="541" spans="1:1" ht="14.5" x14ac:dyDescent="0.25">
      <c r="A541" s="202"/>
    </row>
    <row r="542" spans="1:1" ht="14.5" x14ac:dyDescent="0.25">
      <c r="A542" s="202" t="s">
        <v>2049</v>
      </c>
    </row>
    <row r="543" spans="1:1" ht="14.5" x14ac:dyDescent="0.25">
      <c r="A543" s="202"/>
    </row>
    <row r="544" spans="1:1" ht="14.5" x14ac:dyDescent="0.25">
      <c r="A544" s="202" t="s">
        <v>2050</v>
      </c>
    </row>
    <row r="545" spans="1:1" ht="14.5" x14ac:dyDescent="0.25">
      <c r="A545" s="202"/>
    </row>
    <row r="546" spans="1:1" ht="14.5" x14ac:dyDescent="0.25">
      <c r="A546" s="202" t="s">
        <v>2051</v>
      </c>
    </row>
    <row r="547" spans="1:1" ht="14.5" x14ac:dyDescent="0.25">
      <c r="A547" s="202"/>
    </row>
    <row r="548" spans="1:1" ht="14.5" x14ac:dyDescent="0.25">
      <c r="A548" s="202" t="s">
        <v>2052</v>
      </c>
    </row>
    <row r="549" spans="1:1" ht="14.5" x14ac:dyDescent="0.25">
      <c r="A549" s="202"/>
    </row>
    <row r="550" spans="1:1" ht="14.5" x14ac:dyDescent="0.25">
      <c r="A550" s="202" t="s">
        <v>2053</v>
      </c>
    </row>
    <row r="551" spans="1:1" ht="14.5" x14ac:dyDescent="0.25">
      <c r="A551" s="202"/>
    </row>
    <row r="552" spans="1:1" ht="14.5" x14ac:dyDescent="0.25">
      <c r="A552" s="202" t="s">
        <v>2054</v>
      </c>
    </row>
    <row r="553" spans="1:1" ht="14.5" x14ac:dyDescent="0.25">
      <c r="A553" s="202"/>
    </row>
    <row r="554" spans="1:1" ht="14.5" x14ac:dyDescent="0.25">
      <c r="A554" s="202" t="s">
        <v>321</v>
      </c>
    </row>
    <row r="555" spans="1:1" ht="14.5" x14ac:dyDescent="0.25">
      <c r="A555" s="246" t="s">
        <v>2055</v>
      </c>
    </row>
    <row r="556" spans="1:1" ht="14.5" x14ac:dyDescent="0.25">
      <c r="A556" s="246">
        <v>99998.892850999997</v>
      </c>
    </row>
    <row r="557" spans="1:1" ht="14.5" x14ac:dyDescent="0.25">
      <c r="A557" s="246">
        <v>7.2538112678899999E-3</v>
      </c>
    </row>
    <row r="558" spans="1:1" ht="14.5" x14ac:dyDescent="0.25">
      <c r="A558" s="202" t="s">
        <v>292</v>
      </c>
    </row>
    <row r="559" spans="1:1" ht="14.5" x14ac:dyDescent="0.25">
      <c r="A559" s="202" t="s">
        <v>2167</v>
      </c>
    </row>
    <row r="560" spans="1:1" ht="14.5" x14ac:dyDescent="0.25">
      <c r="A560" s="202" t="s">
        <v>295</v>
      </c>
    </row>
    <row r="561" spans="1:1" ht="14.5" x14ac:dyDescent="0.25">
      <c r="A561" s="202" t="s">
        <v>1829</v>
      </c>
    </row>
    <row r="562" spans="1:1" ht="14.5" x14ac:dyDescent="0.25">
      <c r="A562" s="202" t="s">
        <v>283</v>
      </c>
    </row>
    <row r="563" spans="1:1" ht="14.5" x14ac:dyDescent="0.25">
      <c r="A563" s="202"/>
    </row>
    <row r="564" spans="1:1" ht="14.5" x14ac:dyDescent="0.25">
      <c r="A564" s="202" t="s">
        <v>1884</v>
      </c>
    </row>
    <row r="565" spans="1:1" ht="14.5" x14ac:dyDescent="0.25">
      <c r="A565" s="202"/>
    </row>
    <row r="566" spans="1:1" ht="14.5" x14ac:dyDescent="0.25">
      <c r="A566" s="202" t="s">
        <v>493</v>
      </c>
    </row>
    <row r="567" spans="1:1" ht="14.5" x14ac:dyDescent="0.25">
      <c r="A567" s="202" t="s">
        <v>2056</v>
      </c>
    </row>
    <row r="568" spans="1:1" ht="14.5" x14ac:dyDescent="0.25">
      <c r="A568" s="202" t="s">
        <v>2057</v>
      </c>
    </row>
    <row r="569" spans="1:1" ht="14.5" x14ac:dyDescent="0.25">
      <c r="A569" s="202"/>
    </row>
    <row r="570" spans="1:1" ht="14.5" x14ac:dyDescent="0.25">
      <c r="A570" s="202" t="s">
        <v>2058</v>
      </c>
    </row>
    <row r="571" spans="1:1" ht="14.5" x14ac:dyDescent="0.25">
      <c r="A571" s="202"/>
    </row>
    <row r="572" spans="1:1" ht="14.5" x14ac:dyDescent="0.25">
      <c r="A572" s="202" t="s">
        <v>2059</v>
      </c>
    </row>
    <row r="573" spans="1:1" ht="14.5" x14ac:dyDescent="0.25">
      <c r="A573" s="202"/>
    </row>
    <row r="574" spans="1:1" ht="14.5" x14ac:dyDescent="0.25">
      <c r="A574" s="202" t="s">
        <v>2060</v>
      </c>
    </row>
    <row r="575" spans="1:1" ht="14.5" x14ac:dyDescent="0.25">
      <c r="A575" s="202"/>
    </row>
    <row r="576" spans="1:1" ht="14.5" x14ac:dyDescent="0.25">
      <c r="A576" s="202" t="s">
        <v>2061</v>
      </c>
    </row>
    <row r="577" spans="1:1" ht="14.5" x14ac:dyDescent="0.25">
      <c r="A577" s="202"/>
    </row>
    <row r="578" spans="1:1" ht="14.5" x14ac:dyDescent="0.25">
      <c r="A578" s="202" t="s">
        <v>2062</v>
      </c>
    </row>
    <row r="579" spans="1:1" ht="14.5" x14ac:dyDescent="0.25">
      <c r="A579" s="202"/>
    </row>
    <row r="580" spans="1:1" ht="14.5" x14ac:dyDescent="0.25">
      <c r="A580" s="202" t="s">
        <v>2063</v>
      </c>
    </row>
    <row r="581" spans="1:1" ht="14.5" x14ac:dyDescent="0.25">
      <c r="A581" s="202"/>
    </row>
    <row r="582" spans="1:1" ht="14.5" x14ac:dyDescent="0.25">
      <c r="A582" s="202" t="s">
        <v>2064</v>
      </c>
    </row>
    <row r="583" spans="1:1" ht="14.5" x14ac:dyDescent="0.25">
      <c r="A583" s="202"/>
    </row>
    <row r="584" spans="1:1" ht="14.5" x14ac:dyDescent="0.25">
      <c r="A584" s="202" t="s">
        <v>2065</v>
      </c>
    </row>
    <row r="585" spans="1:1" ht="14.5" x14ac:dyDescent="0.25">
      <c r="A585" s="202"/>
    </row>
    <row r="586" spans="1:1" ht="14.5" x14ac:dyDescent="0.25">
      <c r="A586" s="202" t="s">
        <v>2066</v>
      </c>
    </row>
    <row r="587" spans="1:1" ht="14.5" x14ac:dyDescent="0.25">
      <c r="A587" s="202"/>
    </row>
    <row r="588" spans="1:1" ht="14.5" x14ac:dyDescent="0.25">
      <c r="A588" s="202" t="s">
        <v>2067</v>
      </c>
    </row>
    <row r="589" spans="1:1" ht="14.5" x14ac:dyDescent="0.25">
      <c r="A589" s="202"/>
    </row>
    <row r="590" spans="1:1" ht="14.5" x14ac:dyDescent="0.25">
      <c r="A590" s="202" t="s">
        <v>2068</v>
      </c>
    </row>
    <row r="591" spans="1:1" ht="14.5" x14ac:dyDescent="0.25">
      <c r="A591" s="202"/>
    </row>
    <row r="592" spans="1:1" ht="14.5" x14ac:dyDescent="0.25">
      <c r="A592" s="202" t="s">
        <v>2069</v>
      </c>
    </row>
    <row r="593" spans="1:1" ht="14.5" x14ac:dyDescent="0.25">
      <c r="A593" s="202"/>
    </row>
    <row r="594" spans="1:1" ht="14.5" x14ac:dyDescent="0.25">
      <c r="A594" s="202" t="s">
        <v>2070</v>
      </c>
    </row>
    <row r="595" spans="1:1" ht="14.5" x14ac:dyDescent="0.25">
      <c r="A595" s="202"/>
    </row>
    <row r="596" spans="1:1" ht="14.5" x14ac:dyDescent="0.25">
      <c r="A596" s="202" t="s">
        <v>2071</v>
      </c>
    </row>
    <row r="597" spans="1:1" ht="14.5" x14ac:dyDescent="0.25">
      <c r="A597" s="202"/>
    </row>
    <row r="598" spans="1:1" ht="14.5" x14ac:dyDescent="0.25">
      <c r="A598" s="202" t="s">
        <v>2072</v>
      </c>
    </row>
    <row r="599" spans="1:1" ht="14.5" x14ac:dyDescent="0.25">
      <c r="A599" s="202"/>
    </row>
    <row r="600" spans="1:1" ht="14.5" x14ac:dyDescent="0.25">
      <c r="A600" s="202" t="s">
        <v>2073</v>
      </c>
    </row>
    <row r="601" spans="1:1" ht="14.5" x14ac:dyDescent="0.25">
      <c r="A601" s="202"/>
    </row>
    <row r="602" spans="1:1" ht="14.5" x14ac:dyDescent="0.25">
      <c r="A602" s="202" t="s">
        <v>2074</v>
      </c>
    </row>
    <row r="603" spans="1:1" ht="14.5" x14ac:dyDescent="0.25">
      <c r="A603" s="202"/>
    </row>
    <row r="604" spans="1:1" ht="14.5" x14ac:dyDescent="0.25">
      <c r="A604" s="202" t="s">
        <v>2075</v>
      </c>
    </row>
    <row r="605" spans="1:1" ht="14.5" x14ac:dyDescent="0.25">
      <c r="A605" s="202"/>
    </row>
    <row r="606" spans="1:1" ht="14.5" x14ac:dyDescent="0.25">
      <c r="A606" s="202" t="s">
        <v>2076</v>
      </c>
    </row>
    <row r="607" spans="1:1" ht="14.5" x14ac:dyDescent="0.25">
      <c r="A607" s="202"/>
    </row>
    <row r="608" spans="1:1" ht="14.5" x14ac:dyDescent="0.25">
      <c r="A608" s="202" t="s">
        <v>2077</v>
      </c>
    </row>
    <row r="609" spans="1:1" ht="14.5" x14ac:dyDescent="0.25">
      <c r="A609" s="202"/>
    </row>
    <row r="610" spans="1:1" ht="14.5" x14ac:dyDescent="0.25">
      <c r="A610" s="202" t="s">
        <v>2078</v>
      </c>
    </row>
    <row r="611" spans="1:1" ht="14.5" x14ac:dyDescent="0.25">
      <c r="A611" s="202"/>
    </row>
    <row r="612" spans="1:1" ht="14.5" x14ac:dyDescent="0.25">
      <c r="A612" s="202" t="s">
        <v>321</v>
      </c>
    </row>
    <row r="613" spans="1:1" ht="14.5" x14ac:dyDescent="0.25">
      <c r="A613" s="246" t="s">
        <v>2079</v>
      </c>
    </row>
    <row r="614" spans="1:1" ht="14.5" x14ac:dyDescent="0.25">
      <c r="A614" s="246">
        <v>10000.538617</v>
      </c>
    </row>
    <row r="615" spans="1:1" ht="14.5" x14ac:dyDescent="0.25">
      <c r="A615" s="246">
        <v>1.1869425558999999E-3</v>
      </c>
    </row>
    <row r="616" spans="1:1" ht="14.5" x14ac:dyDescent="0.25">
      <c r="A616" s="202" t="s">
        <v>292</v>
      </c>
    </row>
    <row r="617" spans="1:1" ht="14.5" x14ac:dyDescent="0.25">
      <c r="A617" s="202" t="s">
        <v>2168</v>
      </c>
    </row>
    <row r="618" spans="1:1" ht="14.5" x14ac:dyDescent="0.25">
      <c r="A618" s="202" t="s">
        <v>295</v>
      </c>
    </row>
    <row r="619" spans="1:1" ht="14.5" x14ac:dyDescent="0.25">
      <c r="A619" s="202" t="s">
        <v>1829</v>
      </c>
    </row>
    <row r="620" spans="1:1" ht="14.5" x14ac:dyDescent="0.25">
      <c r="A620" s="202" t="s">
        <v>283</v>
      </c>
    </row>
    <row r="621" spans="1:1" ht="14.5" x14ac:dyDescent="0.25">
      <c r="A621" s="202"/>
    </row>
    <row r="622" spans="1:1" ht="14.5" x14ac:dyDescent="0.25">
      <c r="A622" s="202" t="s">
        <v>1884</v>
      </c>
    </row>
    <row r="623" spans="1:1" ht="14.5" x14ac:dyDescent="0.25">
      <c r="A623" s="202"/>
    </row>
    <row r="624" spans="1:1" ht="14.5" x14ac:dyDescent="0.25">
      <c r="A624" s="202" t="s">
        <v>2007</v>
      </c>
    </row>
    <row r="625" spans="1:1" ht="14.5" x14ac:dyDescent="0.25">
      <c r="A625" s="202" t="s">
        <v>2080</v>
      </c>
    </row>
    <row r="626" spans="1:1" ht="14.5" x14ac:dyDescent="0.25">
      <c r="A626" s="202" t="s">
        <v>2081</v>
      </c>
    </row>
    <row r="627" spans="1:1" ht="14.5" x14ac:dyDescent="0.25">
      <c r="A627" s="202"/>
    </row>
    <row r="628" spans="1:1" ht="14.5" x14ac:dyDescent="0.25">
      <c r="A628" s="202" t="s">
        <v>2082</v>
      </c>
    </row>
    <row r="629" spans="1:1" ht="14.5" x14ac:dyDescent="0.25">
      <c r="A629" s="202"/>
    </row>
    <row r="630" spans="1:1" ht="14.5" x14ac:dyDescent="0.25">
      <c r="A630" s="202" t="s">
        <v>2083</v>
      </c>
    </row>
    <row r="631" spans="1:1" ht="14.5" x14ac:dyDescent="0.25">
      <c r="A631" s="202"/>
    </row>
    <row r="632" spans="1:1" ht="14.5" x14ac:dyDescent="0.25">
      <c r="A632" s="202" t="s">
        <v>2084</v>
      </c>
    </row>
    <row r="633" spans="1:1" ht="14.5" x14ac:dyDescent="0.25">
      <c r="A633" s="202"/>
    </row>
    <row r="634" spans="1:1" ht="14.5" x14ac:dyDescent="0.25">
      <c r="A634" s="202" t="s">
        <v>2085</v>
      </c>
    </row>
    <row r="635" spans="1:1" ht="14.5" x14ac:dyDescent="0.25">
      <c r="A635" s="202"/>
    </row>
    <row r="636" spans="1:1" ht="14.5" x14ac:dyDescent="0.25">
      <c r="A636" s="202" t="s">
        <v>2086</v>
      </c>
    </row>
    <row r="637" spans="1:1" ht="14.5" x14ac:dyDescent="0.25">
      <c r="A637" s="202"/>
    </row>
    <row r="638" spans="1:1" ht="14.5" x14ac:dyDescent="0.25">
      <c r="A638" s="202" t="s">
        <v>2087</v>
      </c>
    </row>
    <row r="639" spans="1:1" ht="14.5" x14ac:dyDescent="0.25">
      <c r="A639" s="202"/>
    </row>
    <row r="640" spans="1:1" ht="14.5" x14ac:dyDescent="0.25">
      <c r="A640" s="202" t="s">
        <v>2088</v>
      </c>
    </row>
    <row r="641" spans="1:1" ht="14.5" x14ac:dyDescent="0.25">
      <c r="A641" s="202"/>
    </row>
    <row r="642" spans="1:1" ht="14.5" x14ac:dyDescent="0.25">
      <c r="A642" s="202" t="s">
        <v>2089</v>
      </c>
    </row>
    <row r="643" spans="1:1" ht="14.5" x14ac:dyDescent="0.25">
      <c r="A643" s="202"/>
    </row>
    <row r="644" spans="1:1" ht="14.5" x14ac:dyDescent="0.25">
      <c r="A644" s="202" t="s">
        <v>2090</v>
      </c>
    </row>
    <row r="645" spans="1:1" ht="14.5" x14ac:dyDescent="0.25">
      <c r="A645" s="202"/>
    </row>
    <row r="646" spans="1:1" ht="14.5" x14ac:dyDescent="0.25">
      <c r="A646" s="202" t="s">
        <v>2091</v>
      </c>
    </row>
    <row r="647" spans="1:1" ht="14.5" x14ac:dyDescent="0.25">
      <c r="A647" s="202"/>
    </row>
    <row r="648" spans="1:1" ht="14.5" x14ac:dyDescent="0.25">
      <c r="A648" s="202" t="s">
        <v>2092</v>
      </c>
    </row>
    <row r="649" spans="1:1" ht="14.5" x14ac:dyDescent="0.25">
      <c r="A649" s="202"/>
    </row>
    <row r="650" spans="1:1" ht="14.5" x14ac:dyDescent="0.25">
      <c r="A650" s="202" t="s">
        <v>2093</v>
      </c>
    </row>
    <row r="651" spans="1:1" ht="14.5" x14ac:dyDescent="0.25">
      <c r="A651" s="202"/>
    </row>
    <row r="652" spans="1:1" ht="14.5" x14ac:dyDescent="0.25">
      <c r="A652" s="202" t="s">
        <v>2094</v>
      </c>
    </row>
    <row r="653" spans="1:1" ht="14.5" x14ac:dyDescent="0.25">
      <c r="A653" s="202"/>
    </row>
    <row r="654" spans="1:1" ht="14.5" x14ac:dyDescent="0.25">
      <c r="A654" s="202" t="s">
        <v>2095</v>
      </c>
    </row>
    <row r="655" spans="1:1" ht="14.5" x14ac:dyDescent="0.25">
      <c r="A655" s="202"/>
    </row>
    <row r="656" spans="1:1" ht="14.5" x14ac:dyDescent="0.25">
      <c r="A656" s="202" t="s">
        <v>2096</v>
      </c>
    </row>
    <row r="657" spans="1:1" ht="14.5" x14ac:dyDescent="0.25">
      <c r="A657" s="202"/>
    </row>
    <row r="658" spans="1:1" ht="14.5" x14ac:dyDescent="0.25">
      <c r="A658" s="202" t="s">
        <v>2097</v>
      </c>
    </row>
    <row r="659" spans="1:1" ht="14.5" x14ac:dyDescent="0.25">
      <c r="A659" s="202"/>
    </row>
    <row r="660" spans="1:1" ht="14.5" x14ac:dyDescent="0.25">
      <c r="A660" s="202" t="s">
        <v>2098</v>
      </c>
    </row>
    <row r="661" spans="1:1" ht="14.5" x14ac:dyDescent="0.25">
      <c r="A661" s="202"/>
    </row>
    <row r="662" spans="1:1" ht="14.5" x14ac:dyDescent="0.25">
      <c r="A662" s="202" t="s">
        <v>2099</v>
      </c>
    </row>
    <row r="663" spans="1:1" ht="14.5" x14ac:dyDescent="0.25">
      <c r="A663" s="202"/>
    </row>
    <row r="664" spans="1:1" ht="14.5" x14ac:dyDescent="0.25">
      <c r="A664" s="202" t="s">
        <v>2100</v>
      </c>
    </row>
    <row r="665" spans="1:1" ht="14.5" x14ac:dyDescent="0.25">
      <c r="A665" s="202"/>
    </row>
    <row r="666" spans="1:1" ht="14.5" x14ac:dyDescent="0.25">
      <c r="A666" s="202" t="s">
        <v>2101</v>
      </c>
    </row>
    <row r="667" spans="1:1" ht="14.5" x14ac:dyDescent="0.25">
      <c r="A667" s="202"/>
    </row>
    <row r="668" spans="1:1" ht="14.5" x14ac:dyDescent="0.25">
      <c r="A668" s="202" t="s">
        <v>2102</v>
      </c>
    </row>
    <row r="669" spans="1:1" ht="14.5" x14ac:dyDescent="0.25">
      <c r="A669" s="202"/>
    </row>
    <row r="670" spans="1:1" ht="14.5" x14ac:dyDescent="0.25">
      <c r="A670" s="202" t="s">
        <v>321</v>
      </c>
    </row>
    <row r="671" spans="1:1" ht="14.5" x14ac:dyDescent="0.25">
      <c r="A671" s="246" t="s">
        <v>2103</v>
      </c>
    </row>
    <row r="672" spans="1:1" ht="14.5" x14ac:dyDescent="0.25">
      <c r="A672" s="246">
        <v>1000065.50605</v>
      </c>
    </row>
    <row r="673" spans="1:1" ht="14.5" x14ac:dyDescent="0.25">
      <c r="A673" s="246">
        <v>0.163966130958</v>
      </c>
    </row>
    <row r="674" spans="1:1" ht="14.5" x14ac:dyDescent="0.25">
      <c r="A674" s="202" t="s">
        <v>292</v>
      </c>
    </row>
    <row r="675" spans="1:1" ht="14.5" x14ac:dyDescent="0.25">
      <c r="A675" s="202" t="s">
        <v>2169</v>
      </c>
    </row>
    <row r="676" spans="1:1" ht="14.5" x14ac:dyDescent="0.25">
      <c r="A676" s="202" t="s">
        <v>295</v>
      </c>
    </row>
    <row r="677" spans="1:1" ht="14.5" x14ac:dyDescent="0.25">
      <c r="A677" s="202" t="s">
        <v>1829</v>
      </c>
    </row>
    <row r="678" spans="1:1" ht="14.5" x14ac:dyDescent="0.25">
      <c r="A678" s="202" t="s">
        <v>283</v>
      </c>
    </row>
    <row r="679" spans="1:1" ht="14.5" x14ac:dyDescent="0.25">
      <c r="A679" s="202"/>
    </row>
    <row r="680" spans="1:1" ht="14.5" x14ac:dyDescent="0.25">
      <c r="A680" s="202" t="s">
        <v>1884</v>
      </c>
    </row>
    <row r="681" spans="1:1" ht="14.5" x14ac:dyDescent="0.25">
      <c r="A681" s="202"/>
    </row>
    <row r="682" spans="1:1" ht="14.5" x14ac:dyDescent="0.25">
      <c r="A682" s="202" t="s">
        <v>1982</v>
      </c>
    </row>
    <row r="683" spans="1:1" ht="14.5" x14ac:dyDescent="0.25">
      <c r="A683" s="202" t="s">
        <v>2104</v>
      </c>
    </row>
    <row r="684" spans="1:1" ht="14.5" x14ac:dyDescent="0.25">
      <c r="A684" s="202" t="s">
        <v>2105</v>
      </c>
    </row>
    <row r="685" spans="1:1" ht="14.5" x14ac:dyDescent="0.25">
      <c r="A685" s="202"/>
    </row>
    <row r="686" spans="1:1" ht="14.5" x14ac:dyDescent="0.25">
      <c r="A686" s="202" t="s">
        <v>2106</v>
      </c>
    </row>
    <row r="687" spans="1:1" ht="14.5" x14ac:dyDescent="0.25">
      <c r="A687" s="202"/>
    </row>
    <row r="688" spans="1:1" ht="14.5" x14ac:dyDescent="0.25">
      <c r="A688" s="202" t="s">
        <v>2107</v>
      </c>
    </row>
    <row r="689" spans="1:1" ht="14.5" x14ac:dyDescent="0.25">
      <c r="A689" s="202"/>
    </row>
    <row r="690" spans="1:1" ht="14.5" x14ac:dyDescent="0.25">
      <c r="A690" s="202" t="s">
        <v>2108</v>
      </c>
    </row>
    <row r="691" spans="1:1" ht="14.5" x14ac:dyDescent="0.25">
      <c r="A691" s="202"/>
    </row>
    <row r="692" spans="1:1" ht="14.5" x14ac:dyDescent="0.25">
      <c r="A692" s="202" t="s">
        <v>2109</v>
      </c>
    </row>
    <row r="693" spans="1:1" ht="14.5" x14ac:dyDescent="0.25">
      <c r="A693" s="202"/>
    </row>
    <row r="694" spans="1:1" ht="14.5" x14ac:dyDescent="0.25">
      <c r="A694" s="202" t="s">
        <v>2110</v>
      </c>
    </row>
    <row r="695" spans="1:1" ht="14.5" x14ac:dyDescent="0.25">
      <c r="A695" s="202"/>
    </row>
    <row r="696" spans="1:1" ht="14.5" x14ac:dyDescent="0.25">
      <c r="A696" s="202" t="s">
        <v>2111</v>
      </c>
    </row>
    <row r="697" spans="1:1" ht="14.5" x14ac:dyDescent="0.25">
      <c r="A697" s="202"/>
    </row>
    <row r="698" spans="1:1" ht="14.5" x14ac:dyDescent="0.25">
      <c r="A698" s="202" t="s">
        <v>2112</v>
      </c>
    </row>
    <row r="699" spans="1:1" ht="14.5" x14ac:dyDescent="0.25">
      <c r="A699" s="202"/>
    </row>
    <row r="700" spans="1:1" ht="14.5" x14ac:dyDescent="0.25">
      <c r="A700" s="202" t="s">
        <v>2113</v>
      </c>
    </row>
    <row r="701" spans="1:1" ht="14.5" x14ac:dyDescent="0.25">
      <c r="A701" s="202"/>
    </row>
    <row r="702" spans="1:1" ht="14.5" x14ac:dyDescent="0.25">
      <c r="A702" s="202" t="s">
        <v>2114</v>
      </c>
    </row>
    <row r="703" spans="1:1" ht="14.5" x14ac:dyDescent="0.25">
      <c r="A703" s="202"/>
    </row>
    <row r="704" spans="1:1" ht="14.5" x14ac:dyDescent="0.25">
      <c r="A704" s="202" t="s">
        <v>2115</v>
      </c>
    </row>
    <row r="705" spans="1:1" ht="14.5" x14ac:dyDescent="0.25">
      <c r="A705" s="202"/>
    </row>
    <row r="706" spans="1:1" ht="14.5" x14ac:dyDescent="0.25">
      <c r="A706" s="202" t="s">
        <v>2116</v>
      </c>
    </row>
    <row r="707" spans="1:1" ht="14.5" x14ac:dyDescent="0.25">
      <c r="A707" s="202"/>
    </row>
    <row r="708" spans="1:1" ht="14.5" x14ac:dyDescent="0.25">
      <c r="A708" s="202" t="s">
        <v>2117</v>
      </c>
    </row>
    <row r="709" spans="1:1" ht="14.5" x14ac:dyDescent="0.25">
      <c r="A709" s="202"/>
    </row>
    <row r="710" spans="1:1" ht="14.5" x14ac:dyDescent="0.25">
      <c r="A710" s="202" t="s">
        <v>2118</v>
      </c>
    </row>
    <row r="711" spans="1:1" ht="14.5" x14ac:dyDescent="0.25">
      <c r="A711" s="202"/>
    </row>
    <row r="712" spans="1:1" ht="14.5" x14ac:dyDescent="0.25">
      <c r="A712" s="202" t="s">
        <v>2119</v>
      </c>
    </row>
    <row r="713" spans="1:1" ht="14.5" x14ac:dyDescent="0.25">
      <c r="A713" s="202"/>
    </row>
    <row r="714" spans="1:1" ht="14.5" x14ac:dyDescent="0.25">
      <c r="A714" s="202" t="s">
        <v>2120</v>
      </c>
    </row>
    <row r="715" spans="1:1" ht="14.5" x14ac:dyDescent="0.25">
      <c r="A715" s="202"/>
    </row>
    <row r="716" spans="1:1" ht="14.5" x14ac:dyDescent="0.25">
      <c r="A716" s="202" t="s">
        <v>2121</v>
      </c>
    </row>
    <row r="717" spans="1:1" ht="14.5" x14ac:dyDescent="0.25">
      <c r="A717" s="202"/>
    </row>
    <row r="718" spans="1:1" ht="14.5" x14ac:dyDescent="0.25">
      <c r="A718" s="202" t="s">
        <v>2122</v>
      </c>
    </row>
    <row r="719" spans="1:1" ht="14.5" x14ac:dyDescent="0.25">
      <c r="A719" s="202"/>
    </row>
    <row r="720" spans="1:1" ht="14.5" x14ac:dyDescent="0.25">
      <c r="A720" s="202" t="s">
        <v>2123</v>
      </c>
    </row>
    <row r="721" spans="1:1" ht="14.5" x14ac:dyDescent="0.25">
      <c r="A721" s="202"/>
    </row>
    <row r="722" spans="1:1" ht="14.5" x14ac:dyDescent="0.25">
      <c r="A722" s="202" t="s">
        <v>2124</v>
      </c>
    </row>
    <row r="723" spans="1:1" ht="14.5" x14ac:dyDescent="0.25">
      <c r="A723" s="202"/>
    </row>
    <row r="724" spans="1:1" ht="14.5" x14ac:dyDescent="0.25">
      <c r="A724" s="202" t="s">
        <v>2125</v>
      </c>
    </row>
    <row r="725" spans="1:1" ht="14.5" x14ac:dyDescent="0.25">
      <c r="A725" s="202"/>
    </row>
    <row r="726" spans="1:1" ht="14.5" x14ac:dyDescent="0.25">
      <c r="A726" s="202" t="s">
        <v>2126</v>
      </c>
    </row>
    <row r="727" spans="1:1" ht="14.5" x14ac:dyDescent="0.25">
      <c r="A727" s="202"/>
    </row>
    <row r="728" spans="1:1" ht="14.5" x14ac:dyDescent="0.25">
      <c r="A728" s="202" t="s">
        <v>321</v>
      </c>
    </row>
    <row r="729" spans="1:1" ht="14.5" x14ac:dyDescent="0.25">
      <c r="A729" s="246" t="s">
        <v>2127</v>
      </c>
    </row>
    <row r="730" spans="1:1" ht="14.5" x14ac:dyDescent="0.25">
      <c r="A730" s="246">
        <v>99998.876478000006</v>
      </c>
    </row>
    <row r="731" spans="1:1" ht="14.5" x14ac:dyDescent="0.25">
      <c r="A731" s="246">
        <v>7.1487426934400003E-3</v>
      </c>
    </row>
    <row r="732" spans="1:1" ht="14.5" x14ac:dyDescent="0.25">
      <c r="A732" s="202" t="s">
        <v>292</v>
      </c>
    </row>
    <row r="733" spans="1:1" ht="14.5" x14ac:dyDescent="0.25">
      <c r="A733" s="202" t="s">
        <v>2170</v>
      </c>
    </row>
    <row r="734" spans="1:1" ht="14.5" x14ac:dyDescent="0.25">
      <c r="A734" s="202" t="s">
        <v>295</v>
      </c>
    </row>
    <row r="735" spans="1:1" ht="14.5" x14ac:dyDescent="0.25">
      <c r="A735" s="202" t="s">
        <v>1829</v>
      </c>
    </row>
    <row r="736" spans="1:1" ht="14.5" x14ac:dyDescent="0.25">
      <c r="A736" s="202" t="s">
        <v>283</v>
      </c>
    </row>
    <row r="737" spans="1:1" ht="14.5" x14ac:dyDescent="0.25">
      <c r="A737" s="202"/>
    </row>
    <row r="738" spans="1:1" ht="14.5" x14ac:dyDescent="0.25">
      <c r="A738" s="202" t="s">
        <v>1884</v>
      </c>
    </row>
    <row r="739" spans="1:1" ht="14.5" x14ac:dyDescent="0.25">
      <c r="A739" s="202"/>
    </row>
    <row r="740" spans="1:1" ht="14.5" x14ac:dyDescent="0.25">
      <c r="A740" s="202" t="s">
        <v>1982</v>
      </c>
    </row>
    <row r="741" spans="1:1" ht="14.5" x14ac:dyDescent="0.25">
      <c r="A741" s="202" t="s">
        <v>2128</v>
      </c>
    </row>
    <row r="742" spans="1:1" ht="14.5" x14ac:dyDescent="0.25">
      <c r="A742" s="202" t="s">
        <v>2129</v>
      </c>
    </row>
    <row r="743" spans="1:1" ht="14.5" x14ac:dyDescent="0.25">
      <c r="A743" s="202"/>
    </row>
    <row r="744" spans="1:1" ht="14.5" x14ac:dyDescent="0.25">
      <c r="A744" s="202" t="s">
        <v>2130</v>
      </c>
    </row>
    <row r="745" spans="1:1" ht="14.5" x14ac:dyDescent="0.25">
      <c r="A745" s="202"/>
    </row>
    <row r="746" spans="1:1" ht="14.5" x14ac:dyDescent="0.25">
      <c r="A746" s="202" t="s">
        <v>2131</v>
      </c>
    </row>
    <row r="747" spans="1:1" ht="14.5" x14ac:dyDescent="0.25">
      <c r="A747" s="202"/>
    </row>
    <row r="748" spans="1:1" ht="14.5" x14ac:dyDescent="0.25">
      <c r="A748" s="202" t="s">
        <v>2132</v>
      </c>
    </row>
    <row r="749" spans="1:1" ht="14.5" x14ac:dyDescent="0.25">
      <c r="A749" s="202"/>
    </row>
    <row r="750" spans="1:1" ht="14.5" x14ac:dyDescent="0.25">
      <c r="A750" s="202" t="s">
        <v>2133</v>
      </c>
    </row>
    <row r="751" spans="1:1" ht="14.5" x14ac:dyDescent="0.25">
      <c r="A751" s="202"/>
    </row>
    <row r="752" spans="1:1" ht="14.5" x14ac:dyDescent="0.25">
      <c r="A752" s="202" t="s">
        <v>2134</v>
      </c>
    </row>
    <row r="753" spans="1:1" ht="14.5" x14ac:dyDescent="0.25">
      <c r="A753" s="202"/>
    </row>
    <row r="754" spans="1:1" ht="14.5" x14ac:dyDescent="0.25">
      <c r="A754" s="202" t="s">
        <v>2135</v>
      </c>
    </row>
    <row r="755" spans="1:1" ht="14.5" x14ac:dyDescent="0.25">
      <c r="A755" s="202"/>
    </row>
    <row r="756" spans="1:1" ht="14.5" x14ac:dyDescent="0.25">
      <c r="A756" s="202" t="s">
        <v>2136</v>
      </c>
    </row>
    <row r="757" spans="1:1" ht="14.5" x14ac:dyDescent="0.25">
      <c r="A757" s="202"/>
    </row>
    <row r="758" spans="1:1" ht="14.5" x14ac:dyDescent="0.25">
      <c r="A758" s="202" t="s">
        <v>2137</v>
      </c>
    </row>
    <row r="759" spans="1:1" ht="14.5" x14ac:dyDescent="0.25">
      <c r="A759" s="202"/>
    </row>
    <row r="760" spans="1:1" ht="14.5" x14ac:dyDescent="0.25">
      <c r="A760" s="202" t="s">
        <v>2138</v>
      </c>
    </row>
    <row r="761" spans="1:1" ht="14.5" x14ac:dyDescent="0.25">
      <c r="A761" s="202"/>
    </row>
    <row r="762" spans="1:1" ht="14.5" x14ac:dyDescent="0.25">
      <c r="A762" s="202" t="s">
        <v>2139</v>
      </c>
    </row>
    <row r="763" spans="1:1" ht="14.5" x14ac:dyDescent="0.25">
      <c r="A763" s="202"/>
    </row>
    <row r="764" spans="1:1" ht="14.5" x14ac:dyDescent="0.25">
      <c r="A764" s="202" t="s">
        <v>2140</v>
      </c>
    </row>
    <row r="765" spans="1:1" ht="14.5" x14ac:dyDescent="0.25">
      <c r="A765" s="202"/>
    </row>
    <row r="766" spans="1:1" ht="14.5" x14ac:dyDescent="0.25">
      <c r="A766" s="202" t="s">
        <v>2141</v>
      </c>
    </row>
    <row r="767" spans="1:1" ht="14.5" x14ac:dyDescent="0.25">
      <c r="A767" s="202"/>
    </row>
    <row r="768" spans="1:1" ht="14.5" x14ac:dyDescent="0.25">
      <c r="A768" s="202" t="s">
        <v>2142</v>
      </c>
    </row>
    <row r="769" spans="1:1" ht="14.5" x14ac:dyDescent="0.25">
      <c r="A769" s="202"/>
    </row>
    <row r="770" spans="1:1" ht="14.5" x14ac:dyDescent="0.25">
      <c r="A770" s="202" t="s">
        <v>2143</v>
      </c>
    </row>
    <row r="771" spans="1:1" ht="14.5" x14ac:dyDescent="0.25">
      <c r="A771" s="202"/>
    </row>
    <row r="772" spans="1:1" ht="14.5" x14ac:dyDescent="0.25">
      <c r="A772" s="202" t="s">
        <v>2144</v>
      </c>
    </row>
    <row r="773" spans="1:1" ht="14.5" x14ac:dyDescent="0.25">
      <c r="A773" s="202"/>
    </row>
    <row r="774" spans="1:1" ht="14.5" x14ac:dyDescent="0.25">
      <c r="A774" s="202" t="s">
        <v>2145</v>
      </c>
    </row>
    <row r="775" spans="1:1" ht="14.5" x14ac:dyDescent="0.25">
      <c r="A775" s="202"/>
    </row>
    <row r="776" spans="1:1" ht="14.5" x14ac:dyDescent="0.25">
      <c r="A776" s="202" t="s">
        <v>2146</v>
      </c>
    </row>
    <row r="777" spans="1:1" ht="14.5" x14ac:dyDescent="0.25">
      <c r="A777" s="202"/>
    </row>
    <row r="778" spans="1:1" ht="14.5" x14ac:dyDescent="0.25">
      <c r="A778" s="202" t="s">
        <v>2147</v>
      </c>
    </row>
    <row r="779" spans="1:1" ht="14.5" x14ac:dyDescent="0.25">
      <c r="A779" s="202"/>
    </row>
    <row r="780" spans="1:1" ht="14.5" x14ac:dyDescent="0.25">
      <c r="A780" s="202" t="s">
        <v>2148</v>
      </c>
    </row>
    <row r="781" spans="1:1" ht="14.5" x14ac:dyDescent="0.25">
      <c r="A781" s="202"/>
    </row>
    <row r="782" spans="1:1" ht="14.5" x14ac:dyDescent="0.25">
      <c r="A782" s="202" t="s">
        <v>2149</v>
      </c>
    </row>
    <row r="783" spans="1:1" ht="14.5" x14ac:dyDescent="0.25">
      <c r="A783" s="202"/>
    </row>
    <row r="784" spans="1:1" ht="14.5" x14ac:dyDescent="0.25">
      <c r="A784" s="202" t="s">
        <v>2150</v>
      </c>
    </row>
    <row r="785" spans="1:1" ht="14.5" x14ac:dyDescent="0.25">
      <c r="A785" s="202"/>
    </row>
    <row r="786" spans="1:1" ht="14.5" x14ac:dyDescent="0.25">
      <c r="A786" s="202" t="s">
        <v>321</v>
      </c>
    </row>
    <row r="787" spans="1:1" ht="14.5" x14ac:dyDescent="0.25">
      <c r="A787" s="246" t="s">
        <v>2151</v>
      </c>
    </row>
    <row r="788" spans="1:1" ht="14.5" x14ac:dyDescent="0.25">
      <c r="A788" s="246">
        <v>99998.337002500004</v>
      </c>
    </row>
    <row r="789" spans="1:1" ht="14.5" x14ac:dyDescent="0.25">
      <c r="A789" s="246">
        <v>9.6890404037899992E-3</v>
      </c>
    </row>
    <row r="790" spans="1:1" ht="14.5" x14ac:dyDescent="0.25">
      <c r="A790" s="202" t="s">
        <v>292</v>
      </c>
    </row>
    <row r="791" spans="1:1" ht="14.5" x14ac:dyDescent="0.25">
      <c r="A791" s="202"/>
    </row>
    <row r="792" spans="1:1" ht="14.5" x14ac:dyDescent="0.25">
      <c r="A792" s="202"/>
    </row>
    <row r="794" spans="1:1" ht="14.5" x14ac:dyDescent="0.25">
      <c r="A794" s="20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  <pageSetUpPr fitToPage="1"/>
  </sheetPr>
  <dimension ref="A1:Y49"/>
  <sheetViews>
    <sheetView topLeftCell="A5" workbookViewId="0">
      <selection activeCell="E11" sqref="E11"/>
    </sheetView>
  </sheetViews>
  <sheetFormatPr defaultRowHeight="12.5" x14ac:dyDescent="0.25"/>
  <cols>
    <col min="1" max="1" width="14.453125" customWidth="1"/>
    <col min="2" max="2" width="9.26953125" bestFit="1" customWidth="1"/>
    <col min="3" max="3" width="12" customWidth="1"/>
    <col min="4" max="4" width="17" customWidth="1"/>
    <col min="6" max="6" width="9.453125" bestFit="1" customWidth="1"/>
    <col min="7" max="7" width="10.54296875" bestFit="1" customWidth="1"/>
    <col min="8" max="8" width="9.81640625" bestFit="1" customWidth="1"/>
    <col min="9" max="9" width="10.54296875" bestFit="1" customWidth="1"/>
    <col min="10" max="10" width="9.81640625" bestFit="1" customWidth="1"/>
    <col min="11" max="11" width="12.453125" customWidth="1"/>
    <col min="12" max="12" width="10.54296875" customWidth="1"/>
    <col min="13" max="13" width="11.26953125" bestFit="1" customWidth="1"/>
    <col min="14" max="14" width="12.26953125" bestFit="1" customWidth="1"/>
    <col min="15" max="15" width="9.453125" bestFit="1" customWidth="1"/>
    <col min="16" max="16" width="10.453125" customWidth="1"/>
    <col min="17" max="17" width="10.453125" bestFit="1" customWidth="1"/>
    <col min="18" max="18" width="10.81640625" bestFit="1" customWidth="1"/>
    <col min="19" max="19" width="10.1796875" bestFit="1" customWidth="1"/>
    <col min="20" max="20" width="9.453125" bestFit="1" customWidth="1"/>
    <col min="21" max="21" width="9.81640625" customWidth="1"/>
  </cols>
  <sheetData>
    <row r="1" spans="1:21" ht="13" x14ac:dyDescent="0.3">
      <c r="A1" s="1" t="s">
        <v>0</v>
      </c>
      <c r="C1" s="1"/>
    </row>
    <row r="2" spans="1:21" ht="13" x14ac:dyDescent="0.3">
      <c r="A2" s="14" t="s">
        <v>63</v>
      </c>
      <c r="B2" s="26"/>
      <c r="C2" s="26"/>
      <c r="D2" s="26"/>
      <c r="E2" s="26"/>
    </row>
    <row r="3" spans="1:21" x14ac:dyDescent="0.25">
      <c r="A3" s="9" t="s">
        <v>1</v>
      </c>
      <c r="B3" s="133">
        <v>44993</v>
      </c>
    </row>
    <row r="4" spans="1:21" ht="13" x14ac:dyDescent="0.3">
      <c r="A4" s="9"/>
      <c r="B4" s="15" t="s">
        <v>64</v>
      </c>
      <c r="C4" s="9"/>
      <c r="D4" s="9"/>
      <c r="E4" s="9"/>
      <c r="F4" s="9"/>
      <c r="G4" s="9"/>
      <c r="H4" s="9"/>
      <c r="I4" s="9"/>
      <c r="J4" s="9"/>
      <c r="S4" s="191">
        <v>38035</v>
      </c>
    </row>
    <row r="5" spans="1:21" ht="37.5" x14ac:dyDescent="0.25">
      <c r="A5" s="9" t="s">
        <v>134</v>
      </c>
      <c r="B5" s="9" t="s">
        <v>38</v>
      </c>
      <c r="C5" s="10" t="s">
        <v>65</v>
      </c>
      <c r="D5" s="10" t="s">
        <v>67</v>
      </c>
      <c r="E5" s="9" t="s">
        <v>71</v>
      </c>
      <c r="F5" s="9" t="s">
        <v>68</v>
      </c>
      <c r="G5" s="9" t="s">
        <v>46</v>
      </c>
      <c r="H5" s="9" t="s">
        <v>69</v>
      </c>
      <c r="I5" s="9" t="s">
        <v>70</v>
      </c>
      <c r="J5" s="9" t="s">
        <v>17</v>
      </c>
      <c r="K5" s="10" t="s">
        <v>89</v>
      </c>
      <c r="L5" s="10" t="s">
        <v>80</v>
      </c>
      <c r="M5" s="10" t="s">
        <v>77</v>
      </c>
      <c r="N5" s="10" t="s">
        <v>78</v>
      </c>
      <c r="O5" s="9"/>
      <c r="P5" s="29" t="s">
        <v>96</v>
      </c>
      <c r="Q5" s="29" t="s">
        <v>81</v>
      </c>
      <c r="S5" s="192" t="s">
        <v>96</v>
      </c>
      <c r="T5" s="192" t="s">
        <v>81</v>
      </c>
      <c r="U5" s="192" t="s">
        <v>269</v>
      </c>
    </row>
    <row r="6" spans="1:21" x14ac:dyDescent="0.25">
      <c r="A6" s="220" t="s">
        <v>2547</v>
      </c>
      <c r="B6" s="114" t="s">
        <v>66</v>
      </c>
      <c r="C6" s="114">
        <v>100</v>
      </c>
      <c r="D6" s="114">
        <v>18290</v>
      </c>
      <c r="E6" s="114">
        <v>1000</v>
      </c>
      <c r="F6" s="114">
        <v>1.0002519999999999</v>
      </c>
      <c r="G6" s="114">
        <f>0.0862086</f>
        <v>8.6208599999999996E-2</v>
      </c>
      <c r="H6" s="114">
        <v>1.4270000000000001E-3</v>
      </c>
      <c r="I6" s="114">
        <v>4.3309999999999998E-3</v>
      </c>
      <c r="J6" s="116">
        <v>20.96</v>
      </c>
      <c r="K6" s="9">
        <v>100</v>
      </c>
      <c r="L6" s="9">
        <v>1</v>
      </c>
      <c r="M6" s="9">
        <f t="shared" ref="M6:M11" si="0">(F6-H6)*(1+0.000001*VLOOKUP($B6,$B$36:$E$49,3,FALSE))</f>
        <v>0.9990502717191222</v>
      </c>
      <c r="N6" s="9">
        <f t="shared" ref="N6:N11" si="1">(G6-I6)*(1+0.000001*VLOOKUP($B6,$B$36:$E$49,4,FALSE))</f>
        <v>8.1883393236273597E-2</v>
      </c>
      <c r="O6" s="9"/>
      <c r="P6" s="36">
        <f t="shared" ref="P6:P11" si="2">0.001*M6*K6</f>
        <v>9.9905027171912228E-2</v>
      </c>
      <c r="Q6" s="32">
        <f t="shared" ref="Q6:Q11" si="3">N6*L6</f>
        <v>8.1883393236273597E-2</v>
      </c>
      <c r="S6" s="193">
        <v>9.9906780293015252E-2</v>
      </c>
      <c r="T6" s="194">
        <v>8.1794966096640678E-2</v>
      </c>
      <c r="U6" s="195">
        <f t="shared" ref="U6:U11" si="4">(S6-P6)/P6*1000000</f>
        <v>17.547876745050267</v>
      </c>
    </row>
    <row r="7" spans="1:21" x14ac:dyDescent="0.25">
      <c r="A7" s="221" t="s">
        <v>2548</v>
      </c>
      <c r="B7" s="118" t="s">
        <v>44</v>
      </c>
      <c r="C7" s="118">
        <v>1000</v>
      </c>
      <c r="D7" s="118">
        <v>18142</v>
      </c>
      <c r="E7" s="118">
        <v>1000</v>
      </c>
      <c r="F7" s="118">
        <f>1.008751-0.01</f>
        <v>0.99875099999999994</v>
      </c>
      <c r="G7" s="118">
        <v>8.6265499999999995E-2</v>
      </c>
      <c r="H7" s="118">
        <v>2.1999999999999999E-5</v>
      </c>
      <c r="I7" s="118">
        <v>9.0109999999999995E-4</v>
      </c>
      <c r="J7" s="121">
        <v>21.05</v>
      </c>
      <c r="K7" s="9">
        <v>1000</v>
      </c>
      <c r="L7" s="9">
        <v>10</v>
      </c>
      <c r="M7" s="9">
        <f t="shared" si="0"/>
        <v>0.99895425006759664</v>
      </c>
      <c r="N7" s="9">
        <f t="shared" si="1"/>
        <v>8.5370439944240595E-2</v>
      </c>
      <c r="O7" s="9"/>
      <c r="P7" s="31">
        <f t="shared" si="2"/>
        <v>0.99895425006759664</v>
      </c>
      <c r="Q7" s="32">
        <f t="shared" si="3"/>
        <v>0.85370439944240595</v>
      </c>
      <c r="S7" s="196">
        <v>0.99901279308505342</v>
      </c>
      <c r="T7" s="194">
        <v>0.85334180976406082</v>
      </c>
      <c r="U7" s="195">
        <f t="shared" si="4"/>
        <v>58.604302902579178</v>
      </c>
    </row>
    <row r="8" spans="1:21" x14ac:dyDescent="0.25">
      <c r="A8" s="221" t="s">
        <v>2549</v>
      </c>
      <c r="B8" s="118" t="s">
        <v>43</v>
      </c>
      <c r="C8" s="118">
        <v>10000</v>
      </c>
      <c r="D8" s="118">
        <v>18413</v>
      </c>
      <c r="E8" s="118">
        <v>1000</v>
      </c>
      <c r="F8" s="118">
        <f>1.000751-0.001</f>
        <v>0.99975099999999995</v>
      </c>
      <c r="G8" s="118">
        <v>8.5220199999999996E-2</v>
      </c>
      <c r="H8" s="118">
        <v>9.9999999999999995E-7</v>
      </c>
      <c r="I8" s="118">
        <v>3.2529999999999999E-4</v>
      </c>
      <c r="J8" s="121">
        <v>20.76</v>
      </c>
      <c r="K8" s="9">
        <v>10000</v>
      </c>
      <c r="L8" s="9">
        <v>100</v>
      </c>
      <c r="M8" s="9">
        <f t="shared" si="0"/>
        <v>0.99997548034059258</v>
      </c>
      <c r="N8" s="9">
        <f t="shared" si="1"/>
        <v>8.4900906724844447E-2</v>
      </c>
      <c r="O8" s="9"/>
      <c r="P8" s="31">
        <f t="shared" si="2"/>
        <v>9.999754803405926</v>
      </c>
      <c r="Q8" s="28">
        <f t="shared" si="3"/>
        <v>8.4900906724844454</v>
      </c>
      <c r="S8" s="196">
        <v>9.9997296492678256</v>
      </c>
      <c r="T8" s="195">
        <v>8.4806148917486563</v>
      </c>
      <c r="U8" s="195">
        <f t="shared" si="4"/>
        <v>-2.5154754886469495</v>
      </c>
    </row>
    <row r="9" spans="1:21" x14ac:dyDescent="0.25">
      <c r="A9" s="221" t="s">
        <v>2550</v>
      </c>
      <c r="B9" s="118" t="s">
        <v>42</v>
      </c>
      <c r="C9" s="118">
        <v>100000</v>
      </c>
      <c r="D9" s="118">
        <v>1879</v>
      </c>
      <c r="E9" s="118">
        <v>1000</v>
      </c>
      <c r="F9" s="118">
        <f>1.000605-0.001</f>
        <v>0.99960499999999997</v>
      </c>
      <c r="G9" s="118">
        <v>8.3491499999999996E-2</v>
      </c>
      <c r="H9" s="118">
        <v>0</v>
      </c>
      <c r="I9" s="118">
        <v>1.0699999999999999E-5</v>
      </c>
      <c r="J9" s="121">
        <v>20.8</v>
      </c>
      <c r="K9" s="9">
        <v>100000</v>
      </c>
      <c r="L9" s="9">
        <v>1000</v>
      </c>
      <c r="M9" s="9">
        <f t="shared" si="0"/>
        <v>0.99983044763776752</v>
      </c>
      <c r="N9" s="9">
        <f t="shared" si="1"/>
        <v>8.3486706670428901E-2</v>
      </c>
      <c r="O9" s="9"/>
      <c r="P9" s="31">
        <f t="shared" si="2"/>
        <v>99.983044763776746</v>
      </c>
      <c r="Q9" s="28">
        <f t="shared" si="3"/>
        <v>83.486706670428902</v>
      </c>
      <c r="S9" s="196">
        <v>99.9814936644498</v>
      </c>
      <c r="T9" s="195">
        <v>83.195551131710317</v>
      </c>
      <c r="U9" s="195">
        <f t="shared" si="4"/>
        <v>-15.51362364099371</v>
      </c>
    </row>
    <row r="10" spans="1:21" x14ac:dyDescent="0.25">
      <c r="A10" s="117" t="s">
        <v>2551</v>
      </c>
      <c r="B10" s="118" t="s">
        <v>41</v>
      </c>
      <c r="C10" s="118">
        <v>1000000</v>
      </c>
      <c r="D10" s="118">
        <v>18430</v>
      </c>
      <c r="E10" s="118">
        <v>1000</v>
      </c>
      <c r="F10" s="118">
        <v>1.0020439999999999</v>
      </c>
      <c r="G10" s="122">
        <f>0.0643341</f>
        <v>6.4334100000000005E-2</v>
      </c>
      <c r="H10" s="118">
        <v>0</v>
      </c>
      <c r="I10" s="118">
        <f>0.0000087-0.00001</f>
        <v>-1.3000000000000011E-6</v>
      </c>
      <c r="J10" s="121">
        <v>20.91</v>
      </c>
      <c r="K10" s="9">
        <v>1000000</v>
      </c>
      <c r="L10" s="9">
        <v>10000</v>
      </c>
      <c r="M10" s="9">
        <f t="shared" si="0"/>
        <v>1.0022699977218392</v>
      </c>
      <c r="N10" s="9">
        <f t="shared" si="1"/>
        <v>6.4339952040765203E-2</v>
      </c>
      <c r="O10" s="9"/>
      <c r="P10" s="30">
        <f t="shared" si="2"/>
        <v>1002.2699977218392</v>
      </c>
      <c r="Q10" s="33">
        <f t="shared" si="3"/>
        <v>643.39952040765206</v>
      </c>
      <c r="S10" s="197">
        <v>1002.2553734088929</v>
      </c>
      <c r="T10" s="198">
        <v>641.30393610419719</v>
      </c>
      <c r="U10" s="195">
        <f t="shared" si="4"/>
        <v>-14.591190976078185</v>
      </c>
    </row>
    <row r="11" spans="1:21" x14ac:dyDescent="0.25">
      <c r="A11" s="123" t="s">
        <v>2552</v>
      </c>
      <c r="B11" s="124" t="s">
        <v>41</v>
      </c>
      <c r="C11" s="124">
        <v>1000000</v>
      </c>
      <c r="D11" s="124">
        <v>18430</v>
      </c>
      <c r="E11" s="124">
        <v>107</v>
      </c>
      <c r="F11" s="124">
        <f>1.00072-0.001</f>
        <v>0.99972000000000005</v>
      </c>
      <c r="G11" s="179">
        <v>6.3789070000000003E-2</v>
      </c>
      <c r="H11" s="124">
        <v>0</v>
      </c>
      <c r="I11" s="118">
        <f>0.0000087-0.00001</f>
        <v>-1.3000000000000011E-6</v>
      </c>
      <c r="J11" s="126">
        <v>2096</v>
      </c>
      <c r="K11" s="9">
        <v>1000000</v>
      </c>
      <c r="L11" s="9">
        <v>10000</v>
      </c>
      <c r="M11" s="9">
        <f t="shared" si="0"/>
        <v>0.99994547357449104</v>
      </c>
      <c r="N11" s="9">
        <f t="shared" si="1"/>
        <v>6.3794883477256176E-2</v>
      </c>
      <c r="O11" s="9"/>
      <c r="P11" s="30">
        <f t="shared" si="2"/>
        <v>999.94547357449119</v>
      </c>
      <c r="Q11" s="33">
        <f t="shared" si="3"/>
        <v>637.94883477256178</v>
      </c>
      <c r="S11" s="197">
        <v>999.93495812471417</v>
      </c>
      <c r="T11" s="198">
        <v>635.49358333464738</v>
      </c>
      <c r="U11" s="195">
        <f t="shared" si="4"/>
        <v>-10.516023178171713</v>
      </c>
    </row>
    <row r="12" spans="1:21" x14ac:dyDescent="0.25">
      <c r="A12" s="275"/>
      <c r="B12" s="206"/>
      <c r="C12" s="206"/>
      <c r="D12" s="206"/>
      <c r="E12" s="206"/>
      <c r="F12" s="206"/>
      <c r="G12" s="206"/>
      <c r="H12" s="206"/>
      <c r="I12" s="206"/>
      <c r="J12" s="206"/>
      <c r="P12" s="59"/>
      <c r="Q12" s="60"/>
    </row>
    <row r="13" spans="1:21" x14ac:dyDescent="0.25">
      <c r="A13" s="4"/>
      <c r="P13" s="59"/>
      <c r="Q13" s="60"/>
    </row>
    <row r="14" spans="1:21" x14ac:dyDescent="0.25">
      <c r="A14" s="9" t="s">
        <v>1</v>
      </c>
      <c r="B14" s="133">
        <v>41852</v>
      </c>
      <c r="C14" s="191"/>
    </row>
    <row r="15" spans="1:21" ht="13" x14ac:dyDescent="0.3">
      <c r="A15" s="9"/>
      <c r="B15" s="15" t="s">
        <v>72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S15" s="9" t="s">
        <v>131</v>
      </c>
      <c r="T15" s="9" t="s">
        <v>36</v>
      </c>
      <c r="U15" s="9" t="s">
        <v>20</v>
      </c>
    </row>
    <row r="16" spans="1:21" ht="44.15" customHeight="1" x14ac:dyDescent="0.3">
      <c r="A16" s="9" t="s">
        <v>134</v>
      </c>
      <c r="B16" s="9" t="s">
        <v>38</v>
      </c>
      <c r="C16" s="10" t="s">
        <v>73</v>
      </c>
      <c r="D16" s="10" t="s">
        <v>84</v>
      </c>
      <c r="E16" s="9" t="s">
        <v>71</v>
      </c>
      <c r="F16" s="9" t="s">
        <v>55</v>
      </c>
      <c r="G16" s="9" t="s">
        <v>56</v>
      </c>
      <c r="H16" s="9"/>
      <c r="I16" s="9"/>
      <c r="J16" s="9"/>
      <c r="K16" s="10" t="s">
        <v>90</v>
      </c>
      <c r="L16" s="10" t="s">
        <v>82</v>
      </c>
      <c r="M16" s="10" t="s">
        <v>79</v>
      </c>
      <c r="N16" s="10" t="s">
        <v>126</v>
      </c>
      <c r="O16" s="9"/>
      <c r="P16" s="29" t="s">
        <v>83</v>
      </c>
      <c r="Q16" s="29" t="s">
        <v>127</v>
      </c>
      <c r="R16" s="29" t="s">
        <v>132</v>
      </c>
      <c r="S16" s="9"/>
      <c r="T16" s="15" t="s">
        <v>30</v>
      </c>
      <c r="U16" s="9"/>
    </row>
    <row r="17" spans="1:25" x14ac:dyDescent="0.25">
      <c r="A17" s="113">
        <v>122</v>
      </c>
      <c r="B17" s="114" t="s">
        <v>51</v>
      </c>
      <c r="C17" s="114">
        <v>100000</v>
      </c>
      <c r="D17" s="114" t="s">
        <v>85</v>
      </c>
      <c r="E17" s="114">
        <v>1000</v>
      </c>
      <c r="F17" s="114">
        <v>1.0013840000000001</v>
      </c>
      <c r="G17" s="114">
        <v>5.5361999999999998E-3</v>
      </c>
      <c r="H17" s="114">
        <v>21</v>
      </c>
      <c r="I17" s="114"/>
      <c r="J17" s="116"/>
      <c r="K17" s="9">
        <f>C17</f>
        <v>100000</v>
      </c>
      <c r="L17" s="9">
        <v>1000</v>
      </c>
      <c r="M17" s="9">
        <f>F17*(1+0.000001*VLOOKUP($B17,$B$36:$E$49,3,FALSE))</f>
        <v>1.0014801767546615</v>
      </c>
      <c r="N17" s="34">
        <f>G17*(1+0.000001*VLOOKUP($B17,$B$36:$E$49,4,FALSE))</f>
        <v>5.535874814366697E-3</v>
      </c>
      <c r="O17" s="9"/>
      <c r="P17" s="28">
        <f t="shared" ref="P17:P25" si="5">M17*K17</f>
        <v>100148.01767546615</v>
      </c>
      <c r="Q17" s="33">
        <f t="shared" ref="Q17:Q24" si="6">1000000*N17*L17/(2*PI()*E17*C17*0.000001)</f>
        <v>8810.6184104438853</v>
      </c>
      <c r="R17" s="28" t="e">
        <f t="shared" ref="R17:R24" si="7">1000000*(P17-S17)/S17</f>
        <v>#DIV/0!</v>
      </c>
      <c r="S17" s="9"/>
      <c r="T17" s="199"/>
      <c r="U17" s="9"/>
    </row>
    <row r="18" spans="1:25" x14ac:dyDescent="0.25">
      <c r="A18" s="117">
        <v>123</v>
      </c>
      <c r="B18" s="118" t="s">
        <v>52</v>
      </c>
      <c r="C18" s="118">
        <v>1000000</v>
      </c>
      <c r="D18" s="118" t="s">
        <v>138</v>
      </c>
      <c r="E18" s="118">
        <v>1000</v>
      </c>
      <c r="F18" s="118">
        <v>1.003638</v>
      </c>
      <c r="G18" s="122">
        <v>1.1206600000000001E-2</v>
      </c>
      <c r="H18" s="118">
        <v>20.97</v>
      </c>
      <c r="I18" s="118"/>
      <c r="J18" s="121"/>
      <c r="K18" s="9">
        <f t="shared" ref="K18:K24" si="8">C18</f>
        <v>1000000</v>
      </c>
      <c r="L18" s="9">
        <v>10000</v>
      </c>
      <c r="M18" s="9">
        <f t="shared" ref="M18:M25" si="9">F18*(1+0.000001*VLOOKUP($B18,$B$36:$E$49,3,FALSE))</f>
        <v>1.0037343932374545</v>
      </c>
      <c r="N18" s="34">
        <f t="shared" ref="N18:N25" si="10">G18*(1+0.000001*VLOOKUP($B18,$B$36:$E$49,4,FALSE))</f>
        <v>1.1205941746086094E-2</v>
      </c>
      <c r="O18" s="9"/>
      <c r="P18" s="28">
        <f t="shared" si="5"/>
        <v>1003734.3932374545</v>
      </c>
      <c r="Q18" s="33">
        <f t="shared" si="6"/>
        <v>17834.810208894272</v>
      </c>
      <c r="R18" s="28" t="e">
        <f t="shared" si="7"/>
        <v>#DIV/0!</v>
      </c>
      <c r="S18" s="9"/>
      <c r="T18" s="199"/>
      <c r="U18" s="9"/>
    </row>
    <row r="19" spans="1:25" x14ac:dyDescent="0.25">
      <c r="A19" s="117">
        <v>119</v>
      </c>
      <c r="B19" s="118" t="s">
        <v>49</v>
      </c>
      <c r="C19" s="118">
        <v>1000</v>
      </c>
      <c r="D19" s="118" t="s">
        <v>86</v>
      </c>
      <c r="E19" s="118">
        <v>1592</v>
      </c>
      <c r="F19" s="118">
        <f>1.000874-0.001</f>
        <v>0.99987400000000004</v>
      </c>
      <c r="G19" s="122">
        <f>0.000086-0.0001</f>
        <v>-1.4000000000000001E-5</v>
      </c>
      <c r="H19" s="118">
        <v>23.605</v>
      </c>
      <c r="I19" s="118"/>
      <c r="J19" s="121"/>
      <c r="K19" s="9">
        <f t="shared" si="8"/>
        <v>1000</v>
      </c>
      <c r="L19" s="9">
        <v>10</v>
      </c>
      <c r="M19" s="9">
        <f t="shared" si="9"/>
        <v>1.0000293297309877</v>
      </c>
      <c r="N19" s="34">
        <f t="shared" si="10"/>
        <v>-1.4000007943846583E-5</v>
      </c>
      <c r="O19" s="9"/>
      <c r="P19" s="30">
        <f t="shared" si="5"/>
        <v>1000.0293297309877</v>
      </c>
      <c r="Q19" s="33">
        <f t="shared" si="6"/>
        <v>-13.996045650684582</v>
      </c>
      <c r="R19" s="28">
        <f t="shared" si="7"/>
        <v>1.50968898822975</v>
      </c>
      <c r="S19" s="152">
        <f>1000*(1+Calibration!C38*0.000001)</f>
        <v>1000.0278199999999</v>
      </c>
      <c r="T19" s="131">
        <v>41831</v>
      </c>
      <c r="U19" s="114" t="s">
        <v>1114</v>
      </c>
      <c r="V19" s="114"/>
      <c r="W19" s="114"/>
      <c r="X19" s="114"/>
      <c r="Y19" s="116"/>
    </row>
    <row r="20" spans="1:25" x14ac:dyDescent="0.25">
      <c r="A20" s="117">
        <v>120</v>
      </c>
      <c r="B20" s="118" t="s">
        <v>49</v>
      </c>
      <c r="C20" s="118">
        <v>1000</v>
      </c>
      <c r="D20" s="118" t="s">
        <v>87</v>
      </c>
      <c r="E20" s="118">
        <v>1592</v>
      </c>
      <c r="F20" s="118">
        <f>1.000856-0.001</f>
        <v>0.99985599999999997</v>
      </c>
      <c r="G20" s="122">
        <f>0.000087-0.0001</f>
        <v>-1.3000000000000004E-5</v>
      </c>
      <c r="H20" s="118">
        <v>23.605</v>
      </c>
      <c r="I20" s="118"/>
      <c r="J20" s="121"/>
      <c r="K20" s="9">
        <f t="shared" si="8"/>
        <v>1000</v>
      </c>
      <c r="L20" s="9">
        <v>10</v>
      </c>
      <c r="M20" s="9">
        <f t="shared" si="9"/>
        <v>1.0000113269347002</v>
      </c>
      <c r="N20" s="34">
        <f t="shared" si="10"/>
        <v>-1.3000007376428972E-5</v>
      </c>
      <c r="O20" s="9"/>
      <c r="P20" s="30">
        <f t="shared" si="5"/>
        <v>1000.0113269347002</v>
      </c>
      <c r="Q20" s="33">
        <f t="shared" si="6"/>
        <v>-12.996328104207112</v>
      </c>
      <c r="R20" s="28">
        <f t="shared" si="7"/>
        <v>-2.8530248439674488</v>
      </c>
      <c r="S20" s="152">
        <f>1000*(1+Calibration!C39*0.000001)</f>
        <v>1000.01418</v>
      </c>
      <c r="T20" s="132">
        <v>41831</v>
      </c>
      <c r="U20" s="114" t="s">
        <v>1114</v>
      </c>
      <c r="V20" s="114"/>
      <c r="W20" s="118"/>
      <c r="X20" s="118"/>
      <c r="Y20" s="121"/>
    </row>
    <row r="21" spans="1:25" x14ac:dyDescent="0.25">
      <c r="A21" s="117">
        <v>121</v>
      </c>
      <c r="B21" s="118" t="s">
        <v>48</v>
      </c>
      <c r="C21" s="118">
        <v>100</v>
      </c>
      <c r="D21" s="118" t="s">
        <v>88</v>
      </c>
      <c r="E21" s="118">
        <v>1592</v>
      </c>
      <c r="F21" s="118">
        <f>1.000918-0.001</f>
        <v>0.99991799999999997</v>
      </c>
      <c r="G21" s="122">
        <f>0.000259</f>
        <v>2.5900000000000001E-4</v>
      </c>
      <c r="H21" s="118">
        <v>23.605</v>
      </c>
      <c r="I21" s="118"/>
      <c r="J21" s="121"/>
      <c r="K21" s="9">
        <f t="shared" si="8"/>
        <v>100</v>
      </c>
      <c r="L21" s="9">
        <v>1</v>
      </c>
      <c r="M21" s="9">
        <f t="shared" si="9"/>
        <v>0.9999943035725849</v>
      </c>
      <c r="N21" s="34">
        <f t="shared" si="10"/>
        <v>2.5897967573713438E-4</v>
      </c>
      <c r="O21" s="9"/>
      <c r="P21" s="30">
        <f t="shared" si="5"/>
        <v>99.99943035725849</v>
      </c>
      <c r="Q21" s="33">
        <f t="shared" si="6"/>
        <v>258.90637910741913</v>
      </c>
      <c r="R21" s="28">
        <f t="shared" si="7"/>
        <v>-42.25488257666121</v>
      </c>
      <c r="S21" s="138">
        <f>100*(1+36.56*0.000001)</f>
        <v>100.00365600000001</v>
      </c>
      <c r="T21" s="132">
        <v>41831</v>
      </c>
      <c r="U21" s="124" t="s">
        <v>1114</v>
      </c>
      <c r="V21" s="124"/>
      <c r="W21" s="124"/>
      <c r="X21" s="124"/>
      <c r="Y21" s="126"/>
    </row>
    <row r="22" spans="1:25" x14ac:dyDescent="0.25">
      <c r="A22" s="117">
        <v>124</v>
      </c>
      <c r="B22" s="118" t="s">
        <v>52</v>
      </c>
      <c r="C22" s="118">
        <v>1000000</v>
      </c>
      <c r="D22" s="118" t="s">
        <v>139</v>
      </c>
      <c r="E22" s="118">
        <v>1000</v>
      </c>
      <c r="F22" s="118">
        <f>0.982364</f>
        <v>0.98236400000000001</v>
      </c>
      <c r="G22" s="122">
        <f>-0.1+0.0688708</f>
        <v>-3.112920000000001E-2</v>
      </c>
      <c r="H22" s="118">
        <v>21.26</v>
      </c>
      <c r="I22" s="118"/>
      <c r="J22" s="121"/>
      <c r="K22" s="9">
        <f t="shared" si="8"/>
        <v>1000000</v>
      </c>
      <c r="L22" s="9">
        <v>10000</v>
      </c>
      <c r="M22" s="9">
        <f t="shared" si="9"/>
        <v>0.982458350001015</v>
      </c>
      <c r="N22" s="34">
        <f t="shared" si="10"/>
        <v>-3.1127371531264016E-2</v>
      </c>
      <c r="O22" s="9"/>
      <c r="P22" s="55">
        <f>M22*K22-P25</f>
        <v>982409.89534769149</v>
      </c>
      <c r="Q22" s="33">
        <f t="shared" si="6"/>
        <v>-49540.750446586091</v>
      </c>
      <c r="R22" s="28" t="e">
        <f t="shared" si="7"/>
        <v>#DIV/0!</v>
      </c>
      <c r="T22" s="57"/>
      <c r="U22" s="9"/>
    </row>
    <row r="23" spans="1:25" x14ac:dyDescent="0.25">
      <c r="A23" s="117">
        <v>125</v>
      </c>
      <c r="B23" s="118" t="s">
        <v>51</v>
      </c>
      <c r="C23" s="118">
        <v>100000</v>
      </c>
      <c r="D23" s="118" t="s">
        <v>140</v>
      </c>
      <c r="E23" s="118">
        <v>1000</v>
      </c>
      <c r="F23" s="118">
        <f>1.007465-0.01</f>
        <v>0.99746500000000005</v>
      </c>
      <c r="G23" s="122">
        <f>-0.1+0.0912007</f>
        <v>-8.7993000000000099E-3</v>
      </c>
      <c r="H23" s="118">
        <v>21.23</v>
      </c>
      <c r="I23" s="118"/>
      <c r="J23" s="121"/>
      <c r="K23" s="9">
        <f t="shared" si="8"/>
        <v>100000</v>
      </c>
      <c r="L23" s="9">
        <v>1000</v>
      </c>
      <c r="M23" s="9">
        <f t="shared" si="9"/>
        <v>0.99756080035889183</v>
      </c>
      <c r="N23" s="34">
        <f t="shared" si="10"/>
        <v>-8.7987831462116497E-3</v>
      </c>
      <c r="O23" s="9"/>
      <c r="P23" s="55">
        <f>M23*K23-P25</f>
        <v>99707.625382565617</v>
      </c>
      <c r="Q23" s="33">
        <f t="shared" si="6"/>
        <v>-14003.698309132433</v>
      </c>
      <c r="R23" s="28" t="e">
        <f t="shared" si="7"/>
        <v>#DIV/0!</v>
      </c>
      <c r="T23" s="57"/>
      <c r="U23" s="9"/>
    </row>
    <row r="24" spans="1:25" x14ac:dyDescent="0.25">
      <c r="A24" s="117">
        <v>126</v>
      </c>
      <c r="B24" s="118" t="s">
        <v>50</v>
      </c>
      <c r="C24" s="118">
        <v>10000</v>
      </c>
      <c r="D24" s="118" t="s">
        <v>141</v>
      </c>
      <c r="E24" s="118">
        <v>1000</v>
      </c>
      <c r="F24" s="118">
        <f>1.005372</f>
        <v>1.0053719999999999</v>
      </c>
      <c r="G24" s="122">
        <f>-0.01+0.0102107</f>
        <v>2.1069999999999943E-4</v>
      </c>
      <c r="H24" s="118">
        <v>21.2</v>
      </c>
      <c r="I24" s="118"/>
      <c r="J24" s="121"/>
      <c r="K24" s="9">
        <f t="shared" si="8"/>
        <v>10000</v>
      </c>
      <c r="L24" s="9">
        <v>100</v>
      </c>
      <c r="M24" s="9">
        <f t="shared" si="9"/>
        <v>1.0054685597774555</v>
      </c>
      <c r="N24" s="34">
        <f t="shared" si="10"/>
        <v>2.1068762389130812E-4</v>
      </c>
      <c r="O24" s="9"/>
      <c r="P24" s="55">
        <f>M24*K24-P25</f>
        <v>10006.23094445099</v>
      </c>
      <c r="Q24" s="33">
        <f t="shared" si="6"/>
        <v>335.31976790587794</v>
      </c>
      <c r="R24" s="28" t="e">
        <f t="shared" si="7"/>
        <v>#DIV/0!</v>
      </c>
      <c r="U24" s="9"/>
    </row>
    <row r="25" spans="1:25" x14ac:dyDescent="0.25">
      <c r="A25" s="123">
        <v>127</v>
      </c>
      <c r="B25" s="124" t="s">
        <v>50</v>
      </c>
      <c r="C25" s="124">
        <v>0</v>
      </c>
      <c r="D25" s="124" t="s">
        <v>142</v>
      </c>
      <c r="E25" s="124">
        <v>1000</v>
      </c>
      <c r="F25" s="118">
        <f>0.004845</f>
        <v>4.8450000000000003E-3</v>
      </c>
      <c r="G25" s="122">
        <v>1.9700000000000001E-5</v>
      </c>
      <c r="H25" s="124">
        <v>21.21</v>
      </c>
      <c r="I25" s="124"/>
      <c r="J25" s="126"/>
      <c r="K25" s="9">
        <v>10000</v>
      </c>
      <c r="L25" s="9">
        <v>100</v>
      </c>
      <c r="M25" s="9">
        <f t="shared" si="9"/>
        <v>4.8454653323563544E-3</v>
      </c>
      <c r="N25" s="34">
        <f t="shared" si="10"/>
        <v>1.9698842860269487E-5</v>
      </c>
      <c r="O25" s="9"/>
      <c r="P25" s="28">
        <f t="shared" si="5"/>
        <v>48.454653323563541</v>
      </c>
      <c r="Q25" s="32"/>
      <c r="R25" s="27"/>
    </row>
    <row r="26" spans="1:25" x14ac:dyDescent="0.25">
      <c r="A26" s="206"/>
      <c r="B26" s="206"/>
      <c r="C26" s="206"/>
      <c r="D26" s="206"/>
      <c r="E26" s="206"/>
      <c r="F26" s="206"/>
      <c r="G26" s="206"/>
      <c r="H26" s="206"/>
      <c r="I26" s="206"/>
      <c r="J26" s="206"/>
      <c r="P26" s="56" t="s">
        <v>143</v>
      </c>
      <c r="Q26" s="56"/>
    </row>
    <row r="28" spans="1:25" x14ac:dyDescent="0.25">
      <c r="O28" s="5"/>
      <c r="R28" s="6"/>
      <c r="S28" s="6" t="s">
        <v>270</v>
      </c>
    </row>
    <row r="29" spans="1:25" x14ac:dyDescent="0.25">
      <c r="O29" s="5"/>
      <c r="Q29" s="6"/>
      <c r="R29" s="6"/>
      <c r="S29" s="6"/>
    </row>
    <row r="30" spans="1:25" x14ac:dyDescent="0.25">
      <c r="O30" s="5"/>
      <c r="Q30" s="6"/>
      <c r="R30" s="6"/>
      <c r="S30" s="6"/>
    </row>
    <row r="31" spans="1:25" x14ac:dyDescent="0.25">
      <c r="Q31" s="6"/>
    </row>
    <row r="32" spans="1:25" ht="13" x14ac:dyDescent="0.3">
      <c r="B32" s="95" t="s">
        <v>216</v>
      </c>
      <c r="C32" s="80"/>
      <c r="D32" s="80"/>
      <c r="E32" s="8"/>
      <c r="Q32" s="6"/>
    </row>
    <row r="33" spans="2:17" ht="34.75" customHeight="1" x14ac:dyDescent="0.25">
      <c r="B33" s="144"/>
      <c r="D33" s="145" t="s">
        <v>74</v>
      </c>
      <c r="E33" s="146" t="s">
        <v>75</v>
      </c>
      <c r="Q33" s="6"/>
    </row>
    <row r="34" spans="2:17" x14ac:dyDescent="0.25">
      <c r="B34" s="144" t="s">
        <v>38</v>
      </c>
      <c r="E34" s="7"/>
      <c r="Q34" s="6"/>
    </row>
    <row r="35" spans="2:17" x14ac:dyDescent="0.25">
      <c r="B35" s="144"/>
      <c r="D35" t="s">
        <v>76</v>
      </c>
      <c r="E35" s="7" t="s">
        <v>76</v>
      </c>
      <c r="Q35" s="6"/>
    </row>
    <row r="36" spans="2:17" x14ac:dyDescent="0.25">
      <c r="B36" s="144" t="s">
        <v>66</v>
      </c>
      <c r="D36" s="6">
        <f>Corrections!I26</f>
        <v>225.53672477382364</v>
      </c>
      <c r="E36" s="147">
        <f>Corrections!J26</f>
        <v>70.754837386556162</v>
      </c>
      <c r="Q36" s="6"/>
    </row>
    <row r="37" spans="2:17" x14ac:dyDescent="0.25">
      <c r="B37" s="144" t="s">
        <v>44</v>
      </c>
      <c r="D37" s="6">
        <f>Corrections!I27</f>
        <v>225.53672477382364</v>
      </c>
      <c r="E37" s="147">
        <f>Corrections!J27</f>
        <v>70.754837386556162</v>
      </c>
    </row>
    <row r="38" spans="2:17" x14ac:dyDescent="0.25">
      <c r="B38" s="144" t="s">
        <v>43</v>
      </c>
      <c r="D38" s="6">
        <f>Corrections!I28</f>
        <v>225.53672477382364</v>
      </c>
      <c r="E38" s="147">
        <f>Corrections!J28</f>
        <v>70.754837386556162</v>
      </c>
    </row>
    <row r="39" spans="2:17" x14ac:dyDescent="0.25">
      <c r="B39" s="144" t="s">
        <v>42</v>
      </c>
      <c r="D39" s="6">
        <f>Corrections!I29</f>
        <v>225.53672477382364</v>
      </c>
      <c r="E39" s="147">
        <f>Corrections!J29</f>
        <v>70.754837386556162</v>
      </c>
    </row>
    <row r="40" spans="2:17" x14ac:dyDescent="0.25">
      <c r="B40" s="144" t="s">
        <v>41</v>
      </c>
      <c r="D40" s="6">
        <f>Corrections!I30</f>
        <v>225.53672477382364</v>
      </c>
      <c r="E40" s="147">
        <f>Corrections!J30</f>
        <v>70.754837386556162</v>
      </c>
    </row>
    <row r="41" spans="2:17" x14ac:dyDescent="0.25">
      <c r="B41" s="144" t="s">
        <v>40</v>
      </c>
      <c r="D41" s="6">
        <f>Corrections!I31</f>
        <v>166.23124977460751</v>
      </c>
      <c r="E41" s="147">
        <f>Corrections!J31</f>
        <v>11.449362387340033</v>
      </c>
    </row>
    <row r="42" spans="2:17" x14ac:dyDescent="0.25">
      <c r="B42" s="144" t="s">
        <v>39</v>
      </c>
      <c r="D42" s="6">
        <f>Corrections!I32</f>
        <v>245.27072478369811</v>
      </c>
      <c r="E42" s="147">
        <f>Corrections!J32</f>
        <v>90.488837396430625</v>
      </c>
    </row>
    <row r="43" spans="2:17" x14ac:dyDescent="0.25">
      <c r="B43" s="144" t="s">
        <v>54</v>
      </c>
      <c r="D43" s="6">
        <f>Corrections!I33</f>
        <v>96.043830000890466</v>
      </c>
      <c r="E43" s="147">
        <f>Corrections!J33</f>
        <v>-58.738057386377015</v>
      </c>
    </row>
    <row r="44" spans="2:17" x14ac:dyDescent="0.25">
      <c r="B44" s="144" t="s">
        <v>53</v>
      </c>
      <c r="D44" s="6">
        <f>Corrections!I34</f>
        <v>96.043830000890466</v>
      </c>
      <c r="E44" s="147">
        <f>Corrections!J34</f>
        <v>-58.738057386377015</v>
      </c>
    </row>
    <row r="45" spans="2:17" x14ac:dyDescent="0.25">
      <c r="B45" s="144" t="s">
        <v>52</v>
      </c>
      <c r="D45" s="6">
        <f>Corrections!I35</f>
        <v>96.043830000890466</v>
      </c>
      <c r="E45" s="147">
        <f>Corrections!J35</f>
        <v>-58.738057386377015</v>
      </c>
    </row>
    <row r="46" spans="2:17" x14ac:dyDescent="0.25">
      <c r="B46" s="144" t="s">
        <v>51</v>
      </c>
      <c r="D46" s="6">
        <f>Corrections!I36</f>
        <v>96.043830000890466</v>
      </c>
      <c r="E46" s="147">
        <f>Corrections!J36</f>
        <v>-58.738057386377015</v>
      </c>
    </row>
    <row r="47" spans="2:17" x14ac:dyDescent="0.25">
      <c r="B47" s="144" t="s">
        <v>50</v>
      </c>
      <c r="D47" s="6">
        <f>Corrections!I37</f>
        <v>96.043830000890466</v>
      </c>
      <c r="E47" s="147">
        <f>Corrections!J37</f>
        <v>-58.738057386377015</v>
      </c>
    </row>
    <row r="48" spans="2:17" x14ac:dyDescent="0.25">
      <c r="B48" s="144" t="s">
        <v>49</v>
      </c>
      <c r="D48" s="6">
        <f>Corrections!I38</f>
        <v>155.3493050001066</v>
      </c>
      <c r="E48" s="147">
        <f>Corrections!J38</f>
        <v>0.56741761283910641</v>
      </c>
    </row>
    <row r="49" spans="2:5" x14ac:dyDescent="0.25">
      <c r="B49" s="148" t="s">
        <v>48</v>
      </c>
      <c r="C49" s="149"/>
      <c r="D49" s="150">
        <f>Corrections!I39</f>
        <v>76.309829991016016</v>
      </c>
      <c r="E49" s="151">
        <f>Corrections!J39</f>
        <v>-78.472057396251472</v>
      </c>
    </row>
  </sheetData>
  <phoneticPr fontId="12" type="noConversion"/>
  <pageMargins left="0.75" right="0.75" top="1" bottom="1" header="0.5" footer="0.5"/>
  <pageSetup paperSize="9" scale="48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037E-2933-476D-A302-4911EEFEFD82}">
  <sheetPr>
    <tabColor theme="4" tint="0.39997558519241921"/>
    <pageSetUpPr fitToPage="1"/>
  </sheetPr>
  <dimension ref="A2:N91"/>
  <sheetViews>
    <sheetView tabSelected="1" workbookViewId="0"/>
  </sheetViews>
  <sheetFormatPr defaultRowHeight="12.5" x14ac:dyDescent="0.25"/>
  <cols>
    <col min="1" max="1" width="17.7265625" customWidth="1"/>
    <col min="2" max="2" width="15.453125" customWidth="1"/>
    <col min="3" max="3" width="10.90625" customWidth="1"/>
    <col min="9" max="9" width="15.7265625" customWidth="1"/>
    <col min="10" max="10" width="15.81640625" customWidth="1"/>
    <col min="11" max="11" width="16.90625" customWidth="1"/>
    <col min="12" max="12" width="15.7265625" customWidth="1"/>
    <col min="13" max="13" width="14.6328125" customWidth="1"/>
    <col min="14" max="14" width="13.6328125" customWidth="1"/>
  </cols>
  <sheetData>
    <row r="2" spans="1:10" ht="13" x14ac:dyDescent="0.3">
      <c r="A2" s="1" t="s">
        <v>2672</v>
      </c>
      <c r="B2" s="1"/>
      <c r="C2" s="1"/>
    </row>
    <row r="3" spans="1:10" ht="13" x14ac:dyDescent="0.3">
      <c r="A3" s="1" t="s">
        <v>2673</v>
      </c>
      <c r="B3" s="1" t="s">
        <v>131</v>
      </c>
      <c r="C3" s="1" t="s">
        <v>2674</v>
      </c>
      <c r="I3" s="284" t="s">
        <v>2720</v>
      </c>
      <c r="J3" s="284" t="s">
        <v>2721</v>
      </c>
    </row>
    <row r="4" spans="1:10" ht="13" x14ac:dyDescent="0.3">
      <c r="A4" s="1"/>
      <c r="B4" s="1" t="s">
        <v>2675</v>
      </c>
      <c r="C4" s="1" t="s">
        <v>2675</v>
      </c>
    </row>
    <row r="5" spans="1:10" x14ac:dyDescent="0.25">
      <c r="A5" t="s">
        <v>2676</v>
      </c>
      <c r="B5">
        <v>10000.00181665029</v>
      </c>
      <c r="C5">
        <v>1.0000006489536569E-3</v>
      </c>
      <c r="I5" s="285">
        <f>(B5/J5-1)*1000000</f>
        <v>0.18166502901983961</v>
      </c>
      <c r="J5" s="286">
        <v>10000</v>
      </c>
    </row>
    <row r="6" spans="1:10" x14ac:dyDescent="0.25">
      <c r="A6" t="s">
        <v>2677</v>
      </c>
      <c r="B6">
        <v>10000.12942715029</v>
      </c>
      <c r="C6">
        <v>5.6281108341794646E-3</v>
      </c>
      <c r="I6" s="285">
        <f t="shared" ref="I6:I30" si="0">(B6/J6-1)*1000000</f>
        <v>12.942715029051755</v>
      </c>
      <c r="J6" s="286">
        <v>10000</v>
      </c>
    </row>
    <row r="7" spans="1:10" x14ac:dyDescent="0.25">
      <c r="A7" t="s">
        <v>2678</v>
      </c>
      <c r="B7">
        <v>100001.311818003</v>
      </c>
      <c r="C7">
        <v>5.6361658777300747E-2</v>
      </c>
      <c r="I7" s="285">
        <f t="shared" si="0"/>
        <v>13.118180030025073</v>
      </c>
      <c r="J7" s="286">
        <v>100000</v>
      </c>
    </row>
    <row r="8" spans="1:10" x14ac:dyDescent="0.25">
      <c r="A8" t="s">
        <v>2679</v>
      </c>
      <c r="B8">
        <v>1000012.942715029</v>
      </c>
      <c r="C8">
        <v>0.5628110834179465</v>
      </c>
      <c r="I8" s="285">
        <f t="shared" si="0"/>
        <v>12.942715029051755</v>
      </c>
      <c r="J8" s="286">
        <v>1000000</v>
      </c>
    </row>
    <row r="9" spans="1:10" x14ac:dyDescent="0.25">
      <c r="A9" t="s">
        <v>2680</v>
      </c>
      <c r="B9">
        <v>99998.373405502949</v>
      </c>
      <c r="C9">
        <v>6.3031817445049487E-2</v>
      </c>
      <c r="I9" s="285">
        <f t="shared" si="0"/>
        <v>-16.265944970506041</v>
      </c>
      <c r="J9" s="286">
        <v>100000</v>
      </c>
    </row>
    <row r="10" spans="1:10" x14ac:dyDescent="0.25">
      <c r="A10" t="s">
        <v>2681</v>
      </c>
      <c r="B10">
        <v>99998.974244502955</v>
      </c>
      <c r="C10">
        <v>6.2307600481975152E-2</v>
      </c>
      <c r="I10" s="285">
        <f t="shared" si="0"/>
        <v>-10.257554970416471</v>
      </c>
      <c r="J10" s="286">
        <v>100000</v>
      </c>
    </row>
    <row r="11" spans="1:10" x14ac:dyDescent="0.25">
      <c r="A11" t="s">
        <v>2682</v>
      </c>
      <c r="B11">
        <v>10000.535786150291</v>
      </c>
      <c r="C11">
        <v>6.9258663133526252E-3</v>
      </c>
      <c r="I11" s="285">
        <f t="shared" si="0"/>
        <v>53.578615029081789</v>
      </c>
      <c r="J11" s="286">
        <v>10000</v>
      </c>
    </row>
    <row r="12" spans="1:10" x14ac:dyDescent="0.25">
      <c r="A12" t="s">
        <v>2683</v>
      </c>
      <c r="B12">
        <v>99999.427314002955</v>
      </c>
      <c r="C12">
        <v>6.3662426952193749E-2</v>
      </c>
      <c r="I12" s="285">
        <f t="shared" si="0"/>
        <v>-5.7268599704674017</v>
      </c>
      <c r="J12" s="286">
        <v>100000</v>
      </c>
    </row>
    <row r="13" spans="1:10" x14ac:dyDescent="0.25">
      <c r="A13" t="s">
        <v>2684</v>
      </c>
      <c r="B13">
        <v>1000073.3126150389</v>
      </c>
      <c r="C13">
        <v>1.9595526650773729</v>
      </c>
      <c r="I13" s="285">
        <f t="shared" si="0"/>
        <v>73.312615038956253</v>
      </c>
      <c r="J13" s="286">
        <v>1000000</v>
      </c>
    </row>
    <row r="14" spans="1:10" x14ac:dyDescent="0.25">
      <c r="A14" t="s">
        <v>2685</v>
      </c>
      <c r="B14">
        <v>10000.00287012666</v>
      </c>
      <c r="C14">
        <v>9.9999999625900423E-4</v>
      </c>
      <c r="I14" s="285">
        <f t="shared" si="0"/>
        <v>0.28701266607811249</v>
      </c>
      <c r="J14" s="286">
        <v>10000</v>
      </c>
    </row>
    <row r="15" spans="1:10" x14ac:dyDescent="0.25">
      <c r="A15" t="s">
        <v>2686</v>
      </c>
      <c r="B15">
        <v>9999.6056599166568</v>
      </c>
      <c r="C15">
        <v>3.3064570602984759E-3</v>
      </c>
      <c r="I15" s="285">
        <f t="shared" si="0"/>
        <v>-39.434008334282566</v>
      </c>
      <c r="J15" s="286">
        <v>10000</v>
      </c>
    </row>
    <row r="16" spans="1:10" x14ac:dyDescent="0.25">
      <c r="A16" t="s">
        <v>2687</v>
      </c>
      <c r="B16">
        <v>999.95935551896559</v>
      </c>
      <c r="C16">
        <v>3.3345824563587272E-4</v>
      </c>
      <c r="I16" s="285">
        <f t="shared" si="0"/>
        <v>-40.644481034357582</v>
      </c>
      <c r="J16" s="286">
        <v>1000</v>
      </c>
    </row>
    <row r="17" spans="1:10" x14ac:dyDescent="0.25">
      <c r="A17" t="s">
        <v>2688</v>
      </c>
      <c r="B17">
        <v>999.95978121796566</v>
      </c>
      <c r="C17">
        <v>5.2254012555892366E-4</v>
      </c>
      <c r="I17" s="285">
        <f t="shared" si="0"/>
        <v>-40.218782034306955</v>
      </c>
      <c r="J17" s="286">
        <v>1000</v>
      </c>
    </row>
    <row r="18" spans="1:10" x14ac:dyDescent="0.25">
      <c r="A18" t="s">
        <v>2689</v>
      </c>
      <c r="B18">
        <v>999.96576283296565</v>
      </c>
      <c r="C18">
        <v>5.0543413780344403E-4</v>
      </c>
      <c r="I18" s="285">
        <f t="shared" si="0"/>
        <v>-34.237167034323335</v>
      </c>
      <c r="J18" s="286">
        <v>1000</v>
      </c>
    </row>
    <row r="19" spans="1:10" x14ac:dyDescent="0.25">
      <c r="A19" t="s">
        <v>2690</v>
      </c>
      <c r="B19">
        <v>99.996056599166565</v>
      </c>
      <c r="C19">
        <v>3.3064570602984757E-5</v>
      </c>
      <c r="I19" s="285">
        <f t="shared" si="0"/>
        <v>-39.434008334393589</v>
      </c>
      <c r="J19" s="286">
        <v>100</v>
      </c>
    </row>
    <row r="20" spans="1:10" x14ac:dyDescent="0.25">
      <c r="A20" t="s">
        <v>2691</v>
      </c>
      <c r="B20">
        <v>9.9996576283296559</v>
      </c>
      <c r="C20">
        <v>5.0543413780344412E-6</v>
      </c>
      <c r="I20" s="285">
        <f t="shared" si="0"/>
        <v>-34.237167034434357</v>
      </c>
      <c r="J20" s="286">
        <v>10</v>
      </c>
    </row>
    <row r="21" spans="1:10" x14ac:dyDescent="0.25">
      <c r="A21" t="s">
        <v>2692</v>
      </c>
      <c r="B21">
        <v>99.99780658986667</v>
      </c>
      <c r="C21">
        <v>2.4854154742403489E-4</v>
      </c>
      <c r="I21" s="285">
        <f t="shared" si="0"/>
        <v>-21.934101333331846</v>
      </c>
      <c r="J21" s="286">
        <v>100</v>
      </c>
    </row>
    <row r="22" spans="1:10" x14ac:dyDescent="0.25">
      <c r="A22" t="s">
        <v>2693</v>
      </c>
      <c r="B22">
        <v>10.00010036457966</v>
      </c>
      <c r="C22">
        <v>2.5925370248569969E-5</v>
      </c>
      <c r="I22" s="285">
        <f t="shared" si="0"/>
        <v>10.03645796604502</v>
      </c>
      <c r="J22" s="286">
        <v>10</v>
      </c>
    </row>
    <row r="23" spans="1:10" x14ac:dyDescent="0.25">
      <c r="A23" t="s">
        <v>2694</v>
      </c>
      <c r="B23">
        <v>100.00099010596669</v>
      </c>
      <c r="C23">
        <v>2.4673196214707732E-4</v>
      </c>
      <c r="I23" s="285">
        <f t="shared" si="0"/>
        <v>9.9010596670279227</v>
      </c>
      <c r="J23" s="286">
        <v>100</v>
      </c>
    </row>
    <row r="24" spans="1:10" x14ac:dyDescent="0.25">
      <c r="A24" t="s">
        <v>2695</v>
      </c>
      <c r="B24">
        <v>100003.5118630029</v>
      </c>
      <c r="C24">
        <v>7.4725837477022411E-2</v>
      </c>
      <c r="I24" s="285">
        <f t="shared" si="0"/>
        <v>35.118630028918574</v>
      </c>
      <c r="J24" s="286">
        <v>100000</v>
      </c>
    </row>
    <row r="25" spans="1:10" x14ac:dyDescent="0.25">
      <c r="A25" t="s">
        <v>2696</v>
      </c>
      <c r="B25">
        <v>10000.311356526659</v>
      </c>
      <c r="C25">
        <v>8.4214071219909301E-3</v>
      </c>
      <c r="I25" s="285">
        <f t="shared" si="0"/>
        <v>31.135652665881253</v>
      </c>
      <c r="J25" s="286">
        <v>10000</v>
      </c>
    </row>
    <row r="26" spans="1:10" x14ac:dyDescent="0.25">
      <c r="A26" t="s">
        <v>2697</v>
      </c>
      <c r="B26">
        <v>100.0148301429667</v>
      </c>
      <c r="C26">
        <v>2.7729945204306731E-4</v>
      </c>
      <c r="I26" s="285">
        <f t="shared" si="0"/>
        <v>148.30142966704153</v>
      </c>
      <c r="J26" s="286">
        <v>100</v>
      </c>
    </row>
    <row r="27" spans="1:10" x14ac:dyDescent="0.25">
      <c r="A27" t="s">
        <v>2698</v>
      </c>
      <c r="B27">
        <v>10000.00287012666</v>
      </c>
      <c r="C27">
        <v>9.9999995497988131E-4</v>
      </c>
      <c r="I27" s="285">
        <f t="shared" si="0"/>
        <v>0.28701266607811249</v>
      </c>
      <c r="J27" s="286">
        <v>10000</v>
      </c>
    </row>
    <row r="28" spans="1:10" x14ac:dyDescent="0.25">
      <c r="A28" t="s">
        <v>2699</v>
      </c>
      <c r="B28">
        <v>10000.122196226661</v>
      </c>
      <c r="C28">
        <v>3.0122971925539239E-3</v>
      </c>
      <c r="I28" s="285">
        <f t="shared" si="0"/>
        <v>12.219622666176377</v>
      </c>
      <c r="J28" s="286">
        <v>10000</v>
      </c>
    </row>
    <row r="29" spans="1:10" x14ac:dyDescent="0.25">
      <c r="A29" t="s">
        <v>2700</v>
      </c>
      <c r="B29">
        <v>1000012.219622666</v>
      </c>
      <c r="C29">
        <v>0.30122971925539238</v>
      </c>
      <c r="I29" s="285">
        <f t="shared" si="0"/>
        <v>12.219622665954333</v>
      </c>
      <c r="J29" s="286">
        <v>1000000</v>
      </c>
    </row>
    <row r="30" spans="1:10" x14ac:dyDescent="0.25">
      <c r="A30" t="s">
        <v>2701</v>
      </c>
      <c r="B30">
        <v>999998.11682266556</v>
      </c>
      <c r="C30">
        <v>0.76905159099832954</v>
      </c>
      <c r="I30" s="285">
        <f t="shared" si="0"/>
        <v>-1.8831773344052394</v>
      </c>
      <c r="J30" s="286">
        <v>1000000</v>
      </c>
    </row>
    <row r="32" spans="1:10" ht="13" x14ac:dyDescent="0.3">
      <c r="A32" s="1" t="s">
        <v>2702</v>
      </c>
      <c r="B32" s="1"/>
      <c r="C32" s="1"/>
      <c r="D32" s="1"/>
      <c r="E32" s="1"/>
      <c r="F32" s="1"/>
      <c r="G32" s="1"/>
    </row>
    <row r="33" spans="1:7" ht="13" x14ac:dyDescent="0.3">
      <c r="A33" s="1" t="s">
        <v>2703</v>
      </c>
      <c r="B33" s="1" t="s">
        <v>38</v>
      </c>
      <c r="C33" s="1" t="s">
        <v>2704</v>
      </c>
      <c r="D33" s="1" t="s">
        <v>2705</v>
      </c>
      <c r="E33" s="1" t="s">
        <v>2706</v>
      </c>
      <c r="F33" s="1" t="s">
        <v>2707</v>
      </c>
      <c r="G33" s="1" t="s">
        <v>2708</v>
      </c>
    </row>
    <row r="34" spans="1:7" x14ac:dyDescent="0.25">
      <c r="A34" t="s">
        <v>2709</v>
      </c>
      <c r="B34">
        <v>6</v>
      </c>
      <c r="C34">
        <v>1592</v>
      </c>
      <c r="D34">
        <v>3.7000000000000013E-14</v>
      </c>
      <c r="E34">
        <v>1.506352098827439E-7</v>
      </c>
      <c r="F34">
        <v>37.000000000000007</v>
      </c>
      <c r="G34">
        <v>1.506352098827439E-2</v>
      </c>
    </row>
    <row r="35" spans="1:7" x14ac:dyDescent="0.25">
      <c r="A35" t="s">
        <v>2710</v>
      </c>
      <c r="B35">
        <v>5</v>
      </c>
      <c r="C35">
        <v>1592</v>
      </c>
      <c r="D35">
        <v>1.7999999999999999E-14</v>
      </c>
      <c r="E35">
        <v>-6.8084846644257691E-6</v>
      </c>
      <c r="F35">
        <v>1.8</v>
      </c>
      <c r="G35">
        <v>-6.8084846644257686</v>
      </c>
    </row>
    <row r="36" spans="1:7" x14ac:dyDescent="0.25">
      <c r="A36" t="s">
        <v>2711</v>
      </c>
      <c r="B36">
        <v>4</v>
      </c>
      <c r="C36">
        <v>1592</v>
      </c>
      <c r="D36">
        <v>1.710000000000001E-12</v>
      </c>
      <c r="E36">
        <v>-1.009908209657523E-6</v>
      </c>
      <c r="F36">
        <v>17.100000000000001</v>
      </c>
      <c r="G36">
        <v>-10.099082096575231</v>
      </c>
    </row>
    <row r="37" spans="1:7" x14ac:dyDescent="0.25">
      <c r="A37" t="s">
        <v>2712</v>
      </c>
      <c r="B37">
        <v>3</v>
      </c>
      <c r="C37">
        <v>1592</v>
      </c>
      <c r="D37">
        <v>6.0000000000000011E-12</v>
      </c>
      <c r="E37">
        <v>-3.0000000000049992E-8</v>
      </c>
      <c r="F37">
        <v>6.0000000000000009</v>
      </c>
      <c r="G37">
        <v>-3.0000000000049991</v>
      </c>
    </row>
    <row r="39" spans="1:7" ht="13" x14ac:dyDescent="0.3">
      <c r="A39" s="1" t="s">
        <v>2713</v>
      </c>
      <c r="B39" s="1"/>
      <c r="C39" s="1"/>
      <c r="D39" s="1"/>
    </row>
    <row r="40" spans="1:7" ht="13" x14ac:dyDescent="0.3">
      <c r="A40" s="1" t="s">
        <v>38</v>
      </c>
      <c r="B40" s="1" t="s">
        <v>2714</v>
      </c>
      <c r="C40" s="1" t="s">
        <v>2715</v>
      </c>
      <c r="D40" s="1" t="s">
        <v>2716</v>
      </c>
    </row>
    <row r="41" spans="1:7" x14ac:dyDescent="0.25">
      <c r="A41">
        <v>7</v>
      </c>
      <c r="B41" s="6">
        <v>-12.602080151191689</v>
      </c>
      <c r="C41" s="6">
        <v>-6.5936285190693056</v>
      </c>
      <c r="D41">
        <v>1592</v>
      </c>
    </row>
    <row r="42" spans="1:7" x14ac:dyDescent="0.25">
      <c r="A42">
        <v>7</v>
      </c>
      <c r="B42" s="6">
        <v>-9.7509834708908727</v>
      </c>
      <c r="C42" s="6">
        <v>-3.742531838768492</v>
      </c>
      <c r="D42">
        <v>160</v>
      </c>
    </row>
    <row r="43" spans="1:7" x14ac:dyDescent="0.25">
      <c r="A43">
        <v>6</v>
      </c>
      <c r="B43" s="6">
        <v>-8.0501702025559396</v>
      </c>
      <c r="C43" s="6">
        <v>-2.041718570433559</v>
      </c>
      <c r="D43">
        <v>1592</v>
      </c>
    </row>
    <row r="44" spans="1:7" x14ac:dyDescent="0.25">
      <c r="A44">
        <v>6</v>
      </c>
      <c r="B44" s="6">
        <v>-4.6005184224373608</v>
      </c>
      <c r="C44" s="6">
        <v>1.407933209685019</v>
      </c>
      <c r="D44">
        <v>160</v>
      </c>
    </row>
    <row r="45" spans="1:7" x14ac:dyDescent="0.25">
      <c r="A45">
        <v>5</v>
      </c>
      <c r="B45" s="6">
        <v>-6.7502940332975214</v>
      </c>
      <c r="C45" s="6">
        <v>-0.74184240117514122</v>
      </c>
      <c r="D45">
        <v>1592</v>
      </c>
    </row>
    <row r="46" spans="1:7" x14ac:dyDescent="0.25">
      <c r="A46">
        <v>5</v>
      </c>
      <c r="B46" s="6">
        <v>-5.2502940328658099</v>
      </c>
      <c r="C46" s="6">
        <v>0.75815759925657034</v>
      </c>
      <c r="D46">
        <v>160</v>
      </c>
    </row>
    <row r="47" spans="1:7" x14ac:dyDescent="0.25">
      <c r="A47">
        <v>4</v>
      </c>
      <c r="B47" s="6">
        <v>-6.3557405977077153</v>
      </c>
      <c r="C47" s="6">
        <v>-0.34728896558533512</v>
      </c>
      <c r="D47">
        <v>1592</v>
      </c>
    </row>
    <row r="48" spans="1:7" x14ac:dyDescent="0.25">
      <c r="A48">
        <v>4</v>
      </c>
      <c r="B48" s="6">
        <v>-3.305050141788612</v>
      </c>
      <c r="C48" s="6">
        <v>2.7034014903337682</v>
      </c>
      <c r="D48">
        <v>160</v>
      </c>
    </row>
    <row r="49" spans="1:14" x14ac:dyDescent="0.25">
      <c r="A49">
        <v>3</v>
      </c>
      <c r="B49" s="6">
        <v>-7.750892538238574</v>
      </c>
      <c r="C49" s="6">
        <v>-1.7424409061161941</v>
      </c>
      <c r="D49">
        <v>1592</v>
      </c>
    </row>
    <row r="50" spans="1:14" x14ac:dyDescent="0.25">
      <c r="A50">
        <v>3</v>
      </c>
      <c r="B50" s="6">
        <v>-5.5517671611049479</v>
      </c>
      <c r="C50" s="6">
        <v>0.45668447101743231</v>
      </c>
      <c r="D50">
        <v>160</v>
      </c>
    </row>
    <row r="51" spans="1:14" x14ac:dyDescent="0.25">
      <c r="A51">
        <v>2</v>
      </c>
      <c r="B51" s="6">
        <v>11.49939796207811</v>
      </c>
      <c r="C51" s="6">
        <v>17.50784959420049</v>
      </c>
      <c r="D51">
        <v>1592</v>
      </c>
    </row>
    <row r="52" spans="1:14" x14ac:dyDescent="0.25">
      <c r="A52">
        <v>2</v>
      </c>
      <c r="B52" s="6">
        <v>23.149814722955849</v>
      </c>
      <c r="C52" s="6">
        <v>29.158266355078229</v>
      </c>
      <c r="D52">
        <v>160</v>
      </c>
    </row>
    <row r="53" spans="1:14" x14ac:dyDescent="0.25">
      <c r="A53">
        <v>1</v>
      </c>
      <c r="B53" s="6">
        <v>23.148203040390669</v>
      </c>
      <c r="C53" s="6">
        <v>29.156654672513049</v>
      </c>
      <c r="D53">
        <v>1592</v>
      </c>
    </row>
    <row r="54" spans="1:14" x14ac:dyDescent="0.25">
      <c r="A54">
        <v>1</v>
      </c>
      <c r="B54" s="6">
        <v>-17.801210341561461</v>
      </c>
      <c r="C54" s="6">
        <v>-11.792758709439079</v>
      </c>
      <c r="D54">
        <v>160</v>
      </c>
    </row>
    <row r="56" spans="1:14" ht="13" x14ac:dyDescent="0.3">
      <c r="A56" s="1" t="s">
        <v>2717</v>
      </c>
      <c r="B56" s="1"/>
      <c r="C56" s="1"/>
    </row>
    <row r="57" spans="1:14" ht="13" x14ac:dyDescent="0.3">
      <c r="A57" s="1" t="s">
        <v>2703</v>
      </c>
      <c r="B57" s="1" t="s">
        <v>2718</v>
      </c>
      <c r="C57" s="1" t="s">
        <v>2719</v>
      </c>
      <c r="I57" s="287" t="s">
        <v>2722</v>
      </c>
      <c r="J57" s="287" t="s">
        <v>46</v>
      </c>
      <c r="K57" s="287" t="s">
        <v>2723</v>
      </c>
      <c r="L57" s="287" t="s">
        <v>2724</v>
      </c>
      <c r="M57" s="287" t="s">
        <v>2725</v>
      </c>
      <c r="N57" s="287" t="s">
        <v>2726</v>
      </c>
    </row>
    <row r="58" spans="1:14" x14ac:dyDescent="0.25">
      <c r="A58" t="s">
        <v>2645</v>
      </c>
      <c r="B58">
        <v>9.9998452138622926E-7</v>
      </c>
      <c r="C58">
        <v>1000002.294257638</v>
      </c>
      <c r="I58" s="288">
        <f>1/B58</f>
        <v>1000015.4788533619</v>
      </c>
      <c r="J58" s="288">
        <f>C58</f>
        <v>1000002.294257638</v>
      </c>
      <c r="K58" s="288">
        <f t="shared" ref="K58:K71" si="1">B58*C58</f>
        <v>0.99998681560835534</v>
      </c>
      <c r="L58" s="288">
        <f>B30</f>
        <v>999998.11682266556</v>
      </c>
      <c r="M58" s="300">
        <f>(I58/$L58-1)*1000000</f>
        <v>17.362063392090121</v>
      </c>
      <c r="N58" s="300">
        <f>(J58/$L58-1)*1000000</f>
        <v>4.1774428394258933</v>
      </c>
    </row>
    <row r="59" spans="1:14" x14ac:dyDescent="0.25">
      <c r="A59" t="s">
        <v>2646</v>
      </c>
      <c r="B59">
        <v>9.9996722255181873E-7</v>
      </c>
      <c r="C59">
        <v>1000025.2960838469</v>
      </c>
      <c r="I59" s="288">
        <f t="shared" ref="I59:I71" si="2">1/B59</f>
        <v>1000032.7785225776</v>
      </c>
      <c r="J59" s="288">
        <f t="shared" ref="J59:J71" si="3">C59</f>
        <v>1000025.2960838469</v>
      </c>
      <c r="K59" s="288">
        <f t="shared" si="1"/>
        <v>0.99999251780652465</v>
      </c>
      <c r="L59" s="288">
        <f>B30</f>
        <v>999998.11682266556</v>
      </c>
      <c r="M59" s="300">
        <f t="shared" ref="M59:N71" si="4">(I59/$L59-1)*1000000</f>
        <v>34.661765186294602</v>
      </c>
      <c r="N59" s="300">
        <f t="shared" si="4"/>
        <v>27.179312364955521</v>
      </c>
    </row>
    <row r="60" spans="1:14" x14ac:dyDescent="0.25">
      <c r="A60" t="s">
        <v>2647</v>
      </c>
      <c r="B60">
        <v>9.9998523969449816E-6</v>
      </c>
      <c r="C60">
        <v>100001.0679906812</v>
      </c>
      <c r="I60" s="288">
        <f t="shared" si="2"/>
        <v>100001.47605233717</v>
      </c>
      <c r="J60" s="288">
        <f t="shared" si="3"/>
        <v>100001.0679906812</v>
      </c>
      <c r="K60" s="288">
        <f t="shared" si="1"/>
        <v>0.9999959194436715</v>
      </c>
      <c r="L60" s="288">
        <f>B24</f>
        <v>100003.5118630029</v>
      </c>
      <c r="M60" s="300">
        <f t="shared" si="4"/>
        <v>-20.357391733671903</v>
      </c>
      <c r="N60" s="300">
        <f t="shared" si="4"/>
        <v>-24.437864992732372</v>
      </c>
    </row>
    <row r="61" spans="1:14" x14ac:dyDescent="0.25">
      <c r="A61" t="s">
        <v>2648</v>
      </c>
      <c r="B61">
        <v>9.9997493957357623E-6</v>
      </c>
      <c r="C61">
        <v>100002.78799116259</v>
      </c>
      <c r="I61" s="288">
        <f t="shared" si="2"/>
        <v>100002.50610544645</v>
      </c>
      <c r="J61" s="288">
        <f t="shared" si="3"/>
        <v>100002.78799116259</v>
      </c>
      <c r="K61" s="288">
        <f t="shared" si="1"/>
        <v>1.0000028187865198</v>
      </c>
      <c r="L61" s="288">
        <f>B24</f>
        <v>100003.5118630029</v>
      </c>
      <c r="M61" s="300">
        <f t="shared" si="4"/>
        <v>-10.05722236868678</v>
      </c>
      <c r="N61" s="300">
        <f t="shared" si="4"/>
        <v>-7.2384641981448894</v>
      </c>
    </row>
    <row r="62" spans="1:14" x14ac:dyDescent="0.25">
      <c r="A62" t="s">
        <v>2649</v>
      </c>
      <c r="B62">
        <v>9.9996992865482493E-5</v>
      </c>
      <c r="C62">
        <v>10000.28591412977</v>
      </c>
      <c r="I62" s="288">
        <f t="shared" si="2"/>
        <v>10000.300722494881</v>
      </c>
      <c r="J62" s="288">
        <f t="shared" si="3"/>
        <v>10000.28591412977</v>
      </c>
      <c r="K62" s="288">
        <f t="shared" si="1"/>
        <v>0.99999851920801974</v>
      </c>
      <c r="L62" s="288">
        <f>B25</f>
        <v>10000.311356526659</v>
      </c>
      <c r="M62" s="300">
        <f t="shared" si="4"/>
        <v>-1.0633700691098369</v>
      </c>
      <c r="N62" s="300">
        <f t="shared" si="4"/>
        <v>-2.5441604748488444</v>
      </c>
    </row>
    <row r="63" spans="1:14" x14ac:dyDescent="0.25">
      <c r="A63" t="s">
        <v>2650</v>
      </c>
      <c r="B63">
        <v>9.9997142858346909E-5</v>
      </c>
      <c r="C63">
        <v>10000.30091502367</v>
      </c>
      <c r="I63" s="288">
        <f t="shared" si="2"/>
        <v>10000.285722328801</v>
      </c>
      <c r="J63" s="288">
        <f t="shared" si="3"/>
        <v>10000.30091502367</v>
      </c>
      <c r="K63" s="288">
        <f t="shared" si="1"/>
        <v>1.0000015192260792</v>
      </c>
      <c r="L63" s="288">
        <f>B25</f>
        <v>10000.311356526659</v>
      </c>
      <c r="M63" s="300">
        <f t="shared" si="4"/>
        <v>-2.5633399746149976</v>
      </c>
      <c r="N63" s="300">
        <f t="shared" si="4"/>
        <v>-1.0441177896725051</v>
      </c>
    </row>
    <row r="64" spans="1:14" x14ac:dyDescent="0.25">
      <c r="A64" t="s">
        <v>2651</v>
      </c>
      <c r="B64">
        <v>1.0000532246922009E-3</v>
      </c>
      <c r="C64">
        <v>999.94608649653344</v>
      </c>
      <c r="I64" s="288">
        <f t="shared" si="2"/>
        <v>999.94677814051613</v>
      </c>
      <c r="J64" s="288">
        <f t="shared" si="3"/>
        <v>999.94608649653344</v>
      </c>
      <c r="K64" s="288">
        <f t="shared" si="1"/>
        <v>0.99999930831920469</v>
      </c>
      <c r="L64" s="288">
        <f>B17</f>
        <v>999.95978121796566</v>
      </c>
      <c r="M64" s="300">
        <f t="shared" si="4"/>
        <v>-13.00360043854365</v>
      </c>
      <c r="N64" s="300">
        <f t="shared" si="4"/>
        <v>-13.695272239377942</v>
      </c>
    </row>
    <row r="65" spans="1:14" x14ac:dyDescent="0.25">
      <c r="A65" t="s">
        <v>2652</v>
      </c>
      <c r="B65">
        <v>1.0000496248634551E-3</v>
      </c>
      <c r="C65">
        <v>999.95578707458776</v>
      </c>
      <c r="I65" s="288">
        <f t="shared" si="2"/>
        <v>999.95037759904983</v>
      </c>
      <c r="J65" s="288">
        <f t="shared" si="3"/>
        <v>999.95578707458776</v>
      </c>
      <c r="K65" s="288">
        <f t="shared" si="1"/>
        <v>1.0000054097439823</v>
      </c>
      <c r="L65" s="288">
        <f>B17</f>
        <v>999.95978121796566</v>
      </c>
      <c r="M65" s="300">
        <f t="shared" si="4"/>
        <v>-9.4039971331172367</v>
      </c>
      <c r="N65" s="300">
        <f t="shared" si="4"/>
        <v>-3.9943040239798222</v>
      </c>
    </row>
    <row r="66" spans="1:14" x14ac:dyDescent="0.25">
      <c r="A66" t="s">
        <v>2653</v>
      </c>
      <c r="B66">
        <v>9.999869278461259E-3</v>
      </c>
      <c r="C66">
        <v>100.0009590280705</v>
      </c>
      <c r="I66" s="288">
        <f t="shared" si="2"/>
        <v>100.00130723247575</v>
      </c>
      <c r="J66" s="288">
        <f t="shared" si="3"/>
        <v>100.0009590280705</v>
      </c>
      <c r="K66" s="288">
        <f t="shared" si="1"/>
        <v>0.99999651800146527</v>
      </c>
      <c r="L66" s="288">
        <f>B21</f>
        <v>99.99780658986667</v>
      </c>
      <c r="M66" s="300">
        <f t="shared" si="4"/>
        <v>35.007193942115933</v>
      </c>
      <c r="N66" s="300">
        <f t="shared" si="4"/>
        <v>31.525073512339574</v>
      </c>
    </row>
    <row r="67" spans="1:14" x14ac:dyDescent="0.25">
      <c r="A67" t="s">
        <v>2654</v>
      </c>
      <c r="B67">
        <v>1.0000063269232581E-2</v>
      </c>
      <c r="C67">
        <v>99.999458938680661</v>
      </c>
      <c r="I67" s="288">
        <f t="shared" si="2"/>
        <v>99.999367311677162</v>
      </c>
      <c r="J67" s="288">
        <f t="shared" si="3"/>
        <v>99.999458938680661</v>
      </c>
      <c r="K67" s="288">
        <f t="shared" si="1"/>
        <v>1.0000009162758321</v>
      </c>
      <c r="L67" s="288">
        <f>B21</f>
        <v>99.99780658986667</v>
      </c>
      <c r="M67" s="300">
        <f t="shared" si="4"/>
        <v>15.607560442720825</v>
      </c>
      <c r="N67" s="300">
        <f t="shared" si="4"/>
        <v>16.523850575822507</v>
      </c>
    </row>
    <row r="68" spans="1:14" x14ac:dyDescent="0.25">
      <c r="A68" t="s">
        <v>2655</v>
      </c>
      <c r="B68">
        <v>9.99998627289551E-2</v>
      </c>
      <c r="C68">
        <v>10.000363918778049</v>
      </c>
      <c r="I68" s="288">
        <f t="shared" si="2"/>
        <v>10.000013727123333</v>
      </c>
      <c r="J68" s="288">
        <f t="shared" si="3"/>
        <v>10.000363918778049</v>
      </c>
      <c r="K68" s="288">
        <f t="shared" si="1"/>
        <v>1.0000350191174003</v>
      </c>
      <c r="L68" s="288">
        <f>B22</f>
        <v>10.00010036457966</v>
      </c>
      <c r="M68" s="300">
        <f t="shared" si="4"/>
        <v>-8.6636586802413262</v>
      </c>
      <c r="N68" s="300">
        <f t="shared" si="4"/>
        <v>26.355155326562851</v>
      </c>
    </row>
    <row r="69" spans="1:14" x14ac:dyDescent="0.25">
      <c r="A69" t="s">
        <v>2656</v>
      </c>
      <c r="B69">
        <v>9.9999482747031881E-2</v>
      </c>
      <c r="C69">
        <v>10.00063493492782</v>
      </c>
      <c r="I69" s="288">
        <f t="shared" si="2"/>
        <v>10.000051725564363</v>
      </c>
      <c r="J69" s="288">
        <f t="shared" si="3"/>
        <v>10.00063493492782</v>
      </c>
      <c r="K69" s="288">
        <f t="shared" si="1"/>
        <v>1.0000583206346789</v>
      </c>
      <c r="L69" s="288">
        <f>B22</f>
        <v>10.00010036457966</v>
      </c>
      <c r="M69" s="300">
        <f t="shared" si="4"/>
        <v>-4.8638527138100685</v>
      </c>
      <c r="N69" s="300">
        <f t="shared" si="4"/>
        <v>53.456498302129063</v>
      </c>
    </row>
    <row r="70" spans="1:14" x14ac:dyDescent="0.25">
      <c r="A70" t="s">
        <v>2657</v>
      </c>
      <c r="B70">
        <v>1.0000355255341991</v>
      </c>
      <c r="C70">
        <v>1.000022791067336</v>
      </c>
      <c r="I70" s="288">
        <f t="shared" si="2"/>
        <v>0.99996447572781966</v>
      </c>
      <c r="J70" s="288">
        <f t="shared" si="3"/>
        <v>1.000022791067336</v>
      </c>
      <c r="K70" s="288">
        <f t="shared" si="1"/>
        <v>1.0000583174111999</v>
      </c>
      <c r="L70" s="288">
        <f>B23/100</f>
        <v>1.000009901059667</v>
      </c>
      <c r="M70" s="300">
        <f t="shared" si="4"/>
        <v>-45.424882092914842</v>
      </c>
      <c r="N70" s="300">
        <f t="shared" si="4"/>
        <v>12.88988004555236</v>
      </c>
    </row>
    <row r="71" spans="1:14" x14ac:dyDescent="0.25">
      <c r="A71" t="s">
        <v>2658</v>
      </c>
      <c r="B71">
        <v>0.99998382799359442</v>
      </c>
      <c r="C71">
        <v>0.99999258926761991</v>
      </c>
      <c r="I71" s="288">
        <f t="shared" si="2"/>
        <v>1.0000161722679437</v>
      </c>
      <c r="J71" s="288">
        <f t="shared" si="3"/>
        <v>0.99999258926761991</v>
      </c>
      <c r="K71" s="288">
        <f t="shared" si="1"/>
        <v>0.9999764173810608</v>
      </c>
      <c r="L71" s="288">
        <f>B23/100</f>
        <v>1.000009901059667</v>
      </c>
      <c r="M71" s="300">
        <f t="shared" si="4"/>
        <v>6.2711461856768125</v>
      </c>
      <c r="N71" s="300">
        <f t="shared" si="4"/>
        <v>-17.311620643778447</v>
      </c>
    </row>
    <row r="73" spans="1:14" ht="13" x14ac:dyDescent="0.3">
      <c r="A73" s="1" t="s">
        <v>2793</v>
      </c>
      <c r="B73" s="1"/>
      <c r="C73" s="1"/>
    </row>
    <row r="74" spans="1:14" ht="13" x14ac:dyDescent="0.3">
      <c r="A74" s="1" t="s">
        <v>2703</v>
      </c>
      <c r="B74" s="1" t="s">
        <v>2794</v>
      </c>
      <c r="C74" s="1" t="s">
        <v>2719</v>
      </c>
      <c r="I74" s="287" t="s">
        <v>2797</v>
      </c>
    </row>
    <row r="75" spans="1:14" x14ac:dyDescent="0.25">
      <c r="A75" t="s">
        <v>2778</v>
      </c>
      <c r="B75">
        <v>9.9903897823913301E-5</v>
      </c>
      <c r="C75">
        <v>8.188247935313514E-2</v>
      </c>
      <c r="I75" s="297">
        <f>B75*1000000</f>
        <v>99.903897823913297</v>
      </c>
    </row>
    <row r="76" spans="1:14" x14ac:dyDescent="0.25">
      <c r="A76" t="s">
        <v>2779</v>
      </c>
      <c r="B76">
        <v>9.9894295767305702E-4</v>
      </c>
      <c r="C76">
        <v>0.8536948714291539</v>
      </c>
      <c r="I76" s="298">
        <f t="shared" ref="I76:I79" si="5">B76*1000000</f>
        <v>998.94295767305698</v>
      </c>
    </row>
    <row r="77" spans="1:14" x14ac:dyDescent="0.25">
      <c r="A77" t="s">
        <v>2780</v>
      </c>
      <c r="B77">
        <v>9.9996417640184545E-3</v>
      </c>
      <c r="C77">
        <v>8.489995916387965</v>
      </c>
      <c r="I77" s="299">
        <f t="shared" si="5"/>
        <v>9999.6417640184536</v>
      </c>
    </row>
    <row r="78" spans="1:14" x14ac:dyDescent="0.25">
      <c r="A78" t="s">
        <v>2781</v>
      </c>
      <c r="B78">
        <v>9.9981914533850122E-2</v>
      </c>
      <c r="C78">
        <v>83.485774893050149</v>
      </c>
      <c r="I78" s="300">
        <f t="shared" si="5"/>
        <v>99981.914533850126</v>
      </c>
    </row>
    <row r="79" spans="1:14" x14ac:dyDescent="0.25">
      <c r="A79" t="s">
        <v>2782</v>
      </c>
      <c r="B79">
        <v>1.002258667845372</v>
      </c>
      <c r="C79">
        <v>643.39233956243106</v>
      </c>
      <c r="I79" s="301">
        <f t="shared" si="5"/>
        <v>1002258.667845372</v>
      </c>
    </row>
    <row r="81" spans="1:9" ht="13" x14ac:dyDescent="0.3">
      <c r="A81" s="1" t="s">
        <v>2795</v>
      </c>
      <c r="B81" s="1"/>
      <c r="C81" s="1"/>
    </row>
    <row r="82" spans="1:9" ht="13" x14ac:dyDescent="0.3">
      <c r="A82" s="1" t="s">
        <v>2703</v>
      </c>
      <c r="B82" s="1" t="s">
        <v>2796</v>
      </c>
      <c r="C82" s="1" t="s">
        <v>2718</v>
      </c>
      <c r="I82" s="287" t="s">
        <v>2798</v>
      </c>
    </row>
    <row r="83" spans="1:9" x14ac:dyDescent="0.25">
      <c r="A83" t="s">
        <v>2783</v>
      </c>
      <c r="B83">
        <v>1.001491197772479E-7</v>
      </c>
      <c r="C83">
        <v>5.5359366401276383E-6</v>
      </c>
      <c r="I83" s="300">
        <f>B83*1000000000000</f>
        <v>100149.11977724791</v>
      </c>
    </row>
    <row r="84" spans="1:9" x14ac:dyDescent="0.25">
      <c r="A84" t="s">
        <v>2784</v>
      </c>
      <c r="B84">
        <v>1.003745439062313E-6</v>
      </c>
      <c r="C84">
        <v>1.1206066896292469E-4</v>
      </c>
      <c r="I84" s="301">
        <f t="shared" ref="I84:I91" si="6">B84*1000000000000</f>
        <v>1003745.4390623131</v>
      </c>
    </row>
    <row r="85" spans="1:9" x14ac:dyDescent="0.25">
      <c r="A85" t="s">
        <v>2785</v>
      </c>
      <c r="B85">
        <v>1.0000403483426141E-9</v>
      </c>
      <c r="C85">
        <v>-1.4000164360078519E-10</v>
      </c>
      <c r="I85" s="298">
        <f t="shared" si="6"/>
        <v>1000.040348342614</v>
      </c>
    </row>
    <row r="86" spans="1:9" x14ac:dyDescent="0.25">
      <c r="A86" t="s">
        <v>2786</v>
      </c>
      <c r="B86">
        <v>1.000022345347967E-9</v>
      </c>
      <c r="C86">
        <v>-1.3000152620072911E-10</v>
      </c>
      <c r="I86" s="298">
        <f t="shared" si="6"/>
        <v>1000.022345347967</v>
      </c>
    </row>
    <row r="87" spans="1:9" x14ac:dyDescent="0.25">
      <c r="A87" t="s">
        <v>2787</v>
      </c>
      <c r="B87">
        <v>1.000005234795324E-10</v>
      </c>
      <c r="C87">
        <v>2.5898254984469638E-10</v>
      </c>
      <c r="I87" s="297">
        <f t="shared" si="6"/>
        <v>100.00052347953239</v>
      </c>
    </row>
    <row r="88" spans="1:9" x14ac:dyDescent="0.25">
      <c r="A88" t="s">
        <v>2788</v>
      </c>
      <c r="B88">
        <v>9.8246916168878661E-7</v>
      </c>
      <c r="C88">
        <v>-3.1127719167996351E-4</v>
      </c>
      <c r="I88" s="301">
        <f t="shared" si="6"/>
        <v>982469.16168878658</v>
      </c>
    </row>
    <row r="89" spans="1:9" x14ac:dyDescent="0.25">
      <c r="A89" t="s">
        <v>2789</v>
      </c>
      <c r="B89">
        <v>9.9757177824503503E-8</v>
      </c>
      <c r="C89">
        <v>-8.7988814127876861E-6</v>
      </c>
      <c r="I89" s="300">
        <f t="shared" si="6"/>
        <v>99757.177824503509</v>
      </c>
    </row>
    <row r="90" spans="1:9" x14ac:dyDescent="0.25">
      <c r="A90" t="s">
        <v>2790</v>
      </c>
      <c r="B90">
        <v>1.005479624686347E-8</v>
      </c>
      <c r="C90">
        <v>2.1068997689297539E-8</v>
      </c>
      <c r="I90" s="299">
        <f t="shared" si="6"/>
        <v>10054.796246863471</v>
      </c>
    </row>
    <row r="91" spans="1:9" x14ac:dyDescent="0.25">
      <c r="A91" t="s">
        <v>2791</v>
      </c>
      <c r="B91">
        <v>4.8455186553886051E-11</v>
      </c>
      <c r="C91">
        <v>1.969906286089998E-9</v>
      </c>
      <c r="I91" s="299">
        <f t="shared" si="6"/>
        <v>48.455186553886051</v>
      </c>
    </row>
  </sheetData>
  <pageMargins left="0.7" right="0.7" top="0.75" bottom="0.75" header="0.3" footer="0.3"/>
  <pageSetup paperSize="9" scale="5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D7F9-5C0F-4A74-AA8A-A85D79E5309F}">
  <sheetPr>
    <tabColor theme="4" tint="0.39997558519241921"/>
    <pageSetUpPr fitToPage="1"/>
  </sheetPr>
  <dimension ref="A1:N148"/>
  <sheetViews>
    <sheetView topLeftCell="A115" workbookViewId="0">
      <selection activeCell="J154" sqref="J154"/>
    </sheetView>
  </sheetViews>
  <sheetFormatPr defaultRowHeight="12.5" x14ac:dyDescent="0.25"/>
  <cols>
    <col min="1" max="1" width="19.6328125" customWidth="1"/>
    <col min="2" max="2" width="17.453125" customWidth="1"/>
    <col min="3" max="3" width="16.36328125" customWidth="1"/>
    <col min="4" max="4" width="14.90625" customWidth="1"/>
    <col min="5" max="5" width="19.26953125" customWidth="1"/>
    <col min="6" max="6" width="16.26953125" customWidth="1"/>
  </cols>
  <sheetData>
    <row r="1" spans="1:5" ht="13" x14ac:dyDescent="0.3">
      <c r="A1" s="1"/>
    </row>
    <row r="2" spans="1:5" ht="13" x14ac:dyDescent="0.3">
      <c r="A2" s="1" t="s">
        <v>2553</v>
      </c>
      <c r="B2" s="1" t="s">
        <v>131</v>
      </c>
      <c r="C2" s="1" t="s">
        <v>2554</v>
      </c>
      <c r="D2" s="1" t="s">
        <v>2555</v>
      </c>
      <c r="E2" s="1" t="s">
        <v>2556</v>
      </c>
    </row>
    <row r="3" spans="1:5" x14ac:dyDescent="0.25">
      <c r="A3" s="205" t="s">
        <v>2557</v>
      </c>
      <c r="B3">
        <f>Calibration!K16</f>
        <v>9999.9983599999996</v>
      </c>
      <c r="C3" s="59">
        <f>0.0000001*B3</f>
        <v>9.9999983599999981E-4</v>
      </c>
      <c r="D3">
        <v>50</v>
      </c>
      <c r="E3" s="205" t="s">
        <v>2558</v>
      </c>
    </row>
    <row r="4" spans="1:5" x14ac:dyDescent="0.25">
      <c r="A4" s="205" t="s">
        <v>2559</v>
      </c>
      <c r="B4">
        <f>Calibration!Q7</f>
        <v>9981.0833094999998</v>
      </c>
      <c r="C4">
        <f>Calibration!R7</f>
        <v>4.5186009189425204E-3</v>
      </c>
      <c r="D4">
        <v>19</v>
      </c>
    </row>
    <row r="5" spans="1:5" x14ac:dyDescent="0.25">
      <c r="A5" s="205" t="s">
        <v>2560</v>
      </c>
      <c r="B5">
        <f>Calibration!E8</f>
        <v>10000.0172415</v>
      </c>
      <c r="C5" s="203">
        <f>Calibration!F8</f>
        <v>1.7046292234726499E-3</v>
      </c>
      <c r="D5">
        <v>19</v>
      </c>
    </row>
    <row r="6" spans="1:5" x14ac:dyDescent="0.25">
      <c r="A6" s="205" t="s">
        <v>2561</v>
      </c>
      <c r="B6">
        <f>Calibration!E22</f>
        <v>10000.144851999999</v>
      </c>
      <c r="C6">
        <f>Calibration!F22</f>
        <v>5.2697124660064298E-3</v>
      </c>
      <c r="D6">
        <v>19</v>
      </c>
    </row>
    <row r="7" spans="1:5" x14ac:dyDescent="0.25">
      <c r="A7" s="205" t="s">
        <v>2562</v>
      </c>
      <c r="B7">
        <f>Calibration!E10</f>
        <v>100001.11990000001</v>
      </c>
      <c r="C7">
        <f>Calibration!F10</f>
        <v>2.77987125797527E-2</v>
      </c>
      <c r="D7">
        <v>19</v>
      </c>
    </row>
    <row r="8" spans="1:5" x14ac:dyDescent="0.25">
      <c r="A8" s="205" t="s">
        <v>2563</v>
      </c>
      <c r="B8">
        <f>Calibration!E11</f>
        <v>100000.94443499899</v>
      </c>
      <c r="C8">
        <f>Calibration!F11</f>
        <v>1.1600602299612101E-2</v>
      </c>
      <c r="D8">
        <v>19</v>
      </c>
    </row>
    <row r="9" spans="1:5" x14ac:dyDescent="0.25">
      <c r="A9" s="205" t="s">
        <v>2564</v>
      </c>
      <c r="B9">
        <f>Calibration!E12</f>
        <v>1000015.3623499901</v>
      </c>
      <c r="C9">
        <f>Calibration!F12</f>
        <v>0.59573733835187503</v>
      </c>
      <c r="D9">
        <v>19</v>
      </c>
    </row>
    <row r="10" spans="1:5" x14ac:dyDescent="0.25">
      <c r="A10" s="205" t="s">
        <v>2565</v>
      </c>
      <c r="B10">
        <f>Calibration!E13</f>
        <v>99998.181487499998</v>
      </c>
      <c r="C10">
        <f>Calibration!F13</f>
        <v>1.33476100266603E-2</v>
      </c>
      <c r="D10">
        <v>19</v>
      </c>
    </row>
    <row r="11" spans="1:5" x14ac:dyDescent="0.25">
      <c r="A11" s="205" t="s">
        <v>2566</v>
      </c>
      <c r="B11">
        <f>Calibration!E14</f>
        <v>99998.782326500004</v>
      </c>
      <c r="C11">
        <f>Calibration!F14</f>
        <v>9.3480351314694093E-3</v>
      </c>
      <c r="D11">
        <v>19</v>
      </c>
    </row>
    <row r="12" spans="1:5" x14ac:dyDescent="0.25">
      <c r="A12" s="205" t="s">
        <v>2567</v>
      </c>
      <c r="B12">
        <f>Calibration!E15</f>
        <v>10000.551211</v>
      </c>
      <c r="C12">
        <f>Calibration!F15</f>
        <v>6.6379109743207598E-3</v>
      </c>
      <c r="D12">
        <v>19</v>
      </c>
    </row>
    <row r="13" spans="1:5" x14ac:dyDescent="0.25">
      <c r="A13" s="205" t="s">
        <v>2568</v>
      </c>
      <c r="B13">
        <f>Calibration!E16</f>
        <v>99999.235396000004</v>
      </c>
      <c r="C13" s="203">
        <f>Calibration!F16</f>
        <v>1.60640371152821E-2</v>
      </c>
      <c r="D13">
        <v>19</v>
      </c>
    </row>
    <row r="14" spans="1:5" x14ac:dyDescent="0.25">
      <c r="A14" s="205" t="s">
        <v>2569</v>
      </c>
      <c r="B14" s="35">
        <f>Calibration!E17</f>
        <v>1000075.73225</v>
      </c>
      <c r="C14" s="203">
        <f>Calibration!F17</f>
        <v>1.7799402673368501</v>
      </c>
      <c r="D14">
        <v>19</v>
      </c>
    </row>
    <row r="15" spans="1:5" ht="13" x14ac:dyDescent="0.3">
      <c r="A15" s="1" t="s">
        <v>2570</v>
      </c>
      <c r="B15" s="1" t="s">
        <v>2571</v>
      </c>
      <c r="C15" s="1" t="s">
        <v>2572</v>
      </c>
      <c r="D15" s="1"/>
      <c r="E15" s="1"/>
    </row>
    <row r="16" spans="1:5" x14ac:dyDescent="0.25">
      <c r="A16" s="205" t="s">
        <v>2573</v>
      </c>
      <c r="B16" s="3">
        <f>'Short, Open, Phase'!C7</f>
        <v>0</v>
      </c>
      <c r="C16" s="5">
        <f>'Short, Open, Phase'!D7</f>
        <v>-4.999999999999986E-7</v>
      </c>
    </row>
    <row r="17" spans="1:5" x14ac:dyDescent="0.25">
      <c r="A17" s="205" t="s">
        <v>2574</v>
      </c>
      <c r="B17" s="3">
        <f>'Short, Open, Phase'!C8</f>
        <v>0</v>
      </c>
      <c r="C17" s="5">
        <f>'Short, Open, Phase'!D8</f>
        <v>-4.999999999999986E-7</v>
      </c>
    </row>
    <row r="18" spans="1:5" x14ac:dyDescent="0.25">
      <c r="A18" s="205" t="s">
        <v>2575</v>
      </c>
      <c r="B18" s="3">
        <f>'Short, Open, Phase'!C9</f>
        <v>0</v>
      </c>
      <c r="C18" s="5">
        <f>'Short, Open, Phase'!D9</f>
        <v>-2.3000000000000017E-6</v>
      </c>
    </row>
    <row r="19" spans="1:5" x14ac:dyDescent="0.25">
      <c r="A19" s="205" t="s">
        <v>2576</v>
      </c>
      <c r="B19" s="3">
        <f>'Short, Open, Phase'!C10</f>
        <v>0</v>
      </c>
      <c r="C19" s="5">
        <f>'Short, Open, Phase'!D10</f>
        <v>-2.9999999999474891E-7</v>
      </c>
    </row>
    <row r="20" spans="1:5" x14ac:dyDescent="0.25">
      <c r="A20" s="205" t="s">
        <v>2577</v>
      </c>
      <c r="B20" s="3">
        <f>'Short, Open, Phase'!C11</f>
        <v>-5.0000000000050004E-6</v>
      </c>
      <c r="C20" s="5">
        <f>'Short, Open, Phase'!D11</f>
        <v>8.9999999999812452E-7</v>
      </c>
    </row>
    <row r="21" spans="1:5" x14ac:dyDescent="0.25">
      <c r="A21" s="205" t="s">
        <v>2578</v>
      </c>
      <c r="B21" s="3">
        <f>'Short, Open, Phase'!C12</f>
        <v>-5.0000000000050004E-6</v>
      </c>
      <c r="C21" s="5">
        <f>'Short, Open, Phase'!D12</f>
        <v>-2.099999999990998E-6</v>
      </c>
    </row>
    <row r="22" spans="1:5" x14ac:dyDescent="0.25">
      <c r="A22" s="205" t="s">
        <v>2579</v>
      </c>
      <c r="B22" s="3">
        <f>'Short, Open, Phase'!C13</f>
        <v>-1.8000000000000004E-5</v>
      </c>
      <c r="C22" s="5">
        <f>'Short, Open, Phase'!D13</f>
        <v>-2.099999999990998E-6</v>
      </c>
    </row>
    <row r="23" spans="1:5" x14ac:dyDescent="0.25">
      <c r="A23" s="205" t="s">
        <v>2580</v>
      </c>
      <c r="B23" s="3">
        <f>'Short, Open, Phase'!C16</f>
        <v>5.0000000000000004E-6</v>
      </c>
      <c r="C23" s="5">
        <f>'Short, Open, Phase'!D16</f>
        <v>2.7E-6</v>
      </c>
    </row>
    <row r="24" spans="1:5" x14ac:dyDescent="0.25">
      <c r="A24" s="205" t="s">
        <v>2581</v>
      </c>
      <c r="B24" s="3">
        <f>'Short, Open, Phase'!C17</f>
        <v>0</v>
      </c>
      <c r="C24" s="5">
        <f>'Short, Open, Phase'!D17</f>
        <v>1.5999999999999999E-6</v>
      </c>
    </row>
    <row r="25" spans="1:5" x14ac:dyDescent="0.25">
      <c r="A25" s="205" t="s">
        <v>2582</v>
      </c>
      <c r="B25" s="3">
        <f>'Short, Open, Phase'!C18</f>
        <v>-9.9999999999999995E-7</v>
      </c>
      <c r="C25" s="5">
        <f>'Short, Open, Phase'!D18</f>
        <v>9.9999999999999995E-8</v>
      </c>
    </row>
    <row r="26" spans="1:5" x14ac:dyDescent="0.25">
      <c r="A26" s="205" t="s">
        <v>2583</v>
      </c>
      <c r="B26" s="3">
        <f>'Short, Open, Phase'!C19</f>
        <v>0</v>
      </c>
      <c r="C26" s="5">
        <f>'Short, Open, Phase'!D19</f>
        <v>-9.9999999999999995E-8</v>
      </c>
    </row>
    <row r="27" spans="1:5" x14ac:dyDescent="0.25">
      <c r="A27" s="205" t="s">
        <v>2584</v>
      </c>
      <c r="B27" s="3">
        <f>'Short, Open, Phase'!C20</f>
        <v>0</v>
      </c>
      <c r="C27" s="5">
        <f>'Short, Open, Phase'!D20</f>
        <v>-9.9999999999999995E-8</v>
      </c>
    </row>
    <row r="28" spans="1:5" x14ac:dyDescent="0.25">
      <c r="A28" s="205" t="s">
        <v>2585</v>
      </c>
      <c r="B28" s="3">
        <f>'Short, Open, Phase'!F21</f>
        <v>0</v>
      </c>
      <c r="C28" s="5">
        <f>'Short, Open, Phase'!G21</f>
        <v>-9.9999999999999992E-2</v>
      </c>
      <c r="E28" s="205" t="s">
        <v>2586</v>
      </c>
    </row>
    <row r="29" spans="1:5" x14ac:dyDescent="0.25">
      <c r="A29" s="205" t="s">
        <v>2587</v>
      </c>
      <c r="B29" s="3">
        <f>'Short, Open, Phase'!F22</f>
        <v>0</v>
      </c>
      <c r="C29" s="5">
        <f>'Short, Open, Phase'!G22</f>
        <v>0</v>
      </c>
      <c r="E29" s="205" t="s">
        <v>2586</v>
      </c>
    </row>
    <row r="30" spans="1:5" x14ac:dyDescent="0.25">
      <c r="A30" s="205" t="s">
        <v>2588</v>
      </c>
      <c r="B30" s="3">
        <v>0</v>
      </c>
      <c r="C30" s="5">
        <v>0</v>
      </c>
      <c r="E30" s="205" t="s">
        <v>2589</v>
      </c>
    </row>
    <row r="31" spans="1:5" x14ac:dyDescent="0.25">
      <c r="A31" s="205" t="s">
        <v>2590</v>
      </c>
      <c r="B31" s="3">
        <v>0</v>
      </c>
      <c r="C31" s="5">
        <v>0</v>
      </c>
      <c r="E31" s="205" t="s">
        <v>2589</v>
      </c>
    </row>
    <row r="32" spans="1:5" x14ac:dyDescent="0.25">
      <c r="A32" s="205" t="s">
        <v>2591</v>
      </c>
      <c r="B32" s="3">
        <v>0</v>
      </c>
      <c r="C32" s="5">
        <v>0</v>
      </c>
      <c r="E32" s="205" t="s">
        <v>2589</v>
      </c>
    </row>
    <row r="33" spans="1:5" x14ac:dyDescent="0.25">
      <c r="A33" s="205" t="s">
        <v>2592</v>
      </c>
      <c r="B33" s="3">
        <v>0</v>
      </c>
      <c r="C33" s="5">
        <v>0</v>
      </c>
      <c r="E33" s="205" t="s">
        <v>2589</v>
      </c>
    </row>
    <row r="34" spans="1:5" x14ac:dyDescent="0.25">
      <c r="A34" s="205" t="s">
        <v>2593</v>
      </c>
      <c r="B34" s="3">
        <v>0</v>
      </c>
      <c r="C34" s="5">
        <v>0</v>
      </c>
      <c r="E34" s="205" t="s">
        <v>2589</v>
      </c>
    </row>
    <row r="35" spans="1:5" x14ac:dyDescent="0.25">
      <c r="A35" s="205" t="s">
        <v>2594</v>
      </c>
      <c r="B35" s="3">
        <v>0</v>
      </c>
      <c r="C35" s="5">
        <v>0</v>
      </c>
      <c r="E35" s="205" t="s">
        <v>2589</v>
      </c>
    </row>
    <row r="36" spans="1:5" x14ac:dyDescent="0.25">
      <c r="A36" s="205" t="s">
        <v>2595</v>
      </c>
      <c r="B36" s="3">
        <v>0</v>
      </c>
      <c r="C36" s="5">
        <v>0</v>
      </c>
      <c r="E36" s="205" t="s">
        <v>2589</v>
      </c>
    </row>
    <row r="37" spans="1:5" x14ac:dyDescent="0.25">
      <c r="A37" s="205" t="s">
        <v>2596</v>
      </c>
      <c r="B37" s="3">
        <v>0</v>
      </c>
      <c r="C37" s="5">
        <v>0</v>
      </c>
      <c r="E37" s="205" t="s">
        <v>2589</v>
      </c>
    </row>
    <row r="38" spans="1:5" x14ac:dyDescent="0.25">
      <c r="A38" s="205" t="s">
        <v>2597</v>
      </c>
      <c r="B38" s="3">
        <v>0</v>
      </c>
      <c r="C38" s="5">
        <v>0</v>
      </c>
      <c r="E38" s="205" t="s">
        <v>2589</v>
      </c>
    </row>
    <row r="39" spans="1:5" x14ac:dyDescent="0.25">
      <c r="A39" s="205" t="s">
        <v>2598</v>
      </c>
      <c r="B39" s="3">
        <v>0</v>
      </c>
      <c r="C39" s="5">
        <v>0</v>
      </c>
      <c r="E39" s="205" t="s">
        <v>2589</v>
      </c>
    </row>
    <row r="40" spans="1:5" x14ac:dyDescent="0.25">
      <c r="A40" s="205" t="s">
        <v>2599</v>
      </c>
      <c r="B40" s="3">
        <v>0</v>
      </c>
      <c r="C40" s="5">
        <v>0</v>
      </c>
      <c r="E40" s="205" t="s">
        <v>2589</v>
      </c>
    </row>
    <row r="41" spans="1:5" x14ac:dyDescent="0.25">
      <c r="A41" s="205" t="s">
        <v>2600</v>
      </c>
      <c r="B41" s="3">
        <v>0</v>
      </c>
      <c r="C41" s="5">
        <v>0</v>
      </c>
      <c r="E41" s="205" t="s">
        <v>2589</v>
      </c>
    </row>
    <row r="42" spans="1:5" x14ac:dyDescent="0.25">
      <c r="A42" s="205" t="s">
        <v>2601</v>
      </c>
      <c r="B42" s="3">
        <v>0</v>
      </c>
      <c r="C42" s="5">
        <v>0</v>
      </c>
      <c r="E42" s="205" t="s">
        <v>2589</v>
      </c>
    </row>
    <row r="43" spans="1:5" x14ac:dyDescent="0.25">
      <c r="A43" s="205" t="s">
        <v>2602</v>
      </c>
      <c r="B43" s="3">
        <v>0</v>
      </c>
      <c r="C43" s="5">
        <v>0</v>
      </c>
      <c r="E43" s="205" t="s">
        <v>2589</v>
      </c>
    </row>
    <row r="44" spans="1:5" x14ac:dyDescent="0.25">
      <c r="A44" s="205"/>
      <c r="B44" s="3"/>
      <c r="C44" s="5"/>
      <c r="E44" s="205"/>
    </row>
    <row r="45" spans="1:5" ht="13" x14ac:dyDescent="0.3">
      <c r="A45" s="1" t="s">
        <v>2603</v>
      </c>
      <c r="B45" s="280" t="s">
        <v>2571</v>
      </c>
      <c r="C45" s="281" t="s">
        <v>2572</v>
      </c>
      <c r="D45" s="1" t="s">
        <v>2604</v>
      </c>
      <c r="E45" s="1"/>
    </row>
    <row r="46" spans="1:5" x14ac:dyDescent="0.25">
      <c r="A46" s="205" t="s">
        <v>2605</v>
      </c>
      <c r="B46" s="3">
        <f>'Short, Open, Phase'!K29</f>
        <v>-1.4000000000000001E-5</v>
      </c>
      <c r="C46" s="5">
        <f>'Short, Open, Phase'!L29</f>
        <v>0.99973040000000002</v>
      </c>
      <c r="D46">
        <f>'Short, Open, Phase'!E29</f>
        <v>1.4E-2</v>
      </c>
    </row>
    <row r="47" spans="1:5" x14ac:dyDescent="0.25">
      <c r="A47" s="205" t="s">
        <v>2606</v>
      </c>
      <c r="B47" s="3">
        <f>'Short, Open, Phase'!G29</f>
        <v>-2.3000000000000003E-5</v>
      </c>
      <c r="C47" s="5">
        <f>'Short, Open, Phase'!H29</f>
        <v>1.0000990999999999</v>
      </c>
      <c r="D47">
        <f>D46</f>
        <v>1.4E-2</v>
      </c>
    </row>
    <row r="48" spans="1:5" x14ac:dyDescent="0.25">
      <c r="A48" s="205" t="s">
        <v>2607</v>
      </c>
      <c r="B48" s="3">
        <f>'Short, Open, Phase'!K31</f>
        <v>3.9999999999999998E-6</v>
      </c>
      <c r="C48" s="5">
        <f>'Short, Open, Phase'!L31</f>
        <v>1.0007543999999999</v>
      </c>
      <c r="D48">
        <f>'Short, Open, Phase'!E31</f>
        <v>2.8000000000000001E-2</v>
      </c>
    </row>
    <row r="49" spans="1:5" x14ac:dyDescent="0.25">
      <c r="A49" s="205" t="s">
        <v>2608</v>
      </c>
      <c r="B49" s="3">
        <f>'Short, Open, Phase'!F31</f>
        <v>0</v>
      </c>
      <c r="C49" s="5">
        <f>'Short, Open, Phase'!G31</f>
        <v>-3.9000000000000006E-5</v>
      </c>
      <c r="D49">
        <f>D48</f>
        <v>2.8000000000000001E-2</v>
      </c>
    </row>
    <row r="50" spans="1:5" x14ac:dyDescent="0.25">
      <c r="A50" s="205" t="s">
        <v>2609</v>
      </c>
      <c r="B50" s="3">
        <f>'Short, Open, Phase'!K33</f>
        <v>1.0000000000000001E-5</v>
      </c>
      <c r="C50" s="5">
        <f>'Short, Open, Phase'!L33</f>
        <v>0.99769700000000006</v>
      </c>
      <c r="D50">
        <f>'Short, Open, Phase'!E33</f>
        <v>0.01</v>
      </c>
    </row>
    <row r="51" spans="1:5" x14ac:dyDescent="0.25">
      <c r="A51" s="205" t="s">
        <v>2610</v>
      </c>
      <c r="B51" s="3">
        <f>'Short, Open, Phase'!G33</f>
        <v>-1.7000000000000007E-5</v>
      </c>
      <c r="C51" s="5">
        <f>'Short, Open, Phase'!G33</f>
        <v>-1.7000000000000007E-5</v>
      </c>
      <c r="D51">
        <f>D50</f>
        <v>0.01</v>
      </c>
    </row>
    <row r="52" spans="1:5" x14ac:dyDescent="0.25">
      <c r="A52" s="205" t="s">
        <v>2611</v>
      </c>
      <c r="B52" s="3">
        <f>'Short, Open, Phase'!K34</f>
        <v>-2.0000000000000012E-6</v>
      </c>
      <c r="C52" s="5">
        <f>'Short, Open, Phase'!L34</f>
        <v>1.0034206000000001</v>
      </c>
      <c r="D52">
        <f>'Short, Open, Phase'!E34</f>
        <v>0</v>
      </c>
    </row>
    <row r="53" spans="1:5" x14ac:dyDescent="0.25">
      <c r="A53" s="205" t="s">
        <v>2612</v>
      </c>
      <c r="B53" s="3">
        <f>'Short, Open, Phase'!G34</f>
        <v>-6.000000000000001E-6</v>
      </c>
      <c r="C53" s="5">
        <f>'Short, Open, Phase'!H34</f>
        <v>0.99657890000000005</v>
      </c>
      <c r="D53">
        <f>D52</f>
        <v>0</v>
      </c>
    </row>
    <row r="54" spans="1:5" x14ac:dyDescent="0.25">
      <c r="A54" s="205" t="s">
        <v>2661</v>
      </c>
      <c r="B54" s="3">
        <v>0</v>
      </c>
      <c r="C54" s="5">
        <v>0</v>
      </c>
      <c r="D54">
        <f>'Short, Open, Phase'!E29</f>
        <v>1.4E-2</v>
      </c>
      <c r="E54" t="s">
        <v>2663</v>
      </c>
    </row>
    <row r="55" spans="1:5" x14ac:dyDescent="0.25">
      <c r="A55" s="205" t="s">
        <v>2613</v>
      </c>
      <c r="B55" s="3">
        <v>0</v>
      </c>
      <c r="C55" s="5">
        <v>0</v>
      </c>
      <c r="D55">
        <f>D54</f>
        <v>1.4E-2</v>
      </c>
      <c r="E55" t="s">
        <v>2665</v>
      </c>
    </row>
    <row r="56" spans="1:5" x14ac:dyDescent="0.25">
      <c r="A56" s="205" t="s">
        <v>2662</v>
      </c>
      <c r="B56" s="3">
        <v>0</v>
      </c>
      <c r="C56" s="5">
        <v>0</v>
      </c>
      <c r="D56">
        <f>'Short, Open, Phase'!E30</f>
        <v>3.1E-2</v>
      </c>
      <c r="E56" t="s">
        <v>2666</v>
      </c>
    </row>
    <row r="57" spans="1:5" x14ac:dyDescent="0.25">
      <c r="A57" s="205" t="s">
        <v>2614</v>
      </c>
      <c r="B57" s="3">
        <v>0</v>
      </c>
      <c r="C57" s="5">
        <v>0</v>
      </c>
      <c r="D57">
        <f>D56</f>
        <v>3.1E-2</v>
      </c>
      <c r="E57" t="s">
        <v>2667</v>
      </c>
    </row>
    <row r="58" spans="1:5" x14ac:dyDescent="0.25">
      <c r="A58" s="205" t="s">
        <v>2615</v>
      </c>
      <c r="B58" s="3">
        <v>0</v>
      </c>
      <c r="C58" s="5">
        <v>0</v>
      </c>
      <c r="D58">
        <f>'Short, Open, Phase'!E33</f>
        <v>0.01</v>
      </c>
      <c r="E58" t="s">
        <v>2668</v>
      </c>
    </row>
    <row r="59" spans="1:5" x14ac:dyDescent="0.25">
      <c r="A59" s="205" t="s">
        <v>2616</v>
      </c>
      <c r="B59" s="3">
        <v>0</v>
      </c>
      <c r="C59" s="5">
        <v>0</v>
      </c>
      <c r="D59">
        <f>D58</f>
        <v>0.01</v>
      </c>
      <c r="E59" t="s">
        <v>2669</v>
      </c>
    </row>
    <row r="60" spans="1:5" x14ac:dyDescent="0.25">
      <c r="A60" s="205" t="s">
        <v>2617</v>
      </c>
      <c r="B60" s="3">
        <v>0</v>
      </c>
      <c r="C60" s="5">
        <v>0</v>
      </c>
      <c r="D60">
        <f>'Short, Open, Phase'!E35</f>
        <v>0</v>
      </c>
      <c r="E60" t="s">
        <v>2670</v>
      </c>
    </row>
    <row r="61" spans="1:5" x14ac:dyDescent="0.25">
      <c r="A61" s="205" t="s">
        <v>2618</v>
      </c>
      <c r="B61" s="3">
        <v>0</v>
      </c>
      <c r="C61" s="5">
        <v>0</v>
      </c>
      <c r="D61">
        <f>D60</f>
        <v>0</v>
      </c>
      <c r="E61" t="s">
        <v>2671</v>
      </c>
    </row>
    <row r="63" spans="1:5" ht="13" x14ac:dyDescent="0.3">
      <c r="A63" s="1" t="s">
        <v>2619</v>
      </c>
      <c r="B63" s="1" t="s">
        <v>131</v>
      </c>
      <c r="C63" s="1" t="s">
        <v>2554</v>
      </c>
      <c r="D63" s="1" t="s">
        <v>2555</v>
      </c>
      <c r="E63" s="1" t="s">
        <v>2556</v>
      </c>
    </row>
    <row r="64" spans="1:5" x14ac:dyDescent="0.25">
      <c r="A64" s="205" t="s">
        <v>2620</v>
      </c>
      <c r="B64">
        <f>Resistors!E9</f>
        <v>9984.9603241700006</v>
      </c>
      <c r="C64">
        <f>Resistors!F9</f>
        <v>2.1670077776521301E-3</v>
      </c>
      <c r="D64">
        <v>19</v>
      </c>
      <c r="E64" s="205" t="s">
        <v>2621</v>
      </c>
    </row>
    <row r="65" spans="1:5" x14ac:dyDescent="0.25">
      <c r="A65" s="205" t="s">
        <v>2622</v>
      </c>
      <c r="B65">
        <f>Resistors!E8</f>
        <v>10000.0148145</v>
      </c>
      <c r="C65">
        <f>Resistors!F8</f>
        <v>1.86717924517395E-3</v>
      </c>
      <c r="D65">
        <v>19</v>
      </c>
    </row>
    <row r="66" spans="1:5" x14ac:dyDescent="0.25">
      <c r="A66" s="205" t="s">
        <v>2623</v>
      </c>
      <c r="B66">
        <f>Resistors!E10</f>
        <v>9999.6176042900006</v>
      </c>
      <c r="C66">
        <f>Resistors!F10</f>
        <v>2.5389564717559201E-3</v>
      </c>
      <c r="D66">
        <v>19</v>
      </c>
    </row>
    <row r="67" spans="1:5" x14ac:dyDescent="0.25">
      <c r="A67" s="205" t="s">
        <v>2624</v>
      </c>
      <c r="B67">
        <f>Resistors!E11</f>
        <v>999.95993125699999</v>
      </c>
      <c r="C67">
        <f>Resistors!F11</f>
        <v>3.4004300893945697E-4</v>
      </c>
      <c r="D67">
        <v>19</v>
      </c>
    </row>
    <row r="68" spans="1:5" x14ac:dyDescent="0.25">
      <c r="A68" s="205" t="s">
        <v>2625</v>
      </c>
      <c r="B68">
        <f>Resistors!E12</f>
        <v>999.97203598399994</v>
      </c>
      <c r="C68">
        <f>Resistors!F12</f>
        <v>2.6674448209693401E-4</v>
      </c>
      <c r="D68">
        <v>19</v>
      </c>
    </row>
    <row r="69" spans="1:5" x14ac:dyDescent="0.25">
      <c r="A69" s="205" t="s">
        <v>2626</v>
      </c>
      <c r="B69">
        <f>Resistors!E13</f>
        <v>999.96035695600006</v>
      </c>
      <c r="C69">
        <f>Resistors!F13</f>
        <v>2.6334460862850799E-4</v>
      </c>
      <c r="D69">
        <v>19</v>
      </c>
    </row>
    <row r="70" spans="1:5" x14ac:dyDescent="0.25">
      <c r="A70" s="205" t="s">
        <v>2627</v>
      </c>
      <c r="B70">
        <f>Resistors!E15</f>
        <v>999.96633857100005</v>
      </c>
      <c r="C70">
        <f>Resistors!F15</f>
        <v>2.2752113688991E-4</v>
      </c>
      <c r="D70">
        <v>19</v>
      </c>
    </row>
    <row r="71" spans="1:5" x14ac:dyDescent="0.25">
      <c r="A71" s="205" t="s">
        <v>2628</v>
      </c>
      <c r="B71">
        <f>Resistors!E14</f>
        <v>99.995983096199893</v>
      </c>
      <c r="C71">
        <f>Resistors!F14</f>
        <v>1.9027274116886601E-4</v>
      </c>
      <c r="D71">
        <v>19</v>
      </c>
    </row>
    <row r="72" spans="1:5" x14ac:dyDescent="0.25">
      <c r="A72" s="205" t="s">
        <v>2629</v>
      </c>
      <c r="B72">
        <f>Resistors!E16</f>
        <v>99.997733086899999</v>
      </c>
      <c r="C72">
        <f>Resistors!F16</f>
        <v>1.56447815372602E-4</v>
      </c>
      <c r="D72">
        <v>19</v>
      </c>
    </row>
    <row r="73" spans="1:5" x14ac:dyDescent="0.25">
      <c r="A73" s="205" t="s">
        <v>2630</v>
      </c>
      <c r="B73">
        <f>Resistors!E17</f>
        <v>9.9996417850500006</v>
      </c>
      <c r="C73">
        <f>Resistors!F17</f>
        <v>1.8982922093372298E-5</v>
      </c>
      <c r="D73">
        <v>19</v>
      </c>
    </row>
    <row r="74" spans="1:5" x14ac:dyDescent="0.25">
      <c r="A74" s="205" t="s">
        <v>2631</v>
      </c>
      <c r="B74">
        <f>Resistors!E18</f>
        <v>10.0000845213</v>
      </c>
      <c r="C74">
        <f>Resistors!F18</f>
        <v>1.69182482709258E-5</v>
      </c>
      <c r="D74">
        <v>19</v>
      </c>
    </row>
    <row r="75" spans="1:5" x14ac:dyDescent="0.25">
      <c r="A75" s="205" t="s">
        <v>2632</v>
      </c>
      <c r="B75">
        <f>Resistors!E19</f>
        <v>100.00091660299999</v>
      </c>
      <c r="C75">
        <f>Resistors!F19</f>
        <v>1.5355676241661501E-4</v>
      </c>
      <c r="D75">
        <v>19</v>
      </c>
    </row>
    <row r="76" spans="1:5" x14ac:dyDescent="0.25">
      <c r="A76" s="205" t="s">
        <v>2633</v>
      </c>
      <c r="B76">
        <f>Resistors!E21</f>
        <v>100003.319945</v>
      </c>
      <c r="C76">
        <f>Resistors!F21</f>
        <v>4.2297747808129497E-2</v>
      </c>
      <c r="D76">
        <v>19</v>
      </c>
    </row>
    <row r="77" spans="1:5" x14ac:dyDescent="0.25">
      <c r="A77" s="205" t="s">
        <v>2634</v>
      </c>
      <c r="B77">
        <f>Resistors!E22</f>
        <v>10000.3233009</v>
      </c>
      <c r="C77">
        <f>Resistors!F22</f>
        <v>8.1506895161202898E-3</v>
      </c>
      <c r="D77">
        <v>19</v>
      </c>
    </row>
    <row r="78" spans="1:5" x14ac:dyDescent="0.25">
      <c r="A78" s="205" t="s">
        <v>2635</v>
      </c>
      <c r="B78">
        <f>Resistors!E23</f>
        <v>100.01475664</v>
      </c>
      <c r="C78">
        <f>Resistors!F23</f>
        <v>1.9899247282827401E-4</v>
      </c>
      <c r="D78">
        <v>19</v>
      </c>
    </row>
    <row r="80" spans="1:5" ht="13" x14ac:dyDescent="0.3">
      <c r="A80" s="1" t="s">
        <v>2636</v>
      </c>
      <c r="B80" s="1" t="s">
        <v>131</v>
      </c>
      <c r="C80" s="1" t="s">
        <v>2554</v>
      </c>
      <c r="D80" s="1" t="s">
        <v>2555</v>
      </c>
      <c r="E80" s="1" t="s">
        <v>2556</v>
      </c>
    </row>
    <row r="81" spans="1:7" x14ac:dyDescent="0.25">
      <c r="A81" s="205" t="s">
        <v>2637</v>
      </c>
      <c r="B81">
        <f>B65</f>
        <v>10000.0148145</v>
      </c>
      <c r="C81">
        <f>C64</f>
        <v>2.1670077776521301E-3</v>
      </c>
      <c r="D81" s="205">
        <v>19</v>
      </c>
      <c r="E81" s="205" t="s">
        <v>2664</v>
      </c>
    </row>
    <row r="82" spans="1:7" x14ac:dyDescent="0.25">
      <c r="A82" s="205" t="s">
        <v>2638</v>
      </c>
      <c r="B82">
        <f>B64</f>
        <v>9984.9603241700006</v>
      </c>
      <c r="C82">
        <f>C65</f>
        <v>1.86717924517395E-3</v>
      </c>
      <c r="D82">
        <v>19</v>
      </c>
    </row>
    <row r="83" spans="1:7" x14ac:dyDescent="0.25">
      <c r="A83" s="205" t="s">
        <v>2561</v>
      </c>
      <c r="B83">
        <f>Resistors!E48</f>
        <v>10000.134140599999</v>
      </c>
      <c r="C83">
        <f>Resistors!F48</f>
        <v>1.83793682097717E-3</v>
      </c>
      <c r="D83">
        <v>19</v>
      </c>
    </row>
    <row r="84" spans="1:7" x14ac:dyDescent="0.25">
      <c r="A84" s="205" t="s">
        <v>2564</v>
      </c>
      <c r="B84">
        <f>Resistors!E49</f>
        <v>1000015.8202899999</v>
      </c>
      <c r="C84">
        <f>Resistors!F49</f>
        <v>0.54195156694088498</v>
      </c>
      <c r="D84">
        <v>19</v>
      </c>
    </row>
    <row r="85" spans="1:7" x14ac:dyDescent="0.25">
      <c r="A85" s="205" t="s">
        <v>2639</v>
      </c>
      <c r="B85">
        <f>Resistors!E24</f>
        <v>1000001.71749</v>
      </c>
      <c r="C85">
        <f>Resistors!F24</f>
        <v>0.45496099277267599</v>
      </c>
      <c r="D85">
        <v>19</v>
      </c>
    </row>
    <row r="87" spans="1:7" ht="13" x14ac:dyDescent="0.3">
      <c r="A87" s="1" t="s">
        <v>2640</v>
      </c>
      <c r="B87" s="282" t="s">
        <v>2641</v>
      </c>
      <c r="C87" s="283" t="s">
        <v>2642</v>
      </c>
      <c r="D87" s="282" t="s">
        <v>2643</v>
      </c>
      <c r="E87" s="283" t="s">
        <v>2644</v>
      </c>
      <c r="F87" s="86" t="s">
        <v>38</v>
      </c>
      <c r="G87" s="1" t="s">
        <v>71</v>
      </c>
    </row>
    <row r="88" spans="1:7" x14ac:dyDescent="0.25">
      <c r="A88" t="s">
        <v>2645</v>
      </c>
      <c r="B88" s="3">
        <f>Resistors!F59</f>
        <v>2.0799999999999999E-4</v>
      </c>
      <c r="C88" s="5">
        <f>Resistors!G59</f>
        <v>1.0000530000000001</v>
      </c>
      <c r="D88" s="3">
        <f>Resistors!I59</f>
        <v>-2.1200000000000006E-4</v>
      </c>
      <c r="E88" s="5">
        <f>Resistors!J59</f>
        <v>0.99992200000000009</v>
      </c>
      <c r="F88">
        <v>7</v>
      </c>
      <c r="G88" s="60">
        <v>1592</v>
      </c>
    </row>
    <row r="89" spans="1:7" x14ac:dyDescent="0.25">
      <c r="A89" t="s">
        <v>2646</v>
      </c>
      <c r="B89" s="3">
        <f>Resistors!F60</f>
        <v>8.3999999999999995E-5</v>
      </c>
      <c r="C89" s="5">
        <f>Resistors!G60</f>
        <v>1.0000359999999999</v>
      </c>
      <c r="D89" s="3">
        <f>Resistors!I60</f>
        <v>-7.2000000000000015E-5</v>
      </c>
      <c r="E89" s="5">
        <f>Resistors!J60</f>
        <v>0.99994499999999997</v>
      </c>
      <c r="F89">
        <v>7</v>
      </c>
      <c r="G89" s="60">
        <v>160</v>
      </c>
    </row>
    <row r="90" spans="1:7" x14ac:dyDescent="0.25">
      <c r="A90" t="s">
        <v>2647</v>
      </c>
      <c r="B90" s="3">
        <f>Resistors!F61</f>
        <v>6.2500000000000001E-4</v>
      </c>
      <c r="C90" s="5">
        <f>Resistors!G61</f>
        <v>0.99997459999999994</v>
      </c>
      <c r="D90" s="3">
        <f>Resistors!I61</f>
        <v>-6.3600000000000006E-4</v>
      </c>
      <c r="E90" s="5">
        <f>Resistors!J61</f>
        <v>1.0000096000000001</v>
      </c>
      <c r="F90">
        <v>6</v>
      </c>
      <c r="G90" s="60">
        <v>1592</v>
      </c>
    </row>
    <row r="91" spans="1:7" x14ac:dyDescent="0.25">
      <c r="A91" t="s">
        <v>2648</v>
      </c>
      <c r="B91" s="3">
        <f>Resistors!F62</f>
        <v>6.2500000000000001E-4</v>
      </c>
      <c r="C91" s="5">
        <f>Resistors!G62</f>
        <v>0.99996460000000009</v>
      </c>
      <c r="D91" s="3">
        <f>Resistors!I62</f>
        <v>-6.6600000000000003E-4</v>
      </c>
      <c r="E91" s="5">
        <f>Resistors!J62</f>
        <v>1.0000266</v>
      </c>
      <c r="F91">
        <v>6</v>
      </c>
      <c r="G91" s="60">
        <v>160</v>
      </c>
    </row>
    <row r="92" spans="1:7" x14ac:dyDescent="0.25">
      <c r="A92" t="s">
        <v>2649</v>
      </c>
      <c r="B92" s="3">
        <f>Resistors!F63</f>
        <v>5.1E-5</v>
      </c>
      <c r="C92" s="5">
        <f>Resistors!G63</f>
        <v>1.0000178</v>
      </c>
      <c r="D92" s="3">
        <f>Resistors!I63</f>
        <v>-6.2000000000000003E-5</v>
      </c>
      <c r="E92" s="5">
        <f>Resistors!J63</f>
        <v>0.99996669999999999</v>
      </c>
      <c r="F92">
        <v>5</v>
      </c>
      <c r="G92" s="60">
        <v>1592</v>
      </c>
    </row>
    <row r="93" spans="1:7" x14ac:dyDescent="0.25">
      <c r="A93" t="s">
        <v>2650</v>
      </c>
      <c r="B93" s="3">
        <f>Resistors!F64</f>
        <v>5.1E-5</v>
      </c>
      <c r="C93" s="5">
        <f>Resistors!G64</f>
        <v>1.0000191</v>
      </c>
      <c r="D93" s="3">
        <f>Resistors!I64</f>
        <v>-5.9000000000000004E-5</v>
      </c>
      <c r="E93" s="5">
        <f>Resistors!J64</f>
        <v>0.99996829999999992</v>
      </c>
      <c r="F93">
        <v>5</v>
      </c>
      <c r="G93" s="60">
        <v>160</v>
      </c>
    </row>
    <row r="94" spans="1:7" x14ac:dyDescent="0.25">
      <c r="A94" t="s">
        <v>2651</v>
      </c>
      <c r="B94" s="3">
        <f>Resistors!F65</f>
        <v>-2.0100000000000001E-4</v>
      </c>
      <c r="C94" s="5">
        <f>Resistors!G65</f>
        <v>1.0001007</v>
      </c>
      <c r="D94" s="3">
        <f>Resistors!I65</f>
        <v>1.9100000000000001E-4</v>
      </c>
      <c r="E94" s="5">
        <f>Resistors!J65</f>
        <v>0.99988569999999999</v>
      </c>
      <c r="F94">
        <v>4</v>
      </c>
      <c r="G94" s="60">
        <v>1592</v>
      </c>
    </row>
    <row r="95" spans="1:7" x14ac:dyDescent="0.25">
      <c r="A95" t="s">
        <v>2652</v>
      </c>
      <c r="B95" s="3">
        <f>Resistors!F66</f>
        <v>-2.0300000000000006E-4</v>
      </c>
      <c r="C95" s="5">
        <f>Resistors!G66</f>
        <v>1.0000969</v>
      </c>
      <c r="D95" s="3">
        <f>Resistors!I66</f>
        <v>1.9599999999999999E-4</v>
      </c>
      <c r="E95" s="5">
        <f>Resistors!J66</f>
        <v>0.99989549999999994</v>
      </c>
      <c r="F95">
        <v>4</v>
      </c>
      <c r="G95" s="60">
        <v>160</v>
      </c>
    </row>
    <row r="96" spans="1:7" x14ac:dyDescent="0.25">
      <c r="A96" t="s">
        <v>2653</v>
      </c>
      <c r="B96" s="3">
        <f>Resistors!F67</f>
        <v>-2.4609999999999996E-3</v>
      </c>
      <c r="C96" s="5">
        <f>Resistors!G67</f>
        <v>1.0000342</v>
      </c>
      <c r="D96" s="3">
        <f>Resistors!I67</f>
        <v>2.4550000000000002E-3</v>
      </c>
      <c r="E96" s="5">
        <f>Resistors!J67</f>
        <v>0.99994950000000005</v>
      </c>
      <c r="F96">
        <v>3</v>
      </c>
      <c r="G96" s="60">
        <v>1592</v>
      </c>
    </row>
    <row r="97" spans="1:14" x14ac:dyDescent="0.25">
      <c r="A97" t="s">
        <v>2654</v>
      </c>
      <c r="B97" s="3">
        <f>Resistors!F68</f>
        <v>-2.4889999999999999E-3</v>
      </c>
      <c r="C97" s="5">
        <f>Resistors!G68</f>
        <v>1.0000534999999999</v>
      </c>
      <c r="D97" s="3">
        <f>Resistors!I68</f>
        <v>2.4819999999999998E-3</v>
      </c>
      <c r="E97" s="5">
        <f>Resistors!J68</f>
        <v>0.99993489999999996</v>
      </c>
      <c r="F97">
        <v>3</v>
      </c>
      <c r="G97" s="60">
        <v>160</v>
      </c>
    </row>
    <row r="98" spans="1:14" x14ac:dyDescent="0.25">
      <c r="A98" t="s">
        <v>2655</v>
      </c>
      <c r="B98" s="3">
        <f>Resistors!F69</f>
        <v>-3.0600000000000007E-4</v>
      </c>
      <c r="C98" s="5">
        <f>Resistors!G69</f>
        <v>1.0000461</v>
      </c>
      <c r="D98" s="3">
        <f>Resistors!I69</f>
        <v>3.1199999999999999E-4</v>
      </c>
      <c r="E98" s="5">
        <f>Resistors!J69</f>
        <v>0.99997890000000011</v>
      </c>
      <c r="F98">
        <v>2</v>
      </c>
      <c r="G98" s="60">
        <v>1592</v>
      </c>
    </row>
    <row r="99" spans="1:14" x14ac:dyDescent="0.25">
      <c r="A99" t="s">
        <v>2656</v>
      </c>
      <c r="B99" s="3">
        <f>Resistors!F70</f>
        <v>-3.3000000000000003E-5</v>
      </c>
      <c r="C99" s="5">
        <f>Resistors!G70</f>
        <v>1.0000422</v>
      </c>
      <c r="D99" s="3">
        <f>Resistors!I70</f>
        <v>2.8200000000000002E-4</v>
      </c>
      <c r="E99" s="5">
        <f>Resistors!J70</f>
        <v>0.99999989999999994</v>
      </c>
      <c r="F99">
        <v>2</v>
      </c>
      <c r="G99" s="60">
        <v>160</v>
      </c>
    </row>
    <row r="100" spans="1:14" x14ac:dyDescent="0.25">
      <c r="A100" t="s">
        <v>2657</v>
      </c>
      <c r="B100" s="3">
        <f>Resistors!F71</f>
        <v>-1.5000000000000039E-5</v>
      </c>
      <c r="C100" s="5">
        <f>Resistors!G71</f>
        <v>1.0000830000000001</v>
      </c>
      <c r="D100" s="3">
        <f>Resistors!I71</f>
        <v>3.9500000000000001E-4</v>
      </c>
      <c r="E100" s="5">
        <f>Resistors!J71</f>
        <v>0.99997310000000006</v>
      </c>
      <c r="F100">
        <v>1</v>
      </c>
      <c r="G100" s="60">
        <v>1592</v>
      </c>
    </row>
    <row r="101" spans="1:14" x14ac:dyDescent="0.25">
      <c r="A101" t="s">
        <v>2658</v>
      </c>
      <c r="B101" s="3">
        <f>Resistors!F72</f>
        <v>1.9000000000000001E-5</v>
      </c>
      <c r="C101" s="5">
        <f>Resistors!G72</f>
        <v>1.0000311</v>
      </c>
      <c r="D101" s="3">
        <f>Resistors!I72</f>
        <v>3.5E-4</v>
      </c>
      <c r="E101" s="5">
        <f>Resistors!J72</f>
        <v>0.99995290000000003</v>
      </c>
      <c r="F101">
        <v>1</v>
      </c>
      <c r="G101" s="60">
        <v>160</v>
      </c>
    </row>
    <row r="102" spans="1:14" x14ac:dyDescent="0.25">
      <c r="J102" s="205" t="s">
        <v>2775</v>
      </c>
    </row>
    <row r="103" spans="1:14" ht="13" x14ac:dyDescent="0.3">
      <c r="A103" s="1" t="s">
        <v>2727</v>
      </c>
      <c r="B103" s="282" t="s">
        <v>2641</v>
      </c>
      <c r="C103" s="283" t="s">
        <v>2642</v>
      </c>
      <c r="D103" s="282" t="s">
        <v>2643</v>
      </c>
      <c r="E103" s="283" t="s">
        <v>2644</v>
      </c>
      <c r="F103" s="86" t="s">
        <v>38</v>
      </c>
      <c r="G103" s="1" t="s">
        <v>71</v>
      </c>
      <c r="J103" s="241" t="s">
        <v>2774</v>
      </c>
      <c r="K103" s="295"/>
      <c r="L103" s="295"/>
      <c r="M103" s="295"/>
      <c r="N103" s="295"/>
    </row>
    <row r="104" spans="1:14" x14ac:dyDescent="0.25">
      <c r="A104" t="s">
        <v>2645</v>
      </c>
      <c r="B104" s="3">
        <f>L106</f>
        <v>4.9999999999999902E-6</v>
      </c>
      <c r="C104" s="5">
        <f>M106</f>
        <v>1.1000000000000001E-6</v>
      </c>
      <c r="D104" s="3">
        <f>L104</f>
        <v>-9.9999999999999995E-7</v>
      </c>
      <c r="E104" s="5">
        <f>M104</f>
        <v>-8.9999999999999996E-7</v>
      </c>
      <c r="F104">
        <v>7</v>
      </c>
      <c r="G104" s="60">
        <v>1592</v>
      </c>
      <c r="J104" s="295" t="s">
        <v>2728</v>
      </c>
      <c r="K104" s="295" t="s">
        <v>2729</v>
      </c>
      <c r="L104" s="296">
        <v>-9.9999999999999995E-7</v>
      </c>
      <c r="M104" s="296">
        <v>-8.9999999999999996E-7</v>
      </c>
      <c r="N104" s="295" t="s">
        <v>2730</v>
      </c>
    </row>
    <row r="105" spans="1:14" x14ac:dyDescent="0.25">
      <c r="A105" t="s">
        <v>2646</v>
      </c>
      <c r="B105" s="3">
        <f>L107</f>
        <v>3.0000000000000001E-6</v>
      </c>
      <c r="C105" s="5">
        <f>M107</f>
        <v>1.3999999999999999E-6</v>
      </c>
      <c r="D105" s="3">
        <f>L105</f>
        <v>-9.9999999999999995E-7</v>
      </c>
      <c r="E105" s="5">
        <f>M105</f>
        <v>-8.9999999999999996E-7</v>
      </c>
      <c r="F105">
        <v>7</v>
      </c>
      <c r="G105" s="60">
        <v>160</v>
      </c>
      <c r="J105" s="295" t="s">
        <v>2728</v>
      </c>
      <c r="K105" s="295" t="s">
        <v>2729</v>
      </c>
      <c r="L105" s="296">
        <v>-9.9999999999999995E-7</v>
      </c>
      <c r="M105" s="296">
        <v>-8.9999999999999996E-7</v>
      </c>
      <c r="N105" s="295" t="s">
        <v>2731</v>
      </c>
    </row>
    <row r="106" spans="1:14" x14ac:dyDescent="0.25">
      <c r="A106" t="s">
        <v>2647</v>
      </c>
      <c r="B106" s="3">
        <f>L106</f>
        <v>4.9999999999999902E-6</v>
      </c>
      <c r="C106" s="5">
        <f>M106</f>
        <v>1.1000000000000001E-6</v>
      </c>
      <c r="D106" s="3">
        <f>L108</f>
        <v>-9.9999999999999995E-7</v>
      </c>
      <c r="E106" s="5">
        <f>M108</f>
        <v>-7.9999999999999996E-7</v>
      </c>
      <c r="F106">
        <v>6</v>
      </c>
      <c r="G106" s="60">
        <v>1592</v>
      </c>
      <c r="J106" s="295">
        <v>5</v>
      </c>
      <c r="K106" s="295">
        <v>11</v>
      </c>
      <c r="L106" s="296">
        <v>4.9999999999999902E-6</v>
      </c>
      <c r="M106" s="296">
        <v>1.1000000000000001E-6</v>
      </c>
      <c r="N106" s="295" t="s">
        <v>2732</v>
      </c>
    </row>
    <row r="107" spans="1:14" x14ac:dyDescent="0.25">
      <c r="A107" t="s">
        <v>2648</v>
      </c>
      <c r="B107" s="3">
        <f>L107</f>
        <v>3.0000000000000001E-6</v>
      </c>
      <c r="C107" s="5">
        <f>M107</f>
        <v>1.3999999999999999E-6</v>
      </c>
      <c r="D107" s="3">
        <f>L109</f>
        <v>0</v>
      </c>
      <c r="E107" s="5">
        <f>M109</f>
        <v>-9.9999999999999995E-7</v>
      </c>
      <c r="F107">
        <v>6</v>
      </c>
      <c r="G107" s="60">
        <v>160</v>
      </c>
      <c r="J107" s="295">
        <v>3</v>
      </c>
      <c r="K107" s="295">
        <v>14</v>
      </c>
      <c r="L107" s="296">
        <v>3.0000000000000001E-6</v>
      </c>
      <c r="M107" s="296">
        <v>1.3999999999999999E-6</v>
      </c>
      <c r="N107" s="295" t="s">
        <v>2733</v>
      </c>
    </row>
    <row r="108" spans="1:14" x14ac:dyDescent="0.25">
      <c r="A108" t="s">
        <v>2649</v>
      </c>
      <c r="B108" s="3">
        <f>L114</f>
        <v>-9.9999999999999995E-7</v>
      </c>
      <c r="C108" s="5">
        <f>M114</f>
        <v>2.9999999999999999E-7</v>
      </c>
      <c r="D108" s="3">
        <f>L112</f>
        <v>-9.9999999999999995E-7</v>
      </c>
      <c r="E108" s="5">
        <f>M112</f>
        <v>-2.3E-6</v>
      </c>
      <c r="F108">
        <v>5</v>
      </c>
      <c r="G108" s="60">
        <v>1592</v>
      </c>
      <c r="J108" s="295" t="s">
        <v>2728</v>
      </c>
      <c r="K108" s="295" t="s">
        <v>2734</v>
      </c>
      <c r="L108" s="296">
        <v>-9.9999999999999995E-7</v>
      </c>
      <c r="M108" s="296">
        <v>-7.9999999999999996E-7</v>
      </c>
      <c r="N108" s="295" t="s">
        <v>2735</v>
      </c>
    </row>
    <row r="109" spans="1:14" x14ac:dyDescent="0.25">
      <c r="A109" t="s">
        <v>2650</v>
      </c>
      <c r="B109" s="3">
        <f>L115</f>
        <v>1.9999999999999999E-6</v>
      </c>
      <c r="C109" s="5">
        <f>M115</f>
        <v>9.9999999999999995E-8</v>
      </c>
      <c r="D109" s="3">
        <f>L113</f>
        <v>-9.9999999999999995E-7</v>
      </c>
      <c r="E109" s="5">
        <f>M113</f>
        <v>-2.2000000000000001E-6</v>
      </c>
      <c r="F109">
        <v>5</v>
      </c>
      <c r="G109" s="60">
        <v>160</v>
      </c>
      <c r="J109" s="295">
        <v>0</v>
      </c>
      <c r="K109" s="295" t="s">
        <v>2736</v>
      </c>
      <c r="L109" s="295">
        <v>0</v>
      </c>
      <c r="M109" s="296">
        <v>-9.9999999999999995E-7</v>
      </c>
      <c r="N109" s="295" t="s">
        <v>2737</v>
      </c>
    </row>
    <row r="110" spans="1:14" x14ac:dyDescent="0.25">
      <c r="A110" t="s">
        <v>2651</v>
      </c>
      <c r="B110" s="3">
        <f>L118</f>
        <v>0</v>
      </c>
      <c r="C110" s="5">
        <f>M118</f>
        <v>-9.9999999999999995E-8</v>
      </c>
      <c r="D110" s="3">
        <f>L116</f>
        <v>-9.9999999999999995E-7</v>
      </c>
      <c r="E110" s="5">
        <f>M116</f>
        <v>-7.9999999999999996E-7</v>
      </c>
      <c r="F110">
        <v>4</v>
      </c>
      <c r="G110" s="60">
        <v>1592</v>
      </c>
      <c r="J110" s="295">
        <v>0</v>
      </c>
      <c r="K110" s="295">
        <v>11</v>
      </c>
      <c r="L110" s="295">
        <v>0</v>
      </c>
      <c r="M110" s="296">
        <v>1.1000000000000001E-6</v>
      </c>
      <c r="N110" s="295" t="s">
        <v>2738</v>
      </c>
    </row>
    <row r="111" spans="1:14" x14ac:dyDescent="0.25">
      <c r="A111" t="s">
        <v>2652</v>
      </c>
      <c r="B111" s="3">
        <f>L119</f>
        <v>0</v>
      </c>
      <c r="C111" s="5">
        <f>M119</f>
        <v>-2.9999999999999999E-7</v>
      </c>
      <c r="D111" s="3">
        <f>L117</f>
        <v>6.9999999999999999E-6</v>
      </c>
      <c r="E111" s="5">
        <f>M117</f>
        <v>-6.9999999999999997E-7</v>
      </c>
      <c r="F111">
        <v>4</v>
      </c>
      <c r="G111" s="60">
        <v>160</v>
      </c>
      <c r="J111" s="295">
        <v>0</v>
      </c>
      <c r="K111" s="295">
        <v>12</v>
      </c>
      <c r="L111" s="295">
        <v>0</v>
      </c>
      <c r="M111" s="296">
        <v>1.1999999999999999E-6</v>
      </c>
      <c r="N111" s="295" t="s">
        <v>2739</v>
      </c>
    </row>
    <row r="112" spans="1:14" x14ac:dyDescent="0.25">
      <c r="A112" t="s">
        <v>2653</v>
      </c>
      <c r="B112" s="3">
        <f>L122</f>
        <v>0</v>
      </c>
      <c r="C112" s="5">
        <f>M122</f>
        <v>-2.9999999999999999E-7</v>
      </c>
      <c r="D112" s="3">
        <f>L120</f>
        <v>-9.9999999999999995E-7</v>
      </c>
      <c r="E112" s="5">
        <f>M120</f>
        <v>-4.9999999999999797E-7</v>
      </c>
      <c r="F112">
        <v>3</v>
      </c>
      <c r="G112" s="60">
        <v>1592</v>
      </c>
      <c r="J112" s="295" t="s">
        <v>2728</v>
      </c>
      <c r="K112" s="295" t="s">
        <v>2740</v>
      </c>
      <c r="L112" s="296">
        <v>-9.9999999999999995E-7</v>
      </c>
      <c r="M112" s="296">
        <v>-2.3E-6</v>
      </c>
      <c r="N112" s="295" t="s">
        <v>2741</v>
      </c>
    </row>
    <row r="113" spans="1:14" x14ac:dyDescent="0.25">
      <c r="A113" t="s">
        <v>2654</v>
      </c>
      <c r="B113" s="3">
        <f>L123</f>
        <v>9.9999999999999995E-7</v>
      </c>
      <c r="C113" s="5">
        <f>M123</f>
        <v>-3.9999999999999998E-7</v>
      </c>
      <c r="D113" s="3">
        <f>L121</f>
        <v>4.9999999999999902E-6</v>
      </c>
      <c r="E113" s="5">
        <f>M121</f>
        <v>-9.9999999999999995E-8</v>
      </c>
      <c r="F113">
        <v>3</v>
      </c>
      <c r="G113" s="60">
        <v>160</v>
      </c>
      <c r="J113" s="295" t="s">
        <v>2728</v>
      </c>
      <c r="K113" s="295" t="s">
        <v>2742</v>
      </c>
      <c r="L113" s="296">
        <v>-9.9999999999999995E-7</v>
      </c>
      <c r="M113" s="296">
        <v>-2.2000000000000001E-6</v>
      </c>
      <c r="N113" s="295" t="s">
        <v>2743</v>
      </c>
    </row>
    <row r="114" spans="1:14" x14ac:dyDescent="0.25">
      <c r="A114" t="s">
        <v>2655</v>
      </c>
      <c r="B114" s="3">
        <f>L126</f>
        <v>0</v>
      </c>
      <c r="C114" s="5">
        <f>M126</f>
        <v>-9.9999999999999995E-8</v>
      </c>
      <c r="D114" s="3">
        <f>L124</f>
        <v>-9.9999999999999995E-7</v>
      </c>
      <c r="E114" s="5">
        <f>M124</f>
        <v>2.0999999999999998E-6</v>
      </c>
      <c r="F114">
        <v>2</v>
      </c>
      <c r="G114" s="60">
        <v>1592</v>
      </c>
      <c r="J114" s="295" t="s">
        <v>2744</v>
      </c>
      <c r="K114" s="295">
        <v>3</v>
      </c>
      <c r="L114" s="296">
        <v>-9.9999999999999995E-7</v>
      </c>
      <c r="M114" s="296">
        <v>2.9999999999999999E-7</v>
      </c>
      <c r="N114" s="295" t="s">
        <v>2745</v>
      </c>
    </row>
    <row r="115" spans="1:14" x14ac:dyDescent="0.25">
      <c r="A115" t="s">
        <v>2656</v>
      </c>
      <c r="B115" s="3">
        <f>L127</f>
        <v>9.9999999999999995E-7</v>
      </c>
      <c r="C115" s="5">
        <f>M127</f>
        <v>-1.9999999999999999E-7</v>
      </c>
      <c r="D115" s="3">
        <f>L125</f>
        <v>0</v>
      </c>
      <c r="E115" s="5">
        <f>M125</f>
        <v>-3.9999999999999998E-6</v>
      </c>
      <c r="F115">
        <v>2</v>
      </c>
      <c r="G115" s="60">
        <v>160</v>
      </c>
      <c r="J115" s="295">
        <v>2</v>
      </c>
      <c r="K115" s="295">
        <v>1</v>
      </c>
      <c r="L115" s="296">
        <v>1.9999999999999999E-6</v>
      </c>
      <c r="M115" s="296">
        <v>9.9999999999999995E-8</v>
      </c>
      <c r="N115" s="295" t="s">
        <v>2746</v>
      </c>
    </row>
    <row r="116" spans="1:14" x14ac:dyDescent="0.25">
      <c r="A116" t="s">
        <v>2657</v>
      </c>
      <c r="B116" s="3">
        <f>L130</f>
        <v>0</v>
      </c>
      <c r="C116" s="5">
        <f>M130</f>
        <v>-9.9999999999999995E-8</v>
      </c>
      <c r="D116" s="3">
        <f>L128</f>
        <v>-2.1999999999999999E-5</v>
      </c>
      <c r="E116" s="5">
        <f>M128</f>
        <v>9.8999999999999899E-6</v>
      </c>
      <c r="F116">
        <v>1</v>
      </c>
      <c r="G116" s="60">
        <v>1592</v>
      </c>
      <c r="J116" s="295" t="s">
        <v>2744</v>
      </c>
      <c r="K116" s="295" t="s">
        <v>2734</v>
      </c>
      <c r="L116" s="296">
        <v>-9.9999999999999995E-7</v>
      </c>
      <c r="M116" s="296">
        <v>-7.9999999999999996E-7</v>
      </c>
      <c r="N116" s="295" t="s">
        <v>2747</v>
      </c>
    </row>
    <row r="117" spans="1:14" x14ac:dyDescent="0.25">
      <c r="A117" t="s">
        <v>2658</v>
      </c>
      <c r="B117" s="3">
        <f>L131</f>
        <v>0</v>
      </c>
      <c r="C117" s="5">
        <f>M131</f>
        <v>-2.9999999999999999E-7</v>
      </c>
      <c r="D117" s="3">
        <f>L129</f>
        <v>0</v>
      </c>
      <c r="E117" s="5">
        <f>M129</f>
        <v>1.9899999999999999E-5</v>
      </c>
      <c r="F117">
        <v>1</v>
      </c>
      <c r="G117" s="60">
        <v>160</v>
      </c>
      <c r="J117" s="295">
        <v>7</v>
      </c>
      <c r="K117" s="295" t="s">
        <v>2748</v>
      </c>
      <c r="L117" s="296">
        <v>6.9999999999999999E-6</v>
      </c>
      <c r="M117" s="296">
        <v>-6.9999999999999997E-7</v>
      </c>
      <c r="N117" s="295" t="s">
        <v>2749</v>
      </c>
    </row>
    <row r="118" spans="1:14" x14ac:dyDescent="0.25">
      <c r="J118" s="295">
        <v>0</v>
      </c>
      <c r="K118" s="295" t="s">
        <v>2750</v>
      </c>
      <c r="L118" s="295">
        <v>0</v>
      </c>
      <c r="M118" s="296">
        <v>-9.9999999999999995E-8</v>
      </c>
      <c r="N118" s="295" t="s">
        <v>2751</v>
      </c>
    </row>
    <row r="119" spans="1:14" x14ac:dyDescent="0.25">
      <c r="J119" s="295">
        <v>0</v>
      </c>
      <c r="K119" s="295" t="s">
        <v>2752</v>
      </c>
      <c r="L119" s="295">
        <v>0</v>
      </c>
      <c r="M119" s="296">
        <v>-2.9999999999999999E-7</v>
      </c>
      <c r="N119" s="295" t="s">
        <v>2753</v>
      </c>
    </row>
    <row r="120" spans="1:14" x14ac:dyDescent="0.25">
      <c r="J120" s="295" t="s">
        <v>2728</v>
      </c>
      <c r="K120" s="295" t="s">
        <v>2754</v>
      </c>
      <c r="L120" s="296">
        <v>-9.9999999999999995E-7</v>
      </c>
      <c r="M120" s="296">
        <v>-4.9999999999999797E-7</v>
      </c>
      <c r="N120" s="295" t="s">
        <v>2755</v>
      </c>
    </row>
    <row r="121" spans="1:14" x14ac:dyDescent="0.25">
      <c r="J121" s="295">
        <v>5</v>
      </c>
      <c r="K121" s="295" t="s">
        <v>2750</v>
      </c>
      <c r="L121" s="296">
        <v>4.9999999999999902E-6</v>
      </c>
      <c r="M121" s="296">
        <v>-9.9999999999999995E-8</v>
      </c>
      <c r="N121" s="295" t="s">
        <v>2756</v>
      </c>
    </row>
    <row r="122" spans="1:14" x14ac:dyDescent="0.25">
      <c r="J122" s="295">
        <v>0</v>
      </c>
      <c r="K122" s="295" t="s">
        <v>2752</v>
      </c>
      <c r="L122" s="295">
        <v>0</v>
      </c>
      <c r="M122" s="296">
        <v>-2.9999999999999999E-7</v>
      </c>
      <c r="N122" s="295" t="s">
        <v>2757</v>
      </c>
    </row>
    <row r="123" spans="1:14" x14ac:dyDescent="0.25">
      <c r="J123" s="295">
        <v>1</v>
      </c>
      <c r="K123" s="295" t="s">
        <v>2758</v>
      </c>
      <c r="L123" s="296">
        <v>9.9999999999999995E-7</v>
      </c>
      <c r="M123" s="296">
        <v>-3.9999999999999998E-7</v>
      </c>
      <c r="N123" s="295" t="s">
        <v>2759</v>
      </c>
    </row>
    <row r="124" spans="1:14" x14ac:dyDescent="0.25">
      <c r="J124" s="295" t="s">
        <v>2728</v>
      </c>
      <c r="K124" s="295">
        <v>21</v>
      </c>
      <c r="L124" s="296">
        <v>-9.9999999999999995E-7</v>
      </c>
      <c r="M124" s="296">
        <v>2.0999999999999998E-6</v>
      </c>
      <c r="N124" s="295" t="s">
        <v>2760</v>
      </c>
    </row>
    <row r="125" spans="1:14" x14ac:dyDescent="0.25">
      <c r="J125" s="295">
        <v>0</v>
      </c>
      <c r="K125" s="295" t="s">
        <v>2761</v>
      </c>
      <c r="L125" s="295">
        <v>0</v>
      </c>
      <c r="M125" s="296">
        <v>-3.9999999999999998E-6</v>
      </c>
      <c r="N125" s="295" t="s">
        <v>2762</v>
      </c>
    </row>
    <row r="126" spans="1:14" x14ac:dyDescent="0.25">
      <c r="J126" s="295">
        <v>0</v>
      </c>
      <c r="K126" s="295" t="s">
        <v>2763</v>
      </c>
      <c r="L126" s="295">
        <v>0</v>
      </c>
      <c r="M126" s="296">
        <v>-9.9999999999999995E-8</v>
      </c>
      <c r="N126" s="295" t="s">
        <v>2764</v>
      </c>
    </row>
    <row r="127" spans="1:14" x14ac:dyDescent="0.25">
      <c r="J127" s="295">
        <v>1</v>
      </c>
      <c r="K127" s="295" t="s">
        <v>2765</v>
      </c>
      <c r="L127" s="296">
        <v>9.9999999999999995E-7</v>
      </c>
      <c r="M127" s="296">
        <v>-1.9999999999999999E-7</v>
      </c>
      <c r="N127" s="295" t="s">
        <v>2766</v>
      </c>
    </row>
    <row r="128" spans="1:14" x14ac:dyDescent="0.25">
      <c r="J128" s="295" t="s">
        <v>2767</v>
      </c>
      <c r="K128" s="295" t="s">
        <v>2768</v>
      </c>
      <c r="L128" s="296">
        <v>-2.1999999999999999E-5</v>
      </c>
      <c r="M128" s="296">
        <v>9.8999999999999899E-6</v>
      </c>
      <c r="N128" s="295" t="s">
        <v>2769</v>
      </c>
    </row>
    <row r="129" spans="1:14" x14ac:dyDescent="0.25">
      <c r="J129" s="295">
        <v>0</v>
      </c>
      <c r="K129" s="295" t="s">
        <v>2770</v>
      </c>
      <c r="L129" s="295">
        <v>0</v>
      </c>
      <c r="M129" s="296">
        <v>1.9899999999999999E-5</v>
      </c>
      <c r="N129" s="295" t="s">
        <v>2771</v>
      </c>
    </row>
    <row r="130" spans="1:14" x14ac:dyDescent="0.25">
      <c r="J130" s="295">
        <v>0</v>
      </c>
      <c r="K130" s="295" t="s">
        <v>2763</v>
      </c>
      <c r="L130" s="295">
        <v>0</v>
      </c>
      <c r="M130" s="296">
        <v>-9.9999999999999995E-8</v>
      </c>
      <c r="N130" s="295" t="s">
        <v>2772</v>
      </c>
    </row>
    <row r="131" spans="1:14" x14ac:dyDescent="0.25">
      <c r="J131" s="295">
        <v>0</v>
      </c>
      <c r="K131" s="295" t="s">
        <v>2752</v>
      </c>
      <c r="L131" s="295">
        <v>0</v>
      </c>
      <c r="M131" s="296">
        <v>-2.9999999999999999E-7</v>
      </c>
      <c r="N131" s="295" t="s">
        <v>2773</v>
      </c>
    </row>
    <row r="132" spans="1:14" ht="13" x14ac:dyDescent="0.3">
      <c r="A132" s="1" t="s">
        <v>64</v>
      </c>
      <c r="B132" s="1" t="s">
        <v>2571</v>
      </c>
      <c r="C132" s="1" t="s">
        <v>2572</v>
      </c>
      <c r="D132" s="1" t="s">
        <v>2776</v>
      </c>
      <c r="E132" s="1" t="s">
        <v>2777</v>
      </c>
      <c r="F132" s="1" t="s">
        <v>38</v>
      </c>
      <c r="G132" s="1" t="s">
        <v>71</v>
      </c>
    </row>
    <row r="133" spans="1:14" x14ac:dyDescent="0.25">
      <c r="A133" s="205" t="s">
        <v>2778</v>
      </c>
      <c r="B133">
        <f>'L and C'!F6</f>
        <v>1.0002519999999999</v>
      </c>
      <c r="C133">
        <f>'L and C'!G6</f>
        <v>8.6208599999999996E-2</v>
      </c>
      <c r="D133">
        <f>'L and C'!H6</f>
        <v>1.4270000000000001E-3</v>
      </c>
      <c r="E133">
        <f>'L and C'!I6</f>
        <v>4.3309999999999998E-3</v>
      </c>
      <c r="F133" t="str">
        <f>'L and C'!B6</f>
        <v>1Z</v>
      </c>
      <c r="G133">
        <f>'L and C'!E6</f>
        <v>1000</v>
      </c>
    </row>
    <row r="134" spans="1:14" x14ac:dyDescent="0.25">
      <c r="A134" s="205" t="s">
        <v>2779</v>
      </c>
      <c r="B134">
        <f>'L and C'!F7</f>
        <v>0.99875099999999994</v>
      </c>
      <c r="C134">
        <f>'L and C'!G7</f>
        <v>8.6265499999999995E-2</v>
      </c>
      <c r="D134">
        <f>'L and C'!H7</f>
        <v>2.1999999999999999E-5</v>
      </c>
      <c r="E134">
        <f>'L and C'!I7</f>
        <v>9.0109999999999995E-4</v>
      </c>
      <c r="F134" t="str">
        <f>'L and C'!B7</f>
        <v>2Z</v>
      </c>
      <c r="G134">
        <f>'L and C'!E7</f>
        <v>1000</v>
      </c>
    </row>
    <row r="135" spans="1:14" x14ac:dyDescent="0.25">
      <c r="A135" s="205" t="s">
        <v>2780</v>
      </c>
      <c r="B135">
        <f>'L and C'!F8</f>
        <v>0.99975099999999995</v>
      </c>
      <c r="C135">
        <f>'L and C'!G8</f>
        <v>8.5220199999999996E-2</v>
      </c>
      <c r="D135">
        <f>'L and C'!H8</f>
        <v>9.9999999999999995E-7</v>
      </c>
      <c r="E135">
        <f>'L and C'!I8</f>
        <v>3.2529999999999999E-4</v>
      </c>
      <c r="F135" t="str">
        <f>'L and C'!B8</f>
        <v>3Z</v>
      </c>
      <c r="G135">
        <f>'L and C'!E8</f>
        <v>1000</v>
      </c>
    </row>
    <row r="136" spans="1:14" x14ac:dyDescent="0.25">
      <c r="A136" s="205" t="s">
        <v>2781</v>
      </c>
      <c r="B136">
        <f>'L and C'!F9</f>
        <v>0.99960499999999997</v>
      </c>
      <c r="C136">
        <f>'L and C'!G9</f>
        <v>8.3491499999999996E-2</v>
      </c>
      <c r="D136">
        <f>'L and C'!H9</f>
        <v>0</v>
      </c>
      <c r="E136">
        <f>'L and C'!I9</f>
        <v>1.0699999999999999E-5</v>
      </c>
      <c r="F136" t="str">
        <f>'L and C'!B9</f>
        <v>4Z</v>
      </c>
      <c r="G136">
        <f>'L and C'!E9</f>
        <v>1000</v>
      </c>
    </row>
    <row r="137" spans="1:14" x14ac:dyDescent="0.25">
      <c r="A137" s="205" t="s">
        <v>2782</v>
      </c>
      <c r="B137">
        <f>'L and C'!F10</f>
        <v>1.0020439999999999</v>
      </c>
      <c r="C137">
        <f>'L and C'!G10</f>
        <v>6.4334100000000005E-2</v>
      </c>
      <c r="D137">
        <f>'L and C'!H10</f>
        <v>0</v>
      </c>
      <c r="E137">
        <f>'L and C'!I10</f>
        <v>-1.3000000000000011E-6</v>
      </c>
      <c r="F137" t="str">
        <f>'L and C'!B10</f>
        <v>5Z</v>
      </c>
      <c r="G137">
        <f>'L and C'!E10</f>
        <v>1000</v>
      </c>
    </row>
    <row r="138" spans="1:14" x14ac:dyDescent="0.25">
      <c r="A138" s="205"/>
    </row>
    <row r="139" spans="1:14" ht="13" x14ac:dyDescent="0.3">
      <c r="A139" s="1" t="s">
        <v>72</v>
      </c>
      <c r="B139" s="1" t="s">
        <v>2571</v>
      </c>
      <c r="C139" s="1" t="s">
        <v>2572</v>
      </c>
      <c r="D139" s="1" t="s">
        <v>2776</v>
      </c>
      <c r="E139" s="1" t="s">
        <v>2777</v>
      </c>
      <c r="F139" s="1" t="s">
        <v>38</v>
      </c>
      <c r="G139" s="1" t="s">
        <v>71</v>
      </c>
    </row>
    <row r="140" spans="1:14" x14ac:dyDescent="0.25">
      <c r="A140" s="205" t="s">
        <v>2783</v>
      </c>
      <c r="B140">
        <f>'L and C'!F17</f>
        <v>1.0013840000000001</v>
      </c>
      <c r="C140">
        <f>'L and C'!G17</f>
        <v>5.5361999999999998E-3</v>
      </c>
      <c r="D140">
        <v>0</v>
      </c>
      <c r="E140">
        <v>0</v>
      </c>
      <c r="F140" t="str">
        <f>'L and C'!B17</f>
        <v>4Y</v>
      </c>
      <c r="G140">
        <f>'L and C'!E17</f>
        <v>1000</v>
      </c>
      <c r="J140" t="s">
        <v>2792</v>
      </c>
    </row>
    <row r="141" spans="1:14" x14ac:dyDescent="0.25">
      <c r="A141" s="205" t="s">
        <v>2784</v>
      </c>
      <c r="B141">
        <f>'L and C'!F18</f>
        <v>1.003638</v>
      </c>
      <c r="C141">
        <f>'L and C'!G18</f>
        <v>1.1206600000000001E-2</v>
      </c>
      <c r="D141">
        <v>0</v>
      </c>
      <c r="E141">
        <v>0</v>
      </c>
      <c r="F141" t="str">
        <f>'L and C'!B18</f>
        <v>3Y</v>
      </c>
      <c r="G141">
        <f>'L and C'!E18</f>
        <v>1000</v>
      </c>
    </row>
    <row r="142" spans="1:14" x14ac:dyDescent="0.25">
      <c r="A142" s="205" t="s">
        <v>2785</v>
      </c>
      <c r="B142">
        <f>'L and C'!F19</f>
        <v>0.99987400000000004</v>
      </c>
      <c r="C142">
        <f>'L and C'!G19</f>
        <v>-1.4000000000000001E-5</v>
      </c>
      <c r="D142">
        <v>0</v>
      </c>
      <c r="E142">
        <v>0</v>
      </c>
      <c r="F142" t="str">
        <f>'L and C'!B19</f>
        <v>6Y</v>
      </c>
      <c r="G142">
        <f>'L and C'!E19</f>
        <v>1592</v>
      </c>
    </row>
    <row r="143" spans="1:14" x14ac:dyDescent="0.25">
      <c r="A143" s="205" t="s">
        <v>2786</v>
      </c>
      <c r="B143">
        <f>'L and C'!F20</f>
        <v>0.99985599999999997</v>
      </c>
      <c r="C143">
        <f>'L and C'!G20</f>
        <v>-1.3000000000000004E-5</v>
      </c>
      <c r="D143">
        <v>0</v>
      </c>
      <c r="E143">
        <v>0</v>
      </c>
      <c r="F143" t="str">
        <f>'L and C'!B20</f>
        <v>6Y</v>
      </c>
      <c r="G143">
        <f>'L and C'!E20</f>
        <v>1592</v>
      </c>
    </row>
    <row r="144" spans="1:14" x14ac:dyDescent="0.25">
      <c r="A144" s="205" t="s">
        <v>2787</v>
      </c>
      <c r="B144">
        <f>'L and C'!F21</f>
        <v>0.99991799999999997</v>
      </c>
      <c r="C144">
        <f>'L and C'!G21</f>
        <v>2.5900000000000001E-4</v>
      </c>
      <c r="D144">
        <v>0</v>
      </c>
      <c r="E144">
        <v>0</v>
      </c>
      <c r="F144" t="str">
        <f>'L and C'!B21</f>
        <v>7Y</v>
      </c>
      <c r="G144">
        <f>'L and C'!E21</f>
        <v>1592</v>
      </c>
    </row>
    <row r="145" spans="1:7" x14ac:dyDescent="0.25">
      <c r="A145" s="205" t="s">
        <v>2788</v>
      </c>
      <c r="B145">
        <f>'L and C'!F22</f>
        <v>0.98236400000000001</v>
      </c>
      <c r="C145">
        <f>'L and C'!G22</f>
        <v>-3.112920000000001E-2</v>
      </c>
      <c r="D145">
        <v>0</v>
      </c>
      <c r="E145">
        <v>0</v>
      </c>
      <c r="F145" t="str">
        <f>'L and C'!B22</f>
        <v>3Y</v>
      </c>
      <c r="G145">
        <f>'L and C'!E22</f>
        <v>1000</v>
      </c>
    </row>
    <row r="146" spans="1:7" x14ac:dyDescent="0.25">
      <c r="A146" s="205" t="s">
        <v>2789</v>
      </c>
      <c r="B146">
        <f>'L and C'!F23</f>
        <v>0.99746500000000005</v>
      </c>
      <c r="C146">
        <f>'L and C'!G23</f>
        <v>-8.7993000000000099E-3</v>
      </c>
      <c r="D146">
        <v>0</v>
      </c>
      <c r="E146">
        <v>0</v>
      </c>
      <c r="F146" t="str">
        <f>'L and C'!B23</f>
        <v>4Y</v>
      </c>
      <c r="G146">
        <f>'L and C'!E23</f>
        <v>1000</v>
      </c>
    </row>
    <row r="147" spans="1:7" x14ac:dyDescent="0.25">
      <c r="A147" s="205" t="s">
        <v>2790</v>
      </c>
      <c r="B147">
        <f>'L and C'!F24</f>
        <v>1.0053719999999999</v>
      </c>
      <c r="C147">
        <f>'L and C'!G24</f>
        <v>2.1069999999999943E-4</v>
      </c>
      <c r="D147">
        <v>0</v>
      </c>
      <c r="E147">
        <v>0</v>
      </c>
      <c r="F147" t="str">
        <f>'L and C'!B24</f>
        <v>5Y</v>
      </c>
      <c r="G147">
        <f>'L and C'!E24</f>
        <v>1000</v>
      </c>
    </row>
    <row r="148" spans="1:7" x14ac:dyDescent="0.25">
      <c r="A148" s="205" t="s">
        <v>2791</v>
      </c>
      <c r="B148">
        <f>'L and C'!F25</f>
        <v>4.8450000000000003E-3</v>
      </c>
      <c r="C148">
        <f>'L and C'!G25</f>
        <v>1.9700000000000001E-5</v>
      </c>
      <c r="D148">
        <v>0</v>
      </c>
      <c r="E148">
        <v>0</v>
      </c>
      <c r="F148" t="str">
        <f>'L and C'!B25</f>
        <v>5Y</v>
      </c>
      <c r="G148">
        <f>'L and C'!E25</f>
        <v>1000</v>
      </c>
    </row>
  </sheetData>
  <phoneticPr fontId="25" type="noConversion"/>
  <pageMargins left="0.7" right="0.7" top="0.75" bottom="0.75" header="0.3" footer="0.3"/>
  <pageSetup paperSize="9" scale="73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39"/>
  <sheetViews>
    <sheetView workbookViewId="0">
      <selection activeCell="K41" sqref="K41"/>
    </sheetView>
  </sheetViews>
  <sheetFormatPr defaultRowHeight="12.5" x14ac:dyDescent="0.25"/>
  <cols>
    <col min="2" max="2" width="11.453125" customWidth="1"/>
    <col min="4" max="4" width="16" customWidth="1"/>
    <col min="5" max="5" width="18.54296875" customWidth="1"/>
    <col min="7" max="7" width="15" customWidth="1"/>
    <col min="9" max="9" width="16.81640625" customWidth="1"/>
    <col min="10" max="10" width="18" customWidth="1"/>
  </cols>
  <sheetData>
    <row r="1" spans="2:6" ht="13" thickBot="1" x14ac:dyDescent="0.3">
      <c r="B1" t="s">
        <v>193</v>
      </c>
    </row>
    <row r="2" spans="2:6" ht="13.5" thickTop="1" x14ac:dyDescent="0.3">
      <c r="B2" s="81" t="s">
        <v>194</v>
      </c>
      <c r="C2" s="82" t="s">
        <v>131</v>
      </c>
      <c r="D2" s="83"/>
      <c r="E2" s="84"/>
    </row>
    <row r="3" spans="2:6" ht="13" x14ac:dyDescent="0.3">
      <c r="B3" s="85"/>
      <c r="C3" s="86" t="s">
        <v>76</v>
      </c>
      <c r="D3" s="94"/>
      <c r="E3" s="87"/>
    </row>
    <row r="4" spans="2:6" ht="13" x14ac:dyDescent="0.3">
      <c r="B4" s="85" t="s">
        <v>195</v>
      </c>
      <c r="C4" s="88">
        <f>HLOOKUP(B4,Calibration!$A$57:$F$58,2,FALSE)</f>
        <v>170.85000000016669</v>
      </c>
      <c r="D4" s="89"/>
      <c r="E4" s="87"/>
    </row>
    <row r="5" spans="2:6" ht="13" x14ac:dyDescent="0.3">
      <c r="B5" s="85" t="s">
        <v>196</v>
      </c>
      <c r="C5" s="88">
        <f>HLOOKUP(B5,Calibration!$A$57:$F$58,2,FALSE)</f>
        <v>53.776447386466586</v>
      </c>
      <c r="D5" s="89"/>
      <c r="E5" s="87"/>
    </row>
    <row r="6" spans="2:6" ht="13" x14ac:dyDescent="0.3">
      <c r="B6" s="85" t="s">
        <v>197</v>
      </c>
      <c r="C6" s="88">
        <f>HLOOKUP(B6,Calibration!$A$57:$F$58,2,FALSE)</f>
        <v>-5.5290276127495375</v>
      </c>
      <c r="D6" s="89"/>
      <c r="E6" s="87"/>
    </row>
    <row r="7" spans="2:6" ht="13" x14ac:dyDescent="0.3">
      <c r="B7" s="85" t="s">
        <v>198</v>
      </c>
      <c r="C7" s="88">
        <f>HLOOKUP(B7,Calibration!$A$57:$F$58,2,FALSE)</f>
        <v>73.51044739634105</v>
      </c>
      <c r="D7" s="89"/>
      <c r="E7" s="87"/>
    </row>
    <row r="8" spans="2:6" ht="13" x14ac:dyDescent="0.3">
      <c r="B8" s="85" t="s">
        <v>199</v>
      </c>
      <c r="C8" s="88">
        <f>HLOOKUP(B8,Calibration!$A$57:$F$58,2,FALSE)</f>
        <v>16.068112612899199</v>
      </c>
      <c r="D8" s="89"/>
      <c r="E8" s="87"/>
    </row>
    <row r="9" spans="2:6" ht="13" x14ac:dyDescent="0.3">
      <c r="B9" s="85" t="s">
        <v>200</v>
      </c>
      <c r="C9" s="88">
        <f>HLOOKUP(B9,Calibration!$A$57:$F$58,2,FALSE)</f>
        <v>10.05972261280963</v>
      </c>
      <c r="D9" s="89"/>
      <c r="E9" s="87" t="s">
        <v>212</v>
      </c>
    </row>
    <row r="10" spans="2:6" x14ac:dyDescent="0.25">
      <c r="B10" s="90"/>
      <c r="E10" s="87" t="s">
        <v>213</v>
      </c>
    </row>
    <row r="11" spans="2:6" x14ac:dyDescent="0.25">
      <c r="B11" s="90" t="s">
        <v>206</v>
      </c>
      <c r="E11" s="87" t="s">
        <v>214</v>
      </c>
    </row>
    <row r="12" spans="2:6" ht="13" x14ac:dyDescent="0.3">
      <c r="B12" s="90" t="s">
        <v>201</v>
      </c>
      <c r="D12" s="1" t="s">
        <v>217</v>
      </c>
      <c r="E12" s="155">
        <v>10.97</v>
      </c>
      <c r="F12" s="205" t="s">
        <v>1821</v>
      </c>
    </row>
    <row r="13" spans="2:6" x14ac:dyDescent="0.25">
      <c r="B13" s="90"/>
      <c r="E13" s="87"/>
    </row>
    <row r="14" spans="2:6" x14ac:dyDescent="0.25">
      <c r="B14" s="90" t="s">
        <v>227</v>
      </c>
      <c r="E14" s="87" t="s">
        <v>202</v>
      </c>
    </row>
    <row r="15" spans="2:6" x14ac:dyDescent="0.25">
      <c r="B15" s="90" t="s">
        <v>207</v>
      </c>
      <c r="E15" s="87"/>
    </row>
    <row r="16" spans="2:6" x14ac:dyDescent="0.25">
      <c r="B16" s="90"/>
      <c r="E16" s="87"/>
    </row>
    <row r="17" spans="2:10" x14ac:dyDescent="0.25">
      <c r="B17" s="90" t="s">
        <v>203</v>
      </c>
      <c r="E17" s="87"/>
    </row>
    <row r="18" spans="2:10" x14ac:dyDescent="0.25">
      <c r="B18" s="90" t="s">
        <v>204</v>
      </c>
      <c r="E18" s="87"/>
    </row>
    <row r="19" spans="2:10" ht="13" thickBot="1" x14ac:dyDescent="0.3">
      <c r="B19" s="91" t="s">
        <v>205</v>
      </c>
      <c r="C19" s="92"/>
      <c r="D19" s="92"/>
      <c r="E19" s="93"/>
    </row>
    <row r="20" spans="2:10" ht="13" thickTop="1" x14ac:dyDescent="0.25"/>
    <row r="21" spans="2:10" ht="13" x14ac:dyDescent="0.3">
      <c r="B21" s="95" t="s">
        <v>215</v>
      </c>
      <c r="C21" s="80"/>
      <c r="D21" s="80"/>
      <c r="E21" s="8"/>
      <c r="G21" s="95" t="s">
        <v>216</v>
      </c>
      <c r="H21" s="80"/>
      <c r="I21" s="80"/>
      <c r="J21" s="8"/>
    </row>
    <row r="22" spans="2:10" x14ac:dyDescent="0.25">
      <c r="B22" s="96"/>
      <c r="D22" t="s">
        <v>74</v>
      </c>
      <c r="E22" s="7" t="s">
        <v>75</v>
      </c>
      <c r="G22" s="96"/>
      <c r="I22" t="s">
        <v>74</v>
      </c>
      <c r="J22" s="7" t="s">
        <v>75</v>
      </c>
    </row>
    <row r="23" spans="2:10" x14ac:dyDescent="0.25">
      <c r="B23" s="97"/>
      <c r="E23" s="98"/>
      <c r="G23" s="97"/>
      <c r="J23" s="98"/>
    </row>
    <row r="24" spans="2:10" ht="13" x14ac:dyDescent="0.3">
      <c r="B24" s="99" t="s">
        <v>38</v>
      </c>
      <c r="C24" s="100"/>
      <c r="D24" s="101" t="s">
        <v>208</v>
      </c>
      <c r="E24" s="98" t="s">
        <v>209</v>
      </c>
      <c r="G24" s="99" t="s">
        <v>38</v>
      </c>
      <c r="H24" s="100"/>
      <c r="I24" s="101" t="s">
        <v>208</v>
      </c>
      <c r="J24" s="98" t="s">
        <v>209</v>
      </c>
    </row>
    <row r="25" spans="2:10" ht="13" x14ac:dyDescent="0.3">
      <c r="B25" s="99"/>
      <c r="C25" s="100"/>
      <c r="D25" s="100" t="s">
        <v>76</v>
      </c>
      <c r="E25" s="102" t="s">
        <v>76</v>
      </c>
      <c r="G25" s="99"/>
      <c r="H25" s="100"/>
      <c r="I25" s="100" t="s">
        <v>76</v>
      </c>
      <c r="J25" s="102" t="s">
        <v>76</v>
      </c>
    </row>
    <row r="26" spans="2:10" x14ac:dyDescent="0.25">
      <c r="B26" s="103" t="s">
        <v>66</v>
      </c>
      <c r="C26" s="4"/>
      <c r="D26" s="104">
        <f>R_4A-G_2+C_1</f>
        <v>214.56672477382364</v>
      </c>
      <c r="E26" s="105">
        <f>R_4A-G_2+G_1</f>
        <v>59.784837386556156</v>
      </c>
      <c r="G26" s="103" t="s">
        <v>66</v>
      </c>
      <c r="H26" s="4"/>
      <c r="I26" s="104">
        <f>R_4A-G_2+C_1+correction_c</f>
        <v>225.53672477382364</v>
      </c>
      <c r="J26" s="105">
        <f>R_4A-G_2+G_1+correction_c</f>
        <v>70.754837386556162</v>
      </c>
    </row>
    <row r="27" spans="2:10" x14ac:dyDescent="0.25">
      <c r="B27" s="103" t="s">
        <v>44</v>
      </c>
      <c r="C27" s="4"/>
      <c r="D27" s="104">
        <f>R_4A-G_2+C_1</f>
        <v>214.56672477382364</v>
      </c>
      <c r="E27" s="105">
        <f>R_4A-G_2+G_1</f>
        <v>59.784837386556156</v>
      </c>
      <c r="G27" s="103" t="s">
        <v>44</v>
      </c>
      <c r="H27" s="4"/>
      <c r="I27" s="104">
        <f>R_4A-G_2+C_1+correction_c</f>
        <v>225.53672477382364</v>
      </c>
      <c r="J27" s="105">
        <f>R_4A-G_2+G_1+correction_c</f>
        <v>70.754837386556162</v>
      </c>
    </row>
    <row r="28" spans="2:10" x14ac:dyDescent="0.25">
      <c r="B28" s="103" t="s">
        <v>43</v>
      </c>
      <c r="C28" s="4"/>
      <c r="D28" s="104">
        <f>R_4A-G_2+C_1</f>
        <v>214.56672477382364</v>
      </c>
      <c r="E28" s="105">
        <f>R_4A-G_2+G_1</f>
        <v>59.784837386556156</v>
      </c>
      <c r="G28" s="103" t="s">
        <v>43</v>
      </c>
      <c r="H28" s="4"/>
      <c r="I28" s="104">
        <f>R_4A-G_2+C_1+correction_c</f>
        <v>225.53672477382364</v>
      </c>
      <c r="J28" s="105">
        <f>R_4A-G_2+G_1+correction_c</f>
        <v>70.754837386556162</v>
      </c>
    </row>
    <row r="29" spans="2:10" x14ac:dyDescent="0.25">
      <c r="B29" s="103" t="s">
        <v>42</v>
      </c>
      <c r="C29" s="4"/>
      <c r="D29" s="104">
        <f>R_4A-G_2+C_1</f>
        <v>214.56672477382364</v>
      </c>
      <c r="E29" s="105">
        <f>R_4A-G_2+G_1</f>
        <v>59.784837386556156</v>
      </c>
      <c r="G29" s="103" t="s">
        <v>42</v>
      </c>
      <c r="H29" s="4"/>
      <c r="I29" s="104">
        <f>R_4A-G_2+C_1+correction_c</f>
        <v>225.53672477382364</v>
      </c>
      <c r="J29" s="105">
        <f>R_4A-G_2+G_1+correction_c</f>
        <v>70.754837386556162</v>
      </c>
    </row>
    <row r="30" spans="2:10" x14ac:dyDescent="0.25">
      <c r="B30" s="103" t="s">
        <v>41</v>
      </c>
      <c r="C30" s="4"/>
      <c r="D30" s="104">
        <f>R_4A-G_2+C_1</f>
        <v>214.56672477382364</v>
      </c>
      <c r="E30" s="105">
        <f>R_4A-G_2+G_1</f>
        <v>59.784837386556156</v>
      </c>
      <c r="G30" s="103" t="s">
        <v>41</v>
      </c>
      <c r="H30" s="4"/>
      <c r="I30" s="104">
        <f>R_4A-G_2+C_1+correction_c</f>
        <v>225.53672477382364</v>
      </c>
      <c r="J30" s="105">
        <f>R_4A-G_2+G_1+correction_c</f>
        <v>70.754837386556162</v>
      </c>
    </row>
    <row r="31" spans="2:10" x14ac:dyDescent="0.25">
      <c r="B31" s="103" t="s">
        <v>40</v>
      </c>
      <c r="C31" s="4"/>
      <c r="D31" s="104">
        <f>R_4B-G_2+C_1</f>
        <v>155.26124977460751</v>
      </c>
      <c r="E31" s="105">
        <f>R_4B-G_2+G_1</f>
        <v>0.47936238734003211</v>
      </c>
      <c r="G31" s="103" t="s">
        <v>40</v>
      </c>
      <c r="H31" s="4"/>
      <c r="I31" s="104">
        <f>R_4B-G_2+C_1+correction_c</f>
        <v>166.23124977460751</v>
      </c>
      <c r="J31" s="105">
        <f>R_4B-G_2+G_1+correction_c</f>
        <v>11.449362387340033</v>
      </c>
    </row>
    <row r="32" spans="2:10" x14ac:dyDescent="0.25">
      <c r="B32" s="103" t="s">
        <v>39</v>
      </c>
      <c r="C32" s="4"/>
      <c r="D32" s="104">
        <f>R_4C-G_2+C_1</f>
        <v>234.30072478369812</v>
      </c>
      <c r="E32" s="105">
        <f>R_4C-G_2+G_1</f>
        <v>79.518837396430627</v>
      </c>
      <c r="G32" s="103" t="s">
        <v>39</v>
      </c>
      <c r="H32" s="4"/>
      <c r="I32" s="104">
        <f>R_4C-G_2+C_1+correction_c</f>
        <v>245.27072478369811</v>
      </c>
      <c r="J32" s="105">
        <f>R_4C-G_2+G_1+correction_c</f>
        <v>90.488837396430625</v>
      </c>
    </row>
    <row r="33" spans="2:10" x14ac:dyDescent="0.25">
      <c r="B33" s="103" t="s">
        <v>54</v>
      </c>
      <c r="C33" s="4"/>
      <c r="D33" s="104">
        <f>-R_4A-G_2+C_1</f>
        <v>107.01383000089047</v>
      </c>
      <c r="E33" s="105">
        <f>-R_4A-G_2+G_1</f>
        <v>-47.768057386377016</v>
      </c>
      <c r="G33" s="103" t="s">
        <v>54</v>
      </c>
      <c r="H33" s="4"/>
      <c r="I33" s="104">
        <f>-R_4A-G_2+C_1-correction_c</f>
        <v>96.043830000890466</v>
      </c>
      <c r="J33" s="105">
        <f>-R_4A-G_2+G_1-correction_c</f>
        <v>-58.738057386377015</v>
      </c>
    </row>
    <row r="34" spans="2:10" x14ac:dyDescent="0.25">
      <c r="B34" s="103" t="s">
        <v>53</v>
      </c>
      <c r="C34" s="4"/>
      <c r="D34" s="104">
        <f>-R_4A-G_2+C_1</f>
        <v>107.01383000089047</v>
      </c>
      <c r="E34" s="105">
        <f>-R_4A-G_2+G_1</f>
        <v>-47.768057386377016</v>
      </c>
      <c r="G34" s="103" t="s">
        <v>53</v>
      </c>
      <c r="H34" s="4"/>
      <c r="I34" s="104">
        <f>-R_4A-G_2+C_1-correction_c</f>
        <v>96.043830000890466</v>
      </c>
      <c r="J34" s="105">
        <f>-R_4A-G_2+G_1-correction_c</f>
        <v>-58.738057386377015</v>
      </c>
    </row>
    <row r="35" spans="2:10" x14ac:dyDescent="0.25">
      <c r="B35" s="103" t="s">
        <v>52</v>
      </c>
      <c r="C35" s="4"/>
      <c r="D35" s="104">
        <f>-R_4A-G_2+C_1</f>
        <v>107.01383000089047</v>
      </c>
      <c r="E35" s="105">
        <f>-R_4A-G_2+G_1</f>
        <v>-47.768057386377016</v>
      </c>
      <c r="G35" s="103" t="s">
        <v>52</v>
      </c>
      <c r="H35" s="4"/>
      <c r="I35" s="104">
        <f>-R_4A-G_2+C_1-correction_c</f>
        <v>96.043830000890466</v>
      </c>
      <c r="J35" s="105">
        <f>-R_4A-G_2+G_1-correction_c</f>
        <v>-58.738057386377015</v>
      </c>
    </row>
    <row r="36" spans="2:10" x14ac:dyDescent="0.25">
      <c r="B36" s="103" t="s">
        <v>51</v>
      </c>
      <c r="C36" s="4"/>
      <c r="D36" s="104">
        <f>-R_4A-G_2+C_1</f>
        <v>107.01383000089047</v>
      </c>
      <c r="E36" s="105">
        <f>-R_4A-G_2+G_1</f>
        <v>-47.768057386377016</v>
      </c>
      <c r="G36" s="103" t="s">
        <v>51</v>
      </c>
      <c r="H36" s="4"/>
      <c r="I36" s="104">
        <f>-R_4A-G_2+C_1-correction_c</f>
        <v>96.043830000890466</v>
      </c>
      <c r="J36" s="105">
        <f>-R_4A-G_2+G_1-correction_c</f>
        <v>-58.738057386377015</v>
      </c>
    </row>
    <row r="37" spans="2:10" x14ac:dyDescent="0.25">
      <c r="B37" s="103" t="s">
        <v>50</v>
      </c>
      <c r="C37" s="4"/>
      <c r="D37" s="104">
        <f>-R_4A-G_2+C_1</f>
        <v>107.01383000089047</v>
      </c>
      <c r="E37" s="105">
        <f>-R_4A-G_2+G_1</f>
        <v>-47.768057386377016</v>
      </c>
      <c r="G37" s="103" t="s">
        <v>50</v>
      </c>
      <c r="H37" s="4"/>
      <c r="I37" s="104">
        <f>-R_4A-G_2+C_1-correction_c</f>
        <v>96.043830000890466</v>
      </c>
      <c r="J37" s="105">
        <f>-R_4A-G_2+G_1-correction_c</f>
        <v>-58.738057386377015</v>
      </c>
    </row>
    <row r="38" spans="2:10" x14ac:dyDescent="0.25">
      <c r="B38" s="103" t="s">
        <v>49</v>
      </c>
      <c r="C38" s="4"/>
      <c r="D38" s="104">
        <f>-R_4B-G_2+C_1</f>
        <v>166.3193050001066</v>
      </c>
      <c r="E38" s="105">
        <f>-R_4B-G_2+G_1</f>
        <v>11.537417612839107</v>
      </c>
      <c r="G38" s="103" t="s">
        <v>49</v>
      </c>
      <c r="H38" s="4"/>
      <c r="I38" s="104">
        <f>-R_4B-G_2+C_1-correction_c</f>
        <v>155.3493050001066</v>
      </c>
      <c r="J38" s="105">
        <f>-R_4B-G_2+G_1-correction_c</f>
        <v>0.56741761283910641</v>
      </c>
    </row>
    <row r="39" spans="2:10" x14ac:dyDescent="0.25">
      <c r="B39" s="106" t="s">
        <v>48</v>
      </c>
      <c r="C39" s="107"/>
      <c r="D39" s="108">
        <f>-R_4C-G_2+C_1</f>
        <v>87.279829991016015</v>
      </c>
      <c r="E39" s="109">
        <f>-R_4C-G_2+G_1</f>
        <v>-67.502057396251473</v>
      </c>
      <c r="G39" s="106" t="s">
        <v>48</v>
      </c>
      <c r="H39" s="107"/>
      <c r="I39" s="108">
        <f>-R_4C-G_2+C_1-correction_c</f>
        <v>76.309829991016016</v>
      </c>
      <c r="J39" s="109">
        <f>-R_4C-G_2+G_1-correction_c</f>
        <v>-78.472057396251472</v>
      </c>
    </row>
  </sheetData>
  <sheetProtection sheet="1" objects="1" scenarios="1"/>
  <phoneticPr fontId="12" type="noConversion"/>
  <pageMargins left="0.75" right="0.75" top="1" bottom="1" header="0.5" footer="0.5"/>
  <pageSetup paperSize="9" scale="9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K55"/>
  <sheetViews>
    <sheetView workbookViewId="0">
      <selection activeCell="H4" sqref="H4"/>
    </sheetView>
  </sheetViews>
  <sheetFormatPr defaultRowHeight="12.5" x14ac:dyDescent="0.25"/>
  <cols>
    <col min="1" max="1" width="38.453125" customWidth="1"/>
    <col min="2" max="3" width="21.453125" customWidth="1"/>
    <col min="4" max="6" width="20.81640625" customWidth="1"/>
    <col min="7" max="7" width="11.54296875" customWidth="1"/>
    <col min="8" max="8" width="63.54296875" customWidth="1"/>
    <col min="9" max="9" width="45.1796875" customWidth="1"/>
    <col min="10" max="10" width="31.1796875" customWidth="1"/>
    <col min="11" max="11" width="23" customWidth="1"/>
  </cols>
  <sheetData>
    <row r="2" spans="1:11" ht="15.5" x14ac:dyDescent="0.35">
      <c r="A2" s="64" t="s">
        <v>271</v>
      </c>
    </row>
    <row r="3" spans="1:11" ht="15.5" x14ac:dyDescent="0.35">
      <c r="A3" s="156" t="s">
        <v>223</v>
      </c>
    </row>
    <row r="4" spans="1:11" ht="15.5" x14ac:dyDescent="0.35">
      <c r="A4" s="76" t="s">
        <v>144</v>
      </c>
      <c r="B4" s="26"/>
      <c r="C4" s="77" t="s">
        <v>187</v>
      </c>
      <c r="D4" s="77"/>
      <c r="E4" s="77"/>
      <c r="F4" s="77"/>
    </row>
    <row r="5" spans="1:11" ht="13" x14ac:dyDescent="0.3">
      <c r="A5" s="14" t="s">
        <v>185</v>
      </c>
      <c r="B5" s="26"/>
      <c r="F5" s="237" t="s">
        <v>1828</v>
      </c>
    </row>
    <row r="6" spans="1:11" ht="13" x14ac:dyDescent="0.3">
      <c r="A6" s="14" t="s">
        <v>186</v>
      </c>
      <c r="B6" s="26"/>
      <c r="F6" s="237" t="s">
        <v>1825</v>
      </c>
    </row>
    <row r="7" spans="1:11" ht="13" x14ac:dyDescent="0.3">
      <c r="F7" s="237" t="s">
        <v>1826</v>
      </c>
    </row>
    <row r="8" spans="1:11" ht="13" x14ac:dyDescent="0.3">
      <c r="A8" s="1"/>
      <c r="B8" s="65" t="s">
        <v>178</v>
      </c>
      <c r="C8" s="70" t="s">
        <v>179</v>
      </c>
      <c r="D8" s="14" t="s">
        <v>233</v>
      </c>
      <c r="E8" s="180" t="s">
        <v>250</v>
      </c>
      <c r="F8" s="241" t="s">
        <v>1825</v>
      </c>
      <c r="G8" s="21"/>
      <c r="H8" s="21"/>
      <c r="I8" s="58"/>
      <c r="J8" s="26"/>
      <c r="K8" s="183"/>
    </row>
    <row r="9" spans="1:11" ht="13" x14ac:dyDescent="0.3">
      <c r="A9" s="61"/>
      <c r="B9" s="66" t="s">
        <v>57</v>
      </c>
      <c r="C9" s="71" t="s">
        <v>57</v>
      </c>
      <c r="D9" s="160" t="s">
        <v>57</v>
      </c>
      <c r="E9" s="181" t="s">
        <v>57</v>
      </c>
      <c r="F9" s="242" t="s">
        <v>57</v>
      </c>
      <c r="G9" s="67"/>
      <c r="H9" s="21"/>
      <c r="I9" s="58"/>
      <c r="J9" s="26"/>
      <c r="K9" s="183"/>
    </row>
    <row r="10" spans="1:11" ht="13" x14ac:dyDescent="0.3">
      <c r="A10" s="62" t="s">
        <v>147</v>
      </c>
      <c r="B10" s="66" t="s">
        <v>148</v>
      </c>
      <c r="C10" s="71" t="s">
        <v>148</v>
      </c>
      <c r="D10" s="160" t="s">
        <v>148</v>
      </c>
      <c r="E10" s="181" t="s">
        <v>148</v>
      </c>
      <c r="F10" s="242" t="s">
        <v>148</v>
      </c>
      <c r="G10" s="68" t="s">
        <v>149</v>
      </c>
      <c r="H10" s="21"/>
      <c r="I10" s="58"/>
      <c r="J10" s="26"/>
      <c r="K10" s="183"/>
    </row>
    <row r="11" spans="1:11" ht="31.9" customHeight="1" x14ac:dyDescent="0.35">
      <c r="A11" s="63"/>
      <c r="B11" s="66" t="s">
        <v>169</v>
      </c>
      <c r="C11" s="71" t="s">
        <v>169</v>
      </c>
      <c r="D11" s="160" t="s">
        <v>169</v>
      </c>
      <c r="E11" s="181"/>
      <c r="F11" s="242"/>
      <c r="G11" s="69" t="s">
        <v>150</v>
      </c>
      <c r="H11" s="65" t="s">
        <v>180</v>
      </c>
      <c r="I11" s="70" t="s">
        <v>181</v>
      </c>
      <c r="J11" s="14" t="s">
        <v>234</v>
      </c>
      <c r="K11" s="180" t="s">
        <v>251</v>
      </c>
    </row>
    <row r="12" spans="1:11" ht="20.9" customHeight="1" x14ac:dyDescent="0.3">
      <c r="A12" s="1" t="s">
        <v>168</v>
      </c>
      <c r="B12" s="66"/>
      <c r="C12" s="71"/>
      <c r="D12" s="160"/>
      <c r="E12" s="181"/>
      <c r="F12" s="242"/>
      <c r="G12" s="69"/>
      <c r="H12" s="21"/>
      <c r="I12" s="58"/>
      <c r="J12" s="26"/>
      <c r="K12" s="183"/>
    </row>
    <row r="13" spans="1:11" ht="13.15" customHeight="1" x14ac:dyDescent="0.25">
      <c r="A13" t="s">
        <v>151</v>
      </c>
      <c r="B13" s="72">
        <v>2.5</v>
      </c>
      <c r="C13" s="73">
        <v>2.5</v>
      </c>
      <c r="D13" s="161">
        <v>2.5</v>
      </c>
      <c r="E13" s="182">
        <v>2.5</v>
      </c>
      <c r="F13" s="243">
        <v>2.5</v>
      </c>
      <c r="G13" s="74">
        <v>5.5555555555555554</v>
      </c>
      <c r="H13" s="21" t="s">
        <v>158</v>
      </c>
      <c r="I13" s="58"/>
      <c r="J13" s="26"/>
      <c r="K13" s="183"/>
    </row>
    <row r="14" spans="1:11" ht="13.15" customHeight="1" x14ac:dyDescent="0.25">
      <c r="A14" t="s">
        <v>155</v>
      </c>
      <c r="B14" s="72">
        <v>2.5</v>
      </c>
      <c r="C14" s="75">
        <v>7</v>
      </c>
      <c r="D14" s="75">
        <v>14</v>
      </c>
      <c r="E14" s="75">
        <v>17</v>
      </c>
      <c r="F14" s="243">
        <v>17</v>
      </c>
      <c r="G14" s="74">
        <v>5.5555555555555554</v>
      </c>
      <c r="H14" s="21" t="s">
        <v>156</v>
      </c>
      <c r="I14" s="58" t="s">
        <v>222</v>
      </c>
      <c r="J14" s="26"/>
      <c r="K14" s="183" t="s">
        <v>259</v>
      </c>
    </row>
    <row r="15" spans="1:11" ht="13.15" customHeight="1" x14ac:dyDescent="0.25">
      <c r="A15" t="s">
        <v>162</v>
      </c>
      <c r="B15" s="72">
        <v>2</v>
      </c>
      <c r="C15" s="75">
        <v>5</v>
      </c>
      <c r="D15" s="161">
        <v>5</v>
      </c>
      <c r="E15" s="182">
        <v>5</v>
      </c>
      <c r="F15" s="243">
        <v>5</v>
      </c>
      <c r="G15" s="72">
        <v>2</v>
      </c>
      <c r="H15" s="21" t="s">
        <v>163</v>
      </c>
      <c r="I15" s="58" t="s">
        <v>184</v>
      </c>
      <c r="J15" s="26"/>
      <c r="K15" s="183"/>
    </row>
    <row r="16" spans="1:11" ht="13.15" customHeight="1" x14ac:dyDescent="0.25">
      <c r="A16" t="s">
        <v>153</v>
      </c>
      <c r="B16" s="72">
        <v>1</v>
      </c>
      <c r="C16" s="73">
        <v>1</v>
      </c>
      <c r="D16" s="161">
        <v>1</v>
      </c>
      <c r="E16" s="182">
        <v>1</v>
      </c>
      <c r="F16" s="243">
        <v>1</v>
      </c>
      <c r="G16" s="74">
        <v>5.5555555555555554</v>
      </c>
      <c r="H16" s="21" t="s">
        <v>154</v>
      </c>
      <c r="I16" s="58"/>
      <c r="J16" s="26"/>
      <c r="K16" s="183"/>
    </row>
    <row r="17" spans="1:11" ht="13.15" customHeight="1" x14ac:dyDescent="0.25">
      <c r="A17" t="s">
        <v>164</v>
      </c>
      <c r="B17" s="72">
        <v>16</v>
      </c>
      <c r="C17" s="73">
        <v>5</v>
      </c>
      <c r="D17" s="161">
        <v>5</v>
      </c>
      <c r="E17" s="182">
        <v>5</v>
      </c>
      <c r="F17" s="75">
        <v>16</v>
      </c>
      <c r="G17" s="72">
        <v>13</v>
      </c>
      <c r="H17" s="21" t="s">
        <v>165</v>
      </c>
      <c r="I17" s="58" t="s">
        <v>228</v>
      </c>
      <c r="J17" s="26"/>
      <c r="K17" s="183"/>
    </row>
    <row r="18" spans="1:11" ht="13.15" customHeight="1" x14ac:dyDescent="0.25">
      <c r="A18" t="s">
        <v>166</v>
      </c>
      <c r="B18" s="72">
        <v>1</v>
      </c>
      <c r="C18" s="73">
        <v>1</v>
      </c>
      <c r="D18" s="161">
        <v>1</v>
      </c>
      <c r="E18" s="182">
        <v>1</v>
      </c>
      <c r="F18" s="243">
        <v>1</v>
      </c>
      <c r="G18" s="72">
        <v>2</v>
      </c>
      <c r="H18" s="21" t="s">
        <v>167</v>
      </c>
      <c r="I18" s="58"/>
      <c r="J18" s="26"/>
      <c r="K18" s="183"/>
    </row>
    <row r="19" spans="1:11" ht="13.15" customHeight="1" x14ac:dyDescent="0.25">
      <c r="A19" t="s">
        <v>160</v>
      </c>
      <c r="B19" s="72">
        <v>2</v>
      </c>
      <c r="C19" s="73">
        <v>2</v>
      </c>
      <c r="D19" s="161">
        <v>2</v>
      </c>
      <c r="E19" s="182">
        <v>2</v>
      </c>
      <c r="F19" s="243">
        <v>2</v>
      </c>
      <c r="G19" s="74">
        <v>5.5555555555555554</v>
      </c>
      <c r="H19" s="21" t="s">
        <v>161</v>
      </c>
      <c r="I19" s="58"/>
      <c r="J19" s="26"/>
      <c r="K19" s="183"/>
    </row>
    <row r="20" spans="1:11" ht="13.15" customHeight="1" x14ac:dyDescent="0.25">
      <c r="A20" t="s">
        <v>159</v>
      </c>
      <c r="B20" s="72">
        <v>2</v>
      </c>
      <c r="C20" s="73">
        <v>2</v>
      </c>
      <c r="D20" s="161">
        <v>2</v>
      </c>
      <c r="E20" s="182">
        <v>2</v>
      </c>
      <c r="F20" s="243">
        <v>2</v>
      </c>
      <c r="G20" s="74">
        <v>2</v>
      </c>
      <c r="H20" s="21" t="s">
        <v>157</v>
      </c>
      <c r="I20" s="58"/>
      <c r="J20" s="26"/>
      <c r="K20" s="183"/>
    </row>
    <row r="21" spans="1:11" ht="13.15" customHeight="1" x14ac:dyDescent="0.25">
      <c r="B21" s="72"/>
      <c r="C21" s="73"/>
      <c r="D21" s="161"/>
      <c r="E21" s="182"/>
      <c r="F21" s="243"/>
      <c r="G21" s="72"/>
      <c r="H21" s="21"/>
      <c r="I21" s="58"/>
      <c r="J21" s="26"/>
      <c r="K21" s="183"/>
    </row>
    <row r="22" spans="1:11" ht="13.15" customHeight="1" x14ac:dyDescent="0.3">
      <c r="A22" s="1" t="s">
        <v>175</v>
      </c>
      <c r="B22" s="72"/>
      <c r="C22" s="73"/>
      <c r="D22" s="161"/>
      <c r="E22" s="182"/>
      <c r="F22" s="243"/>
      <c r="G22" s="72"/>
      <c r="H22" s="21"/>
      <c r="I22" s="58"/>
      <c r="J22" s="26"/>
      <c r="K22" s="183"/>
    </row>
    <row r="23" spans="1:11" ht="13.15" customHeight="1" x14ac:dyDescent="0.25">
      <c r="A23" t="s">
        <v>151</v>
      </c>
      <c r="B23" s="72">
        <v>2.5</v>
      </c>
      <c r="C23" s="73">
        <v>2.5</v>
      </c>
      <c r="D23" s="161">
        <v>2.5</v>
      </c>
      <c r="E23" s="182">
        <v>2.5</v>
      </c>
      <c r="F23" s="243">
        <v>2.5</v>
      </c>
      <c r="G23" s="74">
        <v>5.5555555555555554</v>
      </c>
      <c r="H23" s="21" t="s">
        <v>158</v>
      </c>
      <c r="I23" s="58"/>
      <c r="J23" s="26"/>
      <c r="K23" s="183"/>
    </row>
    <row r="24" spans="1:11" ht="13.15" customHeight="1" x14ac:dyDescent="0.25">
      <c r="A24" t="s">
        <v>155</v>
      </c>
      <c r="B24" s="72">
        <v>2.5</v>
      </c>
      <c r="C24" s="75">
        <v>7</v>
      </c>
      <c r="D24" s="75">
        <v>14</v>
      </c>
      <c r="E24" s="75">
        <v>17</v>
      </c>
      <c r="F24" s="243">
        <v>17</v>
      </c>
      <c r="G24" s="74">
        <v>5.5555555555555554</v>
      </c>
      <c r="H24" s="21" t="s">
        <v>156</v>
      </c>
      <c r="I24" s="58" t="s">
        <v>222</v>
      </c>
      <c r="J24" s="26"/>
      <c r="K24" s="183"/>
    </row>
    <row r="25" spans="1:11" ht="13.15" customHeight="1" x14ac:dyDescent="0.25">
      <c r="A25" t="s">
        <v>162</v>
      </c>
      <c r="B25" s="72">
        <v>2</v>
      </c>
      <c r="C25" s="73">
        <v>2</v>
      </c>
      <c r="D25" s="161">
        <v>2</v>
      </c>
      <c r="E25" s="182">
        <v>2</v>
      </c>
      <c r="F25" s="243">
        <v>2</v>
      </c>
      <c r="G25" s="74">
        <v>5.5555555555555554</v>
      </c>
      <c r="H25" s="21" t="s">
        <v>173</v>
      </c>
      <c r="I25" s="58"/>
      <c r="J25" s="26"/>
      <c r="K25" s="183"/>
    </row>
    <row r="26" spans="1:11" ht="13.15" customHeight="1" x14ac:dyDescent="0.25">
      <c r="A26" t="s">
        <v>153</v>
      </c>
      <c r="B26" s="72">
        <v>2</v>
      </c>
      <c r="C26" s="73">
        <v>2</v>
      </c>
      <c r="D26" s="161">
        <v>2</v>
      </c>
      <c r="E26" s="75">
        <v>1</v>
      </c>
      <c r="F26" s="243">
        <v>1</v>
      </c>
      <c r="G26" s="72">
        <v>5.6</v>
      </c>
      <c r="H26" s="21"/>
      <c r="I26" s="58"/>
      <c r="J26" s="26"/>
      <c r="K26" s="183" t="s">
        <v>261</v>
      </c>
    </row>
    <row r="27" spans="1:11" ht="13.15" customHeight="1" x14ac:dyDescent="0.25">
      <c r="A27" t="s">
        <v>170</v>
      </c>
      <c r="B27" s="72">
        <v>16</v>
      </c>
      <c r="C27" s="73">
        <v>5</v>
      </c>
      <c r="D27" s="161">
        <v>5</v>
      </c>
      <c r="E27" s="182">
        <v>5</v>
      </c>
      <c r="F27" s="243">
        <v>5</v>
      </c>
      <c r="G27" s="72">
        <v>13</v>
      </c>
      <c r="H27" s="21" t="s">
        <v>171</v>
      </c>
      <c r="I27" s="58" t="s">
        <v>228</v>
      </c>
      <c r="J27" s="26"/>
      <c r="K27" s="183"/>
    </row>
    <row r="28" spans="1:11" ht="13.15" customHeight="1" x14ac:dyDescent="0.25">
      <c r="A28" t="s">
        <v>166</v>
      </c>
      <c r="B28" s="72">
        <v>1</v>
      </c>
      <c r="C28" s="73">
        <v>1</v>
      </c>
      <c r="D28" s="161">
        <v>1</v>
      </c>
      <c r="E28" s="182">
        <v>1</v>
      </c>
      <c r="F28" s="243">
        <v>1</v>
      </c>
      <c r="G28" s="74">
        <v>2</v>
      </c>
      <c r="H28" s="21" t="s">
        <v>172</v>
      </c>
      <c r="I28" s="58"/>
      <c r="J28" s="26"/>
      <c r="K28" s="183"/>
    </row>
    <row r="29" spans="1:11" ht="13.15" customHeight="1" x14ac:dyDescent="0.25">
      <c r="A29" t="s">
        <v>159</v>
      </c>
      <c r="B29" s="72">
        <v>2</v>
      </c>
      <c r="C29" s="73">
        <v>2</v>
      </c>
      <c r="D29" s="161">
        <v>2</v>
      </c>
      <c r="E29" s="182">
        <v>2</v>
      </c>
      <c r="F29" s="243">
        <v>2</v>
      </c>
      <c r="G29" s="74">
        <v>2</v>
      </c>
      <c r="H29" s="21" t="s">
        <v>157</v>
      </c>
      <c r="I29" s="58"/>
      <c r="J29" s="26"/>
      <c r="K29" s="183"/>
    </row>
    <row r="30" spans="1:11" ht="13.15" customHeight="1" x14ac:dyDescent="0.25">
      <c r="B30" s="72"/>
      <c r="C30" s="73"/>
      <c r="D30" s="161"/>
      <c r="E30" s="182"/>
      <c r="F30" s="243"/>
      <c r="G30" s="72"/>
      <c r="H30" s="21"/>
      <c r="I30" s="58"/>
      <c r="J30" s="26"/>
      <c r="K30" s="183"/>
    </row>
    <row r="31" spans="1:11" ht="13.15" customHeight="1" x14ac:dyDescent="0.25">
      <c r="B31" s="72"/>
      <c r="C31" s="73"/>
      <c r="D31" s="161"/>
      <c r="E31" s="182"/>
      <c r="F31" s="243"/>
      <c r="G31" s="72"/>
      <c r="H31" s="21"/>
      <c r="I31" s="58"/>
      <c r="J31" s="26"/>
      <c r="K31" s="183"/>
    </row>
    <row r="32" spans="1:11" ht="13.15" customHeight="1" x14ac:dyDescent="0.3">
      <c r="A32" s="1" t="s">
        <v>174</v>
      </c>
      <c r="B32" s="72"/>
      <c r="C32" s="73"/>
      <c r="D32" s="161"/>
      <c r="E32" s="182"/>
      <c r="F32" s="243"/>
      <c r="G32" s="72"/>
      <c r="H32" s="21"/>
      <c r="I32" s="58"/>
      <c r="J32" s="26"/>
      <c r="K32" s="183"/>
    </row>
    <row r="33" spans="1:11" ht="13.15" customHeight="1" x14ac:dyDescent="0.25">
      <c r="A33" t="s">
        <v>151</v>
      </c>
      <c r="B33" s="72">
        <v>2.5</v>
      </c>
      <c r="C33" s="73">
        <v>2.5</v>
      </c>
      <c r="D33" s="161">
        <v>2.5</v>
      </c>
      <c r="E33" s="182">
        <v>2.5</v>
      </c>
      <c r="F33" s="243">
        <v>2.5</v>
      </c>
      <c r="G33" s="74">
        <v>5.5555555555555554</v>
      </c>
      <c r="H33" s="21" t="s">
        <v>152</v>
      </c>
      <c r="I33" s="58"/>
      <c r="J33" s="26"/>
      <c r="K33" s="183"/>
    </row>
    <row r="34" spans="1:11" ht="13.15" customHeight="1" x14ac:dyDescent="0.25">
      <c r="A34" t="s">
        <v>155</v>
      </c>
      <c r="B34" s="72">
        <v>2.5</v>
      </c>
      <c r="C34" s="75">
        <v>7</v>
      </c>
      <c r="D34" s="75">
        <v>14</v>
      </c>
      <c r="E34" s="75">
        <v>17</v>
      </c>
      <c r="F34" s="243">
        <v>17</v>
      </c>
      <c r="G34" s="74">
        <v>5.5555555555555554</v>
      </c>
      <c r="H34" s="21" t="s">
        <v>156</v>
      </c>
      <c r="I34" s="58" t="s">
        <v>222</v>
      </c>
      <c r="J34" s="26"/>
      <c r="K34" s="183"/>
    </row>
    <row r="35" spans="1:11" ht="13.15" customHeight="1" x14ac:dyDescent="0.25">
      <c r="A35" t="s">
        <v>162</v>
      </c>
      <c r="B35" s="72">
        <v>2</v>
      </c>
      <c r="C35" s="75">
        <v>5</v>
      </c>
      <c r="D35" s="161">
        <v>5</v>
      </c>
      <c r="E35" s="182">
        <v>5</v>
      </c>
      <c r="F35" s="243">
        <v>5</v>
      </c>
      <c r="G35" s="72">
        <v>2</v>
      </c>
      <c r="H35" s="21" t="s">
        <v>163</v>
      </c>
      <c r="I35" s="58" t="s">
        <v>184</v>
      </c>
      <c r="J35" s="26"/>
      <c r="K35" s="183"/>
    </row>
    <row r="36" spans="1:11" ht="13.15" customHeight="1" x14ac:dyDescent="0.25">
      <c r="A36" t="s">
        <v>153</v>
      </c>
      <c r="B36" s="72">
        <v>1</v>
      </c>
      <c r="C36" s="73">
        <v>1</v>
      </c>
      <c r="D36" s="161">
        <v>1</v>
      </c>
      <c r="E36" s="182">
        <v>1</v>
      </c>
      <c r="F36" s="243">
        <v>1</v>
      </c>
      <c r="G36" s="74">
        <v>5.5555555555555554</v>
      </c>
      <c r="H36" s="21" t="s">
        <v>154</v>
      </c>
      <c r="I36" s="58"/>
      <c r="J36" s="26"/>
      <c r="K36" s="183"/>
    </row>
    <row r="37" spans="1:11" ht="13.15" customHeight="1" x14ac:dyDescent="0.25">
      <c r="A37" t="s">
        <v>166</v>
      </c>
      <c r="B37" s="72">
        <v>1</v>
      </c>
      <c r="C37" s="73">
        <v>1</v>
      </c>
      <c r="D37" s="161">
        <v>1</v>
      </c>
      <c r="E37" s="182">
        <v>1</v>
      </c>
      <c r="F37" s="243">
        <v>1</v>
      </c>
      <c r="G37" s="72">
        <v>2</v>
      </c>
      <c r="H37" s="21" t="s">
        <v>167</v>
      </c>
      <c r="I37" s="58"/>
      <c r="J37" s="26"/>
      <c r="K37" s="183"/>
    </row>
    <row r="38" spans="1:11" ht="13.15" customHeight="1" x14ac:dyDescent="0.25">
      <c r="A38" t="s">
        <v>160</v>
      </c>
      <c r="B38" s="72">
        <v>2</v>
      </c>
      <c r="C38" s="73">
        <v>2</v>
      </c>
      <c r="D38" s="161">
        <v>2</v>
      </c>
      <c r="E38" s="182">
        <v>2</v>
      </c>
      <c r="F38" s="243">
        <v>2</v>
      </c>
      <c r="G38" s="74">
        <v>5.5555555555555554</v>
      </c>
      <c r="H38" s="21" t="s">
        <v>161</v>
      </c>
      <c r="I38" s="58"/>
      <c r="J38" s="26"/>
      <c r="K38" s="183"/>
    </row>
    <row r="39" spans="1:11" ht="13.15" customHeight="1" x14ac:dyDescent="0.25">
      <c r="A39" t="s">
        <v>159</v>
      </c>
      <c r="B39" s="72">
        <v>2</v>
      </c>
      <c r="C39" s="73">
        <v>2</v>
      </c>
      <c r="D39" s="161">
        <v>2</v>
      </c>
      <c r="E39" s="182">
        <v>2</v>
      </c>
      <c r="F39" s="243">
        <v>2</v>
      </c>
      <c r="G39" s="74">
        <v>2</v>
      </c>
      <c r="H39" s="21" t="s">
        <v>157</v>
      </c>
      <c r="I39" s="58"/>
      <c r="J39" s="26"/>
      <c r="K39" s="183"/>
    </row>
    <row r="40" spans="1:11" ht="13.15" customHeight="1" x14ac:dyDescent="0.25">
      <c r="B40" s="72"/>
      <c r="C40" s="73"/>
      <c r="D40" s="161"/>
      <c r="E40" s="182"/>
      <c r="F40" s="243"/>
      <c r="G40" s="72"/>
      <c r="H40" s="21"/>
      <c r="I40" s="58"/>
      <c r="J40" s="26"/>
      <c r="K40" s="183"/>
    </row>
    <row r="41" spans="1:11" ht="13.15" customHeight="1" x14ac:dyDescent="0.3">
      <c r="A41" s="1" t="s">
        <v>176</v>
      </c>
      <c r="B41" s="72"/>
      <c r="C41" s="73"/>
      <c r="D41" s="161"/>
      <c r="E41" s="182"/>
      <c r="F41" s="243"/>
      <c r="G41" s="72"/>
      <c r="H41" s="21"/>
      <c r="I41" s="58"/>
      <c r="J41" s="26"/>
      <c r="K41" s="183"/>
    </row>
    <row r="42" spans="1:11" ht="13.15" customHeight="1" x14ac:dyDescent="0.25">
      <c r="A42" t="s">
        <v>151</v>
      </c>
      <c r="B42" s="72">
        <v>2.5</v>
      </c>
      <c r="C42" s="73">
        <v>2.5</v>
      </c>
      <c r="D42" s="161">
        <v>2.5</v>
      </c>
      <c r="E42" s="182">
        <v>2.5</v>
      </c>
      <c r="F42" s="243">
        <v>2.5</v>
      </c>
      <c r="G42" s="74">
        <v>5.5555555555555554</v>
      </c>
      <c r="H42" s="21" t="s">
        <v>158</v>
      </c>
      <c r="I42" s="58"/>
      <c r="J42" s="26"/>
      <c r="K42" s="183"/>
    </row>
    <row r="43" spans="1:11" ht="13.15" customHeight="1" x14ac:dyDescent="0.25">
      <c r="A43" t="s">
        <v>155</v>
      </c>
      <c r="B43" s="72">
        <v>2.5</v>
      </c>
      <c r="C43" s="75">
        <v>7</v>
      </c>
      <c r="D43" s="75">
        <v>14</v>
      </c>
      <c r="E43" s="75">
        <v>17</v>
      </c>
      <c r="F43" s="243">
        <v>17</v>
      </c>
      <c r="G43" s="74">
        <v>5.5555555555555554</v>
      </c>
      <c r="H43" s="21" t="s">
        <v>156</v>
      </c>
      <c r="I43" s="58" t="s">
        <v>222</v>
      </c>
      <c r="J43" s="26"/>
      <c r="K43" s="183"/>
    </row>
    <row r="44" spans="1:11" ht="13.15" customHeight="1" x14ac:dyDescent="0.25">
      <c r="A44" t="s">
        <v>162</v>
      </c>
      <c r="B44" s="72">
        <v>2</v>
      </c>
      <c r="C44" s="73">
        <v>2</v>
      </c>
      <c r="D44" s="161">
        <v>2</v>
      </c>
      <c r="E44" s="182">
        <v>2</v>
      </c>
      <c r="F44" s="243">
        <v>2</v>
      </c>
      <c r="G44" s="74">
        <v>5.5555555555555554</v>
      </c>
      <c r="H44" s="21" t="s">
        <v>173</v>
      </c>
      <c r="I44" s="58"/>
      <c r="J44" s="26"/>
      <c r="K44" s="183"/>
    </row>
    <row r="45" spans="1:11" ht="13.15" customHeight="1" x14ac:dyDescent="0.25">
      <c r="A45" t="s">
        <v>177</v>
      </c>
      <c r="B45" s="72">
        <v>16</v>
      </c>
      <c r="C45" s="73">
        <v>16</v>
      </c>
      <c r="D45" s="161">
        <v>16</v>
      </c>
      <c r="E45" s="182">
        <v>16</v>
      </c>
      <c r="F45" s="243">
        <v>16</v>
      </c>
      <c r="G45" s="72">
        <v>13</v>
      </c>
      <c r="H45" s="21" t="s">
        <v>171</v>
      </c>
      <c r="I45" s="58" t="s">
        <v>228</v>
      </c>
      <c r="J45" s="26"/>
      <c r="K45" s="183" t="s">
        <v>273</v>
      </c>
    </row>
    <row r="46" spans="1:11" ht="13.15" customHeight="1" x14ac:dyDescent="0.25">
      <c r="A46" t="s">
        <v>153</v>
      </c>
      <c r="B46" s="72">
        <v>2</v>
      </c>
      <c r="C46" s="73">
        <v>2</v>
      </c>
      <c r="D46" s="161">
        <v>2</v>
      </c>
      <c r="E46" s="75">
        <v>1</v>
      </c>
      <c r="F46" s="243">
        <v>1</v>
      </c>
      <c r="G46" s="72">
        <v>5.6</v>
      </c>
      <c r="H46" s="21"/>
      <c r="I46" s="58"/>
      <c r="J46" s="26"/>
      <c r="K46" s="183" t="s">
        <v>262</v>
      </c>
    </row>
    <row r="47" spans="1:11" ht="13.15" customHeight="1" x14ac:dyDescent="0.25">
      <c r="A47" t="s">
        <v>166</v>
      </c>
      <c r="B47" s="72">
        <v>1</v>
      </c>
      <c r="C47" s="73">
        <v>1</v>
      </c>
      <c r="D47" s="161">
        <v>1</v>
      </c>
      <c r="E47" s="182">
        <v>1</v>
      </c>
      <c r="F47" s="243">
        <v>1</v>
      </c>
      <c r="G47" s="74">
        <v>2</v>
      </c>
      <c r="H47" s="21" t="s">
        <v>172</v>
      </c>
      <c r="I47" s="58"/>
      <c r="J47" s="26"/>
      <c r="K47" s="183"/>
    </row>
    <row r="48" spans="1:11" ht="13.15" customHeight="1" x14ac:dyDescent="0.25">
      <c r="A48" t="s">
        <v>159</v>
      </c>
      <c r="B48" s="72">
        <v>2</v>
      </c>
      <c r="C48" s="73">
        <v>2</v>
      </c>
      <c r="D48" s="161">
        <v>2</v>
      </c>
      <c r="E48" s="182">
        <v>2</v>
      </c>
      <c r="F48" s="243">
        <v>2</v>
      </c>
      <c r="G48" s="74">
        <v>2</v>
      </c>
      <c r="H48" s="21" t="s">
        <v>157</v>
      </c>
      <c r="I48" s="58"/>
      <c r="J48" s="26"/>
      <c r="K48" s="183"/>
    </row>
    <row r="49" ht="13.15" customHeight="1" x14ac:dyDescent="0.25"/>
    <row r="50" ht="13.15" customHeight="1" x14ac:dyDescent="0.25"/>
    <row r="51" ht="13.15" customHeight="1" x14ac:dyDescent="0.25"/>
    <row r="52" ht="13.15" customHeight="1" x14ac:dyDescent="0.25"/>
    <row r="53" ht="13.15" customHeight="1" x14ac:dyDescent="0.25"/>
    <row r="55" ht="50.25" customHeight="1" x14ac:dyDescent="0.25"/>
  </sheetData>
  <phoneticPr fontId="12" type="noConversion"/>
  <pageMargins left="0.75" right="0.75" top="1" bottom="1" header="0.5" footer="0.5"/>
  <pageSetup paperSize="9" scale="3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4"/>
  <sheetViews>
    <sheetView workbookViewId="0">
      <selection activeCell="A23" sqref="A23"/>
    </sheetView>
  </sheetViews>
  <sheetFormatPr defaultRowHeight="12.5" x14ac:dyDescent="0.25"/>
  <sheetData>
    <row r="1" spans="1:4" x14ac:dyDescent="0.25">
      <c r="A1" t="s">
        <v>1808</v>
      </c>
    </row>
    <row r="2" spans="1:4" x14ac:dyDescent="0.25">
      <c r="B2" t="s">
        <v>1811</v>
      </c>
    </row>
    <row r="3" spans="1:4" x14ac:dyDescent="0.25">
      <c r="A3" t="s">
        <v>1809</v>
      </c>
      <c r="B3" t="s">
        <v>1810</v>
      </c>
      <c r="C3" t="s">
        <v>1812</v>
      </c>
    </row>
    <row r="4" spans="1:4" x14ac:dyDescent="0.25">
      <c r="A4">
        <v>1</v>
      </c>
      <c r="B4" s="35">
        <v>-73.60952899773676</v>
      </c>
    </row>
    <row r="5" spans="1:4" x14ac:dyDescent="0.25">
      <c r="A5">
        <v>10</v>
      </c>
      <c r="B5" s="35">
        <v>-6.439355264512411</v>
      </c>
      <c r="C5" s="35">
        <f>(Resistors!H41/100-1)*1000000</f>
        <v>9.556373377295202</v>
      </c>
      <c r="D5" s="35">
        <f>C5-B5</f>
        <v>15.995728641807613</v>
      </c>
    </row>
    <row r="6" spans="1:4" x14ac:dyDescent="0.25">
      <c r="A6">
        <v>100</v>
      </c>
      <c r="B6" s="35">
        <v>-32.076043255513021</v>
      </c>
      <c r="C6" s="35">
        <f>(Resistors!H36/1000-1)*1000000</f>
        <v>-34.581853323500944</v>
      </c>
      <c r="D6" s="35">
        <f t="shared" ref="D6:D9" si="0">C6-B6</f>
        <v>-2.5058100679879232</v>
      </c>
    </row>
    <row r="7" spans="1:4" x14ac:dyDescent="0.25">
      <c r="A7">
        <v>1000</v>
      </c>
      <c r="B7" s="35">
        <v>-31.73424080112299</v>
      </c>
      <c r="C7" s="35">
        <f>(Resistors!H32/10000-1)*1000000</f>
        <v>-39.778694623571198</v>
      </c>
      <c r="D7" s="35">
        <f t="shared" si="0"/>
        <v>-8.0444538224482081</v>
      </c>
    </row>
    <row r="8" spans="1:4" x14ac:dyDescent="0.25">
      <c r="A8">
        <v>10000</v>
      </c>
      <c r="B8" s="35">
        <v>17.96481034386608</v>
      </c>
      <c r="D8" s="35"/>
    </row>
    <row r="9" spans="1:4" x14ac:dyDescent="0.25">
      <c r="A9">
        <v>100000</v>
      </c>
      <c r="B9" s="35">
        <v>8.7165334689761806</v>
      </c>
      <c r="C9" s="35">
        <f>(Calibration!H22/10000-1)*1000000</f>
        <v>13.140547386214507</v>
      </c>
      <c r="D9" s="35">
        <f t="shared" si="0"/>
        <v>4.4240139172383266</v>
      </c>
    </row>
    <row r="12" spans="1:4" x14ac:dyDescent="0.25">
      <c r="A12" t="s">
        <v>1813</v>
      </c>
    </row>
    <row r="13" spans="1:4" x14ac:dyDescent="0.25">
      <c r="A13" t="s">
        <v>1814</v>
      </c>
    </row>
    <row r="23" spans="1:3" x14ac:dyDescent="0.25">
      <c r="A23" s="205" t="s">
        <v>2333</v>
      </c>
    </row>
    <row r="24" spans="1:3" x14ac:dyDescent="0.25">
      <c r="B24" s="205" t="s">
        <v>2320</v>
      </c>
      <c r="C24" s="205" t="s">
        <v>2319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758"/>
  <sheetViews>
    <sheetView workbookViewId="0">
      <selection activeCell="B15" sqref="B15"/>
    </sheetView>
  </sheetViews>
  <sheetFormatPr defaultRowHeight="12.5" x14ac:dyDescent="0.25"/>
  <sheetData>
    <row r="2" spans="1:1" x14ac:dyDescent="0.25">
      <c r="A2" t="s">
        <v>282</v>
      </c>
    </row>
    <row r="3" spans="1:1" x14ac:dyDescent="0.25">
      <c r="A3" t="s">
        <v>1829</v>
      </c>
    </row>
    <row r="4" spans="1:1" x14ac:dyDescent="0.25">
      <c r="A4" t="s">
        <v>283</v>
      </c>
    </row>
    <row r="6" spans="1:1" x14ac:dyDescent="0.25">
      <c r="A6" t="s">
        <v>1830</v>
      </c>
    </row>
    <row r="7" spans="1:1" x14ac:dyDescent="0.25">
      <c r="A7" t="s">
        <v>1831</v>
      </c>
    </row>
    <row r="8" spans="1:1" x14ac:dyDescent="0.25">
      <c r="A8" t="s">
        <v>1832</v>
      </c>
    </row>
    <row r="10" spans="1:1" x14ac:dyDescent="0.25">
      <c r="A10" t="s">
        <v>286</v>
      </c>
    </row>
    <row r="11" spans="1:1" x14ac:dyDescent="0.25">
      <c r="A11" t="s">
        <v>287</v>
      </c>
    </row>
    <row r="12" spans="1:1" x14ac:dyDescent="0.25">
      <c r="A12" t="s">
        <v>1833</v>
      </c>
    </row>
    <row r="13" spans="1:1" x14ac:dyDescent="0.25">
      <c r="A13" t="s">
        <v>1832</v>
      </c>
    </row>
    <row r="15" spans="1:1" x14ac:dyDescent="0.25">
      <c r="A15" t="s">
        <v>1834</v>
      </c>
    </row>
    <row r="16" spans="1:1" x14ac:dyDescent="0.25">
      <c r="A16" t="s">
        <v>291</v>
      </c>
    </row>
    <row r="17" spans="1:1" x14ac:dyDescent="0.25">
      <c r="A17" t="s">
        <v>292</v>
      </c>
    </row>
    <row r="18" spans="1:1" x14ac:dyDescent="0.25">
      <c r="A18" t="s">
        <v>295</v>
      </c>
    </row>
    <row r="19" spans="1:1" x14ac:dyDescent="0.25">
      <c r="A19" t="s">
        <v>1829</v>
      </c>
    </row>
    <row r="20" spans="1:1" x14ac:dyDescent="0.25">
      <c r="A20" t="s">
        <v>283</v>
      </c>
    </row>
    <row r="22" spans="1:1" x14ac:dyDescent="0.25">
      <c r="A22" t="s">
        <v>1835</v>
      </c>
    </row>
    <row r="24" spans="1:1" x14ac:dyDescent="0.25">
      <c r="A24" t="s">
        <v>1836</v>
      </c>
    </row>
    <row r="25" spans="1:1" x14ac:dyDescent="0.25">
      <c r="A25" t="s">
        <v>592</v>
      </c>
    </row>
    <row r="26" spans="1:1" x14ac:dyDescent="0.25">
      <c r="A26" t="s">
        <v>1837</v>
      </c>
    </row>
    <row r="28" spans="1:1" x14ac:dyDescent="0.25">
      <c r="A28" t="s">
        <v>1838</v>
      </c>
    </row>
    <row r="30" spans="1:1" x14ac:dyDescent="0.25">
      <c r="A30" t="s">
        <v>1839</v>
      </c>
    </row>
    <row r="32" spans="1:1" x14ac:dyDescent="0.25">
      <c r="A32" t="s">
        <v>1840</v>
      </c>
    </row>
    <row r="34" spans="1:1" x14ac:dyDescent="0.25">
      <c r="A34" t="s">
        <v>1841</v>
      </c>
    </row>
    <row r="36" spans="1:1" x14ac:dyDescent="0.25">
      <c r="A36" t="s">
        <v>1842</v>
      </c>
    </row>
    <row r="38" spans="1:1" x14ac:dyDescent="0.25">
      <c r="A38" t="s">
        <v>1843</v>
      </c>
    </row>
    <row r="40" spans="1:1" x14ac:dyDescent="0.25">
      <c r="A40" t="s">
        <v>1844</v>
      </c>
    </row>
    <row r="42" spans="1:1" x14ac:dyDescent="0.25">
      <c r="A42" t="s">
        <v>1845</v>
      </c>
    </row>
    <row r="44" spans="1:1" x14ac:dyDescent="0.25">
      <c r="A44" t="s">
        <v>1846</v>
      </c>
    </row>
    <row r="46" spans="1:1" x14ac:dyDescent="0.25">
      <c r="A46" t="s">
        <v>1847</v>
      </c>
    </row>
    <row r="48" spans="1:1" x14ac:dyDescent="0.25">
      <c r="A48" t="s">
        <v>1848</v>
      </c>
    </row>
    <row r="50" spans="1:1" x14ac:dyDescent="0.25">
      <c r="A50" t="s">
        <v>1849</v>
      </c>
    </row>
    <row r="52" spans="1:1" x14ac:dyDescent="0.25">
      <c r="A52" t="s">
        <v>1850</v>
      </c>
    </row>
    <row r="54" spans="1:1" x14ac:dyDescent="0.25">
      <c r="A54" t="s">
        <v>1851</v>
      </c>
    </row>
    <row r="56" spans="1:1" x14ac:dyDescent="0.25">
      <c r="A56" t="s">
        <v>1852</v>
      </c>
    </row>
    <row r="58" spans="1:1" x14ac:dyDescent="0.25">
      <c r="A58" t="s">
        <v>1853</v>
      </c>
    </row>
    <row r="60" spans="1:1" x14ac:dyDescent="0.25">
      <c r="A60" t="s">
        <v>1854</v>
      </c>
    </row>
    <row r="62" spans="1:1" x14ac:dyDescent="0.25">
      <c r="A62" t="s">
        <v>1855</v>
      </c>
    </row>
    <row r="64" spans="1:1" x14ac:dyDescent="0.25">
      <c r="A64" t="s">
        <v>1856</v>
      </c>
    </row>
    <row r="66" spans="1:1" x14ac:dyDescent="0.25">
      <c r="A66" t="s">
        <v>1857</v>
      </c>
    </row>
    <row r="68" spans="1:1" x14ac:dyDescent="0.25">
      <c r="A68" t="s">
        <v>1858</v>
      </c>
    </row>
    <row r="70" spans="1:1" x14ac:dyDescent="0.25">
      <c r="A70" t="s">
        <v>321</v>
      </c>
    </row>
    <row r="71" spans="1:1" x14ac:dyDescent="0.25">
      <c r="A71" t="s">
        <v>1859</v>
      </c>
    </row>
    <row r="72" spans="1:1" x14ac:dyDescent="0.25">
      <c r="A72">
        <v>9976.2680987000003</v>
      </c>
    </row>
    <row r="73" spans="1:1" x14ac:dyDescent="0.25">
      <c r="A73">
        <v>2.1611057865000001E-3</v>
      </c>
    </row>
    <row r="74" spans="1:1" x14ac:dyDescent="0.25">
      <c r="A74" t="s">
        <v>292</v>
      </c>
    </row>
    <row r="75" spans="1:1" x14ac:dyDescent="0.25">
      <c r="A75" t="s">
        <v>295</v>
      </c>
    </row>
    <row r="76" spans="1:1" x14ac:dyDescent="0.25">
      <c r="A76" t="s">
        <v>1829</v>
      </c>
    </row>
    <row r="77" spans="1:1" x14ac:dyDescent="0.25">
      <c r="A77" t="s">
        <v>283</v>
      </c>
    </row>
    <row r="79" spans="1:1" x14ac:dyDescent="0.25">
      <c r="A79" t="s">
        <v>1835</v>
      </c>
    </row>
    <row r="81" spans="1:1" x14ac:dyDescent="0.25">
      <c r="A81" t="s">
        <v>1836</v>
      </c>
    </row>
    <row r="82" spans="1:1" x14ac:dyDescent="0.25">
      <c r="A82" t="s">
        <v>1860</v>
      </c>
    </row>
    <row r="83" spans="1:1" x14ac:dyDescent="0.25">
      <c r="A83" t="s">
        <v>1861</v>
      </c>
    </row>
    <row r="85" spans="1:1" x14ac:dyDescent="0.25">
      <c r="A85" t="s">
        <v>1862</v>
      </c>
    </row>
    <row r="87" spans="1:1" x14ac:dyDescent="0.25">
      <c r="A87" t="s">
        <v>1863</v>
      </c>
    </row>
    <row r="89" spans="1:1" x14ac:dyDescent="0.25">
      <c r="A89" t="s">
        <v>1864</v>
      </c>
    </row>
    <row r="91" spans="1:1" x14ac:dyDescent="0.25">
      <c r="A91" t="s">
        <v>1865</v>
      </c>
    </row>
    <row r="93" spans="1:1" x14ac:dyDescent="0.25">
      <c r="A93" t="s">
        <v>1866</v>
      </c>
    </row>
    <row r="95" spans="1:1" x14ac:dyDescent="0.25">
      <c r="A95" t="s">
        <v>1867</v>
      </c>
    </row>
    <row r="97" spans="1:1" x14ac:dyDescent="0.25">
      <c r="A97" t="s">
        <v>1868</v>
      </c>
    </row>
    <row r="99" spans="1:1" x14ac:dyDescent="0.25">
      <c r="A99" t="s">
        <v>1869</v>
      </c>
    </row>
    <row r="101" spans="1:1" x14ac:dyDescent="0.25">
      <c r="A101" t="s">
        <v>1870</v>
      </c>
    </row>
    <row r="103" spans="1:1" x14ac:dyDescent="0.25">
      <c r="A103" t="s">
        <v>1871</v>
      </c>
    </row>
    <row r="105" spans="1:1" x14ac:dyDescent="0.25">
      <c r="A105" t="s">
        <v>1872</v>
      </c>
    </row>
    <row r="107" spans="1:1" x14ac:dyDescent="0.25">
      <c r="A107" t="s">
        <v>1873</v>
      </c>
    </row>
    <row r="109" spans="1:1" x14ac:dyDescent="0.25">
      <c r="A109" t="s">
        <v>1874</v>
      </c>
    </row>
    <row r="111" spans="1:1" x14ac:dyDescent="0.25">
      <c r="A111" t="s">
        <v>1875</v>
      </c>
    </row>
    <row r="113" spans="1:1" x14ac:dyDescent="0.25">
      <c r="A113" t="s">
        <v>1876</v>
      </c>
    </row>
    <row r="115" spans="1:1" x14ac:dyDescent="0.25">
      <c r="A115" t="s">
        <v>1877</v>
      </c>
    </row>
    <row r="117" spans="1:1" x14ac:dyDescent="0.25">
      <c r="A117" t="s">
        <v>1878</v>
      </c>
    </row>
    <row r="119" spans="1:1" x14ac:dyDescent="0.25">
      <c r="A119" t="s">
        <v>1879</v>
      </c>
    </row>
    <row r="121" spans="1:1" x14ac:dyDescent="0.25">
      <c r="A121" t="s">
        <v>1880</v>
      </c>
    </row>
    <row r="123" spans="1:1" x14ac:dyDescent="0.25">
      <c r="A123" t="s">
        <v>1881</v>
      </c>
    </row>
    <row r="125" spans="1:1" x14ac:dyDescent="0.25">
      <c r="A125" t="s">
        <v>1882</v>
      </c>
    </row>
    <row r="127" spans="1:1" x14ac:dyDescent="0.25">
      <c r="A127" t="s">
        <v>321</v>
      </c>
    </row>
    <row r="128" spans="1:1" x14ac:dyDescent="0.25">
      <c r="A128" t="s">
        <v>1883</v>
      </c>
    </row>
    <row r="129" spans="1:1" x14ac:dyDescent="0.25">
      <c r="A129">
        <v>9999.9968231999992</v>
      </c>
    </row>
    <row r="130" spans="1:1" x14ac:dyDescent="0.25">
      <c r="A130">
        <v>9.8998626261999996E-4</v>
      </c>
    </row>
    <row r="131" spans="1:1" x14ac:dyDescent="0.25">
      <c r="A131" t="s">
        <v>292</v>
      </c>
    </row>
    <row r="132" spans="1:1" x14ac:dyDescent="0.25">
      <c r="A132" t="s">
        <v>295</v>
      </c>
    </row>
    <row r="133" spans="1:1" x14ac:dyDescent="0.25">
      <c r="A133" t="s">
        <v>1829</v>
      </c>
    </row>
    <row r="134" spans="1:1" x14ac:dyDescent="0.25">
      <c r="A134" t="s">
        <v>283</v>
      </c>
    </row>
    <row r="136" spans="1:1" x14ac:dyDescent="0.25">
      <c r="A136" t="s">
        <v>1884</v>
      </c>
    </row>
    <row r="138" spans="1:1" x14ac:dyDescent="0.25">
      <c r="A138" t="s">
        <v>1836</v>
      </c>
    </row>
    <row r="139" spans="1:1" x14ac:dyDescent="0.25">
      <c r="A139" t="s">
        <v>1885</v>
      </c>
    </row>
    <row r="140" spans="1:1" x14ac:dyDescent="0.25">
      <c r="A140" t="s">
        <v>1886</v>
      </c>
    </row>
    <row r="142" spans="1:1" x14ac:dyDescent="0.25">
      <c r="A142" t="s">
        <v>1887</v>
      </c>
    </row>
    <row r="144" spans="1:1" x14ac:dyDescent="0.25">
      <c r="A144" t="s">
        <v>1888</v>
      </c>
    </row>
    <row r="146" spans="1:1" x14ac:dyDescent="0.25">
      <c r="A146" t="s">
        <v>1889</v>
      </c>
    </row>
    <row r="148" spans="1:1" x14ac:dyDescent="0.25">
      <c r="A148" t="s">
        <v>1890</v>
      </c>
    </row>
    <row r="150" spans="1:1" x14ac:dyDescent="0.25">
      <c r="A150" t="s">
        <v>1891</v>
      </c>
    </row>
    <row r="152" spans="1:1" x14ac:dyDescent="0.25">
      <c r="A152" t="s">
        <v>1892</v>
      </c>
    </row>
    <row r="154" spans="1:1" x14ac:dyDescent="0.25">
      <c r="A154" t="s">
        <v>1893</v>
      </c>
    </row>
    <row r="156" spans="1:1" x14ac:dyDescent="0.25">
      <c r="A156" t="s">
        <v>1894</v>
      </c>
    </row>
    <row r="158" spans="1:1" x14ac:dyDescent="0.25">
      <c r="A158" t="s">
        <v>1895</v>
      </c>
    </row>
    <row r="160" spans="1:1" x14ac:dyDescent="0.25">
      <c r="A160" t="s">
        <v>1896</v>
      </c>
    </row>
    <row r="162" spans="1:1" x14ac:dyDescent="0.25">
      <c r="A162" t="s">
        <v>1897</v>
      </c>
    </row>
    <row r="164" spans="1:1" x14ac:dyDescent="0.25">
      <c r="A164" t="s">
        <v>1898</v>
      </c>
    </row>
    <row r="166" spans="1:1" x14ac:dyDescent="0.25">
      <c r="A166" t="s">
        <v>1899</v>
      </c>
    </row>
    <row r="168" spans="1:1" x14ac:dyDescent="0.25">
      <c r="A168" t="s">
        <v>1900</v>
      </c>
    </row>
    <row r="170" spans="1:1" x14ac:dyDescent="0.25">
      <c r="A170" t="s">
        <v>1901</v>
      </c>
    </row>
    <row r="172" spans="1:1" x14ac:dyDescent="0.25">
      <c r="A172" t="s">
        <v>1902</v>
      </c>
    </row>
    <row r="174" spans="1:1" x14ac:dyDescent="0.25">
      <c r="A174" t="s">
        <v>1903</v>
      </c>
    </row>
    <row r="176" spans="1:1" x14ac:dyDescent="0.25">
      <c r="A176" t="s">
        <v>1904</v>
      </c>
    </row>
    <row r="178" spans="1:1" x14ac:dyDescent="0.25">
      <c r="A178" t="s">
        <v>1905</v>
      </c>
    </row>
    <row r="180" spans="1:1" x14ac:dyDescent="0.25">
      <c r="A180" t="s">
        <v>1906</v>
      </c>
    </row>
    <row r="182" spans="1:1" x14ac:dyDescent="0.25">
      <c r="A182" t="s">
        <v>1907</v>
      </c>
    </row>
    <row r="184" spans="1:1" x14ac:dyDescent="0.25">
      <c r="A184" t="s">
        <v>321</v>
      </c>
    </row>
    <row r="185" spans="1:1" x14ac:dyDescent="0.25">
      <c r="A185" t="s">
        <v>1908</v>
      </c>
    </row>
    <row r="186" spans="1:1" x14ac:dyDescent="0.25">
      <c r="A186">
        <v>10000.092995999999</v>
      </c>
    </row>
    <row r="187" spans="1:1" x14ac:dyDescent="0.25">
      <c r="A187">
        <v>1.33851213525E-3</v>
      </c>
    </row>
    <row r="188" spans="1:1" x14ac:dyDescent="0.25">
      <c r="A188" t="s">
        <v>292</v>
      </c>
    </row>
    <row r="189" spans="1:1" x14ac:dyDescent="0.25">
      <c r="A189" t="s">
        <v>295</v>
      </c>
    </row>
    <row r="190" spans="1:1" x14ac:dyDescent="0.25">
      <c r="A190" t="s">
        <v>1829</v>
      </c>
    </row>
    <row r="191" spans="1:1" x14ac:dyDescent="0.25">
      <c r="A191" t="s">
        <v>283</v>
      </c>
    </row>
    <row r="193" spans="1:1" x14ac:dyDescent="0.25">
      <c r="A193" t="s">
        <v>1884</v>
      </c>
    </row>
    <row r="195" spans="1:1" x14ac:dyDescent="0.25">
      <c r="A195" t="s">
        <v>1836</v>
      </c>
    </row>
    <row r="196" spans="1:1" x14ac:dyDescent="0.25">
      <c r="A196" t="s">
        <v>1909</v>
      </c>
    </row>
    <row r="197" spans="1:1" x14ac:dyDescent="0.25">
      <c r="A197" t="s">
        <v>1910</v>
      </c>
    </row>
    <row r="199" spans="1:1" x14ac:dyDescent="0.25">
      <c r="A199" t="s">
        <v>1911</v>
      </c>
    </row>
    <row r="201" spans="1:1" x14ac:dyDescent="0.25">
      <c r="A201" t="s">
        <v>1912</v>
      </c>
    </row>
    <row r="203" spans="1:1" x14ac:dyDescent="0.25">
      <c r="A203" t="s">
        <v>1913</v>
      </c>
    </row>
    <row r="205" spans="1:1" x14ac:dyDescent="0.25">
      <c r="A205" t="s">
        <v>1914</v>
      </c>
    </row>
    <row r="207" spans="1:1" x14ac:dyDescent="0.25">
      <c r="A207" t="s">
        <v>1915</v>
      </c>
    </row>
    <row r="209" spans="1:1" x14ac:dyDescent="0.25">
      <c r="A209" t="s">
        <v>1916</v>
      </c>
    </row>
    <row r="211" spans="1:1" x14ac:dyDescent="0.25">
      <c r="A211" t="s">
        <v>1917</v>
      </c>
    </row>
    <row r="213" spans="1:1" x14ac:dyDescent="0.25">
      <c r="A213" t="s">
        <v>1918</v>
      </c>
    </row>
    <row r="215" spans="1:1" x14ac:dyDescent="0.25">
      <c r="A215" t="s">
        <v>1919</v>
      </c>
    </row>
    <row r="217" spans="1:1" x14ac:dyDescent="0.25">
      <c r="A217" t="s">
        <v>1920</v>
      </c>
    </row>
    <row r="219" spans="1:1" x14ac:dyDescent="0.25">
      <c r="A219" t="s">
        <v>1921</v>
      </c>
    </row>
    <row r="221" spans="1:1" x14ac:dyDescent="0.25">
      <c r="A221" t="s">
        <v>1922</v>
      </c>
    </row>
    <row r="223" spans="1:1" x14ac:dyDescent="0.25">
      <c r="A223" t="s">
        <v>1923</v>
      </c>
    </row>
    <row r="225" spans="1:1" x14ac:dyDescent="0.25">
      <c r="A225" t="s">
        <v>1924</v>
      </c>
    </row>
    <row r="227" spans="1:1" x14ac:dyDescent="0.25">
      <c r="A227" t="s">
        <v>1925</v>
      </c>
    </row>
    <row r="229" spans="1:1" x14ac:dyDescent="0.25">
      <c r="A229" t="s">
        <v>1926</v>
      </c>
    </row>
    <row r="231" spans="1:1" x14ac:dyDescent="0.25">
      <c r="A231" t="s">
        <v>1927</v>
      </c>
    </row>
    <row r="233" spans="1:1" x14ac:dyDescent="0.25">
      <c r="A233" t="s">
        <v>1928</v>
      </c>
    </row>
    <row r="235" spans="1:1" x14ac:dyDescent="0.25">
      <c r="A235" t="s">
        <v>1929</v>
      </c>
    </row>
    <row r="237" spans="1:1" x14ac:dyDescent="0.25">
      <c r="A237" t="s">
        <v>1930</v>
      </c>
    </row>
    <row r="239" spans="1:1" x14ac:dyDescent="0.25">
      <c r="A239" t="s">
        <v>1931</v>
      </c>
    </row>
    <row r="241" spans="1:1" x14ac:dyDescent="0.25">
      <c r="A241" t="s">
        <v>321</v>
      </c>
    </row>
    <row r="242" spans="1:1" x14ac:dyDescent="0.25">
      <c r="A242" t="s">
        <v>1932</v>
      </c>
    </row>
    <row r="243" spans="1:1" x14ac:dyDescent="0.25">
      <c r="A243">
        <v>10000.091248500001</v>
      </c>
    </row>
    <row r="244" spans="1:1" x14ac:dyDescent="0.25">
      <c r="A244">
        <v>5.2249394606500004E-3</v>
      </c>
    </row>
    <row r="245" spans="1:1" x14ac:dyDescent="0.25">
      <c r="A245" t="s">
        <v>292</v>
      </c>
    </row>
    <row r="246" spans="1:1" x14ac:dyDescent="0.25">
      <c r="A246" t="s">
        <v>295</v>
      </c>
    </row>
    <row r="247" spans="1:1" x14ac:dyDescent="0.25">
      <c r="A247" t="s">
        <v>1829</v>
      </c>
    </row>
    <row r="248" spans="1:1" x14ac:dyDescent="0.25">
      <c r="A248" t="s">
        <v>283</v>
      </c>
    </row>
    <row r="250" spans="1:1" x14ac:dyDescent="0.25">
      <c r="A250" t="s">
        <v>1884</v>
      </c>
    </row>
    <row r="252" spans="1:1" x14ac:dyDescent="0.25">
      <c r="A252" t="s">
        <v>1933</v>
      </c>
    </row>
    <row r="253" spans="1:1" x14ac:dyDescent="0.25">
      <c r="A253" t="s">
        <v>1934</v>
      </c>
    </row>
    <row r="254" spans="1:1" x14ac:dyDescent="0.25">
      <c r="A254" t="s">
        <v>1935</v>
      </c>
    </row>
    <row r="256" spans="1:1" x14ac:dyDescent="0.25">
      <c r="A256" t="s">
        <v>1936</v>
      </c>
    </row>
    <row r="258" spans="1:1" x14ac:dyDescent="0.25">
      <c r="A258" t="s">
        <v>1937</v>
      </c>
    </row>
    <row r="260" spans="1:1" x14ac:dyDescent="0.25">
      <c r="A260" t="s">
        <v>1938</v>
      </c>
    </row>
    <row r="262" spans="1:1" x14ac:dyDescent="0.25">
      <c r="A262" t="s">
        <v>1939</v>
      </c>
    </row>
    <row r="264" spans="1:1" x14ac:dyDescent="0.25">
      <c r="A264" t="s">
        <v>1940</v>
      </c>
    </row>
    <row r="266" spans="1:1" x14ac:dyDescent="0.25">
      <c r="A266" t="s">
        <v>1941</v>
      </c>
    </row>
    <row r="268" spans="1:1" x14ac:dyDescent="0.25">
      <c r="A268" t="s">
        <v>1942</v>
      </c>
    </row>
    <row r="270" spans="1:1" x14ac:dyDescent="0.25">
      <c r="A270" t="s">
        <v>1943</v>
      </c>
    </row>
    <row r="272" spans="1:1" x14ac:dyDescent="0.25">
      <c r="A272" t="s">
        <v>1944</v>
      </c>
    </row>
    <row r="274" spans="1:1" x14ac:dyDescent="0.25">
      <c r="A274" t="s">
        <v>1945</v>
      </c>
    </row>
    <row r="276" spans="1:1" x14ac:dyDescent="0.25">
      <c r="A276" t="s">
        <v>1946</v>
      </c>
    </row>
    <row r="278" spans="1:1" x14ac:dyDescent="0.25">
      <c r="A278" t="s">
        <v>1947</v>
      </c>
    </row>
    <row r="280" spans="1:1" x14ac:dyDescent="0.25">
      <c r="A280" t="s">
        <v>1948</v>
      </c>
    </row>
    <row r="282" spans="1:1" x14ac:dyDescent="0.25">
      <c r="A282" t="s">
        <v>1949</v>
      </c>
    </row>
    <row r="284" spans="1:1" x14ac:dyDescent="0.25">
      <c r="A284" t="s">
        <v>1950</v>
      </c>
    </row>
    <row r="286" spans="1:1" x14ac:dyDescent="0.25">
      <c r="A286" t="s">
        <v>1951</v>
      </c>
    </row>
    <row r="288" spans="1:1" x14ac:dyDescent="0.25">
      <c r="A288" t="s">
        <v>1952</v>
      </c>
    </row>
    <row r="290" spans="1:1" x14ac:dyDescent="0.25">
      <c r="A290" t="s">
        <v>1953</v>
      </c>
    </row>
    <row r="292" spans="1:1" x14ac:dyDescent="0.25">
      <c r="A292" t="s">
        <v>1954</v>
      </c>
    </row>
    <row r="294" spans="1:1" x14ac:dyDescent="0.25">
      <c r="A294" t="s">
        <v>1955</v>
      </c>
    </row>
    <row r="296" spans="1:1" x14ac:dyDescent="0.25">
      <c r="A296" t="s">
        <v>1956</v>
      </c>
    </row>
    <row r="298" spans="1:1" x14ac:dyDescent="0.25">
      <c r="A298" t="s">
        <v>321</v>
      </c>
    </row>
    <row r="299" spans="1:1" x14ac:dyDescent="0.25">
      <c r="A299" t="s">
        <v>1957</v>
      </c>
    </row>
    <row r="300" spans="1:1" x14ac:dyDescent="0.25">
      <c r="A300">
        <v>100000.701875</v>
      </c>
    </row>
    <row r="301" spans="1:1" x14ac:dyDescent="0.25">
      <c r="A301">
        <v>8.06988390785E-3</v>
      </c>
    </row>
    <row r="302" spans="1:1" x14ac:dyDescent="0.25">
      <c r="A302" t="s">
        <v>292</v>
      </c>
    </row>
    <row r="303" spans="1:1" x14ac:dyDescent="0.25">
      <c r="A303" t="s">
        <v>295</v>
      </c>
    </row>
    <row r="304" spans="1:1" x14ac:dyDescent="0.25">
      <c r="A304" t="s">
        <v>1829</v>
      </c>
    </row>
    <row r="305" spans="1:1" x14ac:dyDescent="0.25">
      <c r="A305" t="s">
        <v>283</v>
      </c>
    </row>
    <row r="307" spans="1:1" x14ac:dyDescent="0.25">
      <c r="A307" t="s">
        <v>1884</v>
      </c>
    </row>
    <row r="309" spans="1:1" x14ac:dyDescent="0.25">
      <c r="A309" t="s">
        <v>1933</v>
      </c>
    </row>
    <row r="310" spans="1:1" x14ac:dyDescent="0.25">
      <c r="A310" t="s">
        <v>1958</v>
      </c>
    </row>
    <row r="311" spans="1:1" x14ac:dyDescent="0.25">
      <c r="A311" t="s">
        <v>1959</v>
      </c>
    </row>
    <row r="313" spans="1:1" x14ac:dyDescent="0.25">
      <c r="A313" t="s">
        <v>1960</v>
      </c>
    </row>
    <row r="315" spans="1:1" x14ac:dyDescent="0.25">
      <c r="A315" t="s">
        <v>1961</v>
      </c>
    </row>
    <row r="317" spans="1:1" x14ac:dyDescent="0.25">
      <c r="A317" t="s">
        <v>1962</v>
      </c>
    </row>
    <row r="319" spans="1:1" x14ac:dyDescent="0.25">
      <c r="A319" t="s">
        <v>1963</v>
      </c>
    </row>
    <row r="321" spans="1:1" x14ac:dyDescent="0.25">
      <c r="A321" t="s">
        <v>1964</v>
      </c>
    </row>
    <row r="323" spans="1:1" x14ac:dyDescent="0.25">
      <c r="A323" t="s">
        <v>1965</v>
      </c>
    </row>
    <row r="325" spans="1:1" x14ac:dyDescent="0.25">
      <c r="A325" t="s">
        <v>1966</v>
      </c>
    </row>
    <row r="327" spans="1:1" x14ac:dyDescent="0.25">
      <c r="A327" t="s">
        <v>1967</v>
      </c>
    </row>
    <row r="329" spans="1:1" x14ac:dyDescent="0.25">
      <c r="A329" t="s">
        <v>1968</v>
      </c>
    </row>
    <row r="331" spans="1:1" x14ac:dyDescent="0.25">
      <c r="A331" t="s">
        <v>1969</v>
      </c>
    </row>
    <row r="333" spans="1:1" x14ac:dyDescent="0.25">
      <c r="A333" t="s">
        <v>1970</v>
      </c>
    </row>
    <row r="335" spans="1:1" x14ac:dyDescent="0.25">
      <c r="A335" t="s">
        <v>1971</v>
      </c>
    </row>
    <row r="337" spans="1:1" x14ac:dyDescent="0.25">
      <c r="A337" t="s">
        <v>1972</v>
      </c>
    </row>
    <row r="339" spans="1:1" x14ac:dyDescent="0.25">
      <c r="A339" t="s">
        <v>1973</v>
      </c>
    </row>
    <row r="341" spans="1:1" x14ac:dyDescent="0.25">
      <c r="A341" t="s">
        <v>1974</v>
      </c>
    </row>
    <row r="343" spans="1:1" x14ac:dyDescent="0.25">
      <c r="A343" t="s">
        <v>1975</v>
      </c>
    </row>
    <row r="345" spans="1:1" x14ac:dyDescent="0.25">
      <c r="A345" t="s">
        <v>1976</v>
      </c>
    </row>
    <row r="347" spans="1:1" x14ac:dyDescent="0.25">
      <c r="A347" t="s">
        <v>1977</v>
      </c>
    </row>
    <row r="349" spans="1:1" x14ac:dyDescent="0.25">
      <c r="A349" t="s">
        <v>1978</v>
      </c>
    </row>
    <row r="351" spans="1:1" x14ac:dyDescent="0.25">
      <c r="A351" t="s">
        <v>1979</v>
      </c>
    </row>
    <row r="353" spans="1:1" x14ac:dyDescent="0.25">
      <c r="A353" t="s">
        <v>1980</v>
      </c>
    </row>
    <row r="355" spans="1:1" x14ac:dyDescent="0.25">
      <c r="A355" t="s">
        <v>321</v>
      </c>
    </row>
    <row r="356" spans="1:1" x14ac:dyDescent="0.25">
      <c r="A356" t="s">
        <v>1981</v>
      </c>
    </row>
    <row r="357" spans="1:1" x14ac:dyDescent="0.25">
      <c r="A357">
        <v>100000.48716</v>
      </c>
    </row>
    <row r="358" spans="1:1" x14ac:dyDescent="0.25">
      <c r="A358">
        <v>7.2340132275899999E-3</v>
      </c>
    </row>
    <row r="359" spans="1:1" x14ac:dyDescent="0.25">
      <c r="A359" t="s">
        <v>292</v>
      </c>
    </row>
    <row r="360" spans="1:1" x14ac:dyDescent="0.25">
      <c r="A360" t="s">
        <v>295</v>
      </c>
    </row>
    <row r="361" spans="1:1" x14ac:dyDescent="0.25">
      <c r="A361" t="s">
        <v>1829</v>
      </c>
    </row>
    <row r="362" spans="1:1" x14ac:dyDescent="0.25">
      <c r="A362" t="s">
        <v>283</v>
      </c>
    </row>
    <row r="364" spans="1:1" x14ac:dyDescent="0.25">
      <c r="A364" t="s">
        <v>1884</v>
      </c>
    </row>
    <row r="366" spans="1:1" x14ac:dyDescent="0.25">
      <c r="A366" t="s">
        <v>1982</v>
      </c>
    </row>
    <row r="367" spans="1:1" x14ac:dyDescent="0.25">
      <c r="A367" t="s">
        <v>1983</v>
      </c>
    </row>
    <row r="368" spans="1:1" x14ac:dyDescent="0.25">
      <c r="A368" t="s">
        <v>1984</v>
      </c>
    </row>
    <row r="370" spans="1:1" x14ac:dyDescent="0.25">
      <c r="A370" t="s">
        <v>1985</v>
      </c>
    </row>
    <row r="372" spans="1:1" x14ac:dyDescent="0.25">
      <c r="A372" t="s">
        <v>1986</v>
      </c>
    </row>
    <row r="374" spans="1:1" x14ac:dyDescent="0.25">
      <c r="A374" t="s">
        <v>1987</v>
      </c>
    </row>
    <row r="376" spans="1:1" x14ac:dyDescent="0.25">
      <c r="A376" t="s">
        <v>1988</v>
      </c>
    </row>
    <row r="378" spans="1:1" x14ac:dyDescent="0.25">
      <c r="A378" t="s">
        <v>1989</v>
      </c>
    </row>
    <row r="380" spans="1:1" x14ac:dyDescent="0.25">
      <c r="A380" t="s">
        <v>1990</v>
      </c>
    </row>
    <row r="382" spans="1:1" x14ac:dyDescent="0.25">
      <c r="A382" t="s">
        <v>1991</v>
      </c>
    </row>
    <row r="384" spans="1:1" x14ac:dyDescent="0.25">
      <c r="A384" t="s">
        <v>1992</v>
      </c>
    </row>
    <row r="386" spans="1:1" x14ac:dyDescent="0.25">
      <c r="A386" t="s">
        <v>1993</v>
      </c>
    </row>
    <row r="388" spans="1:1" x14ac:dyDescent="0.25">
      <c r="A388" t="s">
        <v>1994</v>
      </c>
    </row>
    <row r="390" spans="1:1" x14ac:dyDescent="0.25">
      <c r="A390" t="s">
        <v>1995</v>
      </c>
    </row>
    <row r="392" spans="1:1" x14ac:dyDescent="0.25">
      <c r="A392" t="s">
        <v>1996</v>
      </c>
    </row>
    <row r="394" spans="1:1" x14ac:dyDescent="0.25">
      <c r="A394" t="s">
        <v>1997</v>
      </c>
    </row>
    <row r="396" spans="1:1" x14ac:dyDescent="0.25">
      <c r="A396" t="s">
        <v>1998</v>
      </c>
    </row>
    <row r="398" spans="1:1" x14ac:dyDescent="0.25">
      <c r="A398" t="s">
        <v>1999</v>
      </c>
    </row>
    <row r="400" spans="1:1" x14ac:dyDescent="0.25">
      <c r="A400" t="s">
        <v>2000</v>
      </c>
    </row>
    <row r="402" spans="1:1" x14ac:dyDescent="0.25">
      <c r="A402" t="s">
        <v>2001</v>
      </c>
    </row>
    <row r="404" spans="1:1" x14ac:dyDescent="0.25">
      <c r="A404" t="s">
        <v>2002</v>
      </c>
    </row>
    <row r="406" spans="1:1" x14ac:dyDescent="0.25">
      <c r="A406" t="s">
        <v>2003</v>
      </c>
    </row>
    <row r="408" spans="1:1" x14ac:dyDescent="0.25">
      <c r="A408" t="s">
        <v>2004</v>
      </c>
    </row>
    <row r="410" spans="1:1" x14ac:dyDescent="0.25">
      <c r="A410" t="s">
        <v>2005</v>
      </c>
    </row>
    <row r="412" spans="1:1" x14ac:dyDescent="0.25">
      <c r="A412" t="s">
        <v>321</v>
      </c>
    </row>
    <row r="413" spans="1:1" x14ac:dyDescent="0.25">
      <c r="A413" t="s">
        <v>2006</v>
      </c>
    </row>
    <row r="414" spans="1:1" x14ac:dyDescent="0.25">
      <c r="A414">
        <v>100000.45275</v>
      </c>
    </row>
    <row r="415" spans="1:1" x14ac:dyDescent="0.25">
      <c r="A415">
        <v>9.4992243453200006E-3</v>
      </c>
    </row>
    <row r="416" spans="1:1" x14ac:dyDescent="0.25">
      <c r="A416" t="s">
        <v>292</v>
      </c>
    </row>
    <row r="417" spans="1:1" x14ac:dyDescent="0.25">
      <c r="A417" t="s">
        <v>295</v>
      </c>
    </row>
    <row r="418" spans="1:1" x14ac:dyDescent="0.25">
      <c r="A418" t="s">
        <v>1829</v>
      </c>
    </row>
    <row r="419" spans="1:1" x14ac:dyDescent="0.25">
      <c r="A419" t="s">
        <v>283</v>
      </c>
    </row>
    <row r="421" spans="1:1" x14ac:dyDescent="0.25">
      <c r="A421" t="s">
        <v>1884</v>
      </c>
    </row>
    <row r="423" spans="1:1" x14ac:dyDescent="0.25">
      <c r="A423" t="s">
        <v>2007</v>
      </c>
    </row>
    <row r="424" spans="1:1" x14ac:dyDescent="0.25">
      <c r="A424" t="s">
        <v>2008</v>
      </c>
    </row>
    <row r="425" spans="1:1" x14ac:dyDescent="0.25">
      <c r="A425" t="s">
        <v>2009</v>
      </c>
    </row>
    <row r="427" spans="1:1" x14ac:dyDescent="0.25">
      <c r="A427" t="s">
        <v>2010</v>
      </c>
    </row>
    <row r="429" spans="1:1" x14ac:dyDescent="0.25">
      <c r="A429" t="s">
        <v>2011</v>
      </c>
    </row>
    <row r="431" spans="1:1" x14ac:dyDescent="0.25">
      <c r="A431" t="s">
        <v>2012</v>
      </c>
    </row>
    <row r="433" spans="1:1" x14ac:dyDescent="0.25">
      <c r="A433" t="s">
        <v>2013</v>
      </c>
    </row>
    <row r="435" spans="1:1" x14ac:dyDescent="0.25">
      <c r="A435" t="s">
        <v>2014</v>
      </c>
    </row>
    <row r="437" spans="1:1" x14ac:dyDescent="0.25">
      <c r="A437" t="s">
        <v>2015</v>
      </c>
    </row>
    <row r="439" spans="1:1" x14ac:dyDescent="0.25">
      <c r="A439" t="s">
        <v>2016</v>
      </c>
    </row>
    <row r="441" spans="1:1" x14ac:dyDescent="0.25">
      <c r="A441" t="s">
        <v>2017</v>
      </c>
    </row>
    <row r="443" spans="1:1" x14ac:dyDescent="0.25">
      <c r="A443" t="s">
        <v>2018</v>
      </c>
    </row>
    <row r="445" spans="1:1" x14ac:dyDescent="0.25">
      <c r="A445" t="s">
        <v>2019</v>
      </c>
    </row>
    <row r="447" spans="1:1" x14ac:dyDescent="0.25">
      <c r="A447" t="s">
        <v>2020</v>
      </c>
    </row>
    <row r="449" spans="1:1" x14ac:dyDescent="0.25">
      <c r="A449" t="s">
        <v>2021</v>
      </c>
    </row>
    <row r="451" spans="1:1" x14ac:dyDescent="0.25">
      <c r="A451" t="s">
        <v>2022</v>
      </c>
    </row>
    <row r="453" spans="1:1" x14ac:dyDescent="0.25">
      <c r="A453" t="s">
        <v>2023</v>
      </c>
    </row>
    <row r="455" spans="1:1" x14ac:dyDescent="0.25">
      <c r="A455" t="s">
        <v>2024</v>
      </c>
    </row>
    <row r="457" spans="1:1" x14ac:dyDescent="0.25">
      <c r="A457" t="s">
        <v>2025</v>
      </c>
    </row>
    <row r="459" spans="1:1" x14ac:dyDescent="0.25">
      <c r="A459" t="s">
        <v>2026</v>
      </c>
    </row>
    <row r="461" spans="1:1" x14ac:dyDescent="0.25">
      <c r="A461" t="s">
        <v>2027</v>
      </c>
    </row>
    <row r="463" spans="1:1" x14ac:dyDescent="0.25">
      <c r="A463" t="s">
        <v>2028</v>
      </c>
    </row>
    <row r="465" spans="1:1" x14ac:dyDescent="0.25">
      <c r="A465" t="s">
        <v>2029</v>
      </c>
    </row>
    <row r="467" spans="1:1" x14ac:dyDescent="0.25">
      <c r="A467" t="s">
        <v>2030</v>
      </c>
    </row>
    <row r="469" spans="1:1" x14ac:dyDescent="0.25">
      <c r="A469" t="s">
        <v>321</v>
      </c>
    </row>
    <row r="470" spans="1:1" x14ac:dyDescent="0.25">
      <c r="A470" t="s">
        <v>2031</v>
      </c>
    </row>
    <row r="471" spans="1:1" x14ac:dyDescent="0.25">
      <c r="A471">
        <v>1000008.3713</v>
      </c>
    </row>
    <row r="472" spans="1:1" x14ac:dyDescent="0.25">
      <c r="A472">
        <v>0.54059792432499998</v>
      </c>
    </row>
    <row r="473" spans="1:1" x14ac:dyDescent="0.25">
      <c r="A473" t="s">
        <v>292</v>
      </c>
    </row>
    <row r="474" spans="1:1" x14ac:dyDescent="0.25">
      <c r="A474" t="s">
        <v>295</v>
      </c>
    </row>
    <row r="475" spans="1:1" x14ac:dyDescent="0.25">
      <c r="A475" t="s">
        <v>1829</v>
      </c>
    </row>
    <row r="476" spans="1:1" x14ac:dyDescent="0.25">
      <c r="A476" t="s">
        <v>283</v>
      </c>
    </row>
    <row r="478" spans="1:1" x14ac:dyDescent="0.25">
      <c r="A478" t="s">
        <v>1884</v>
      </c>
    </row>
    <row r="480" spans="1:1" x14ac:dyDescent="0.25">
      <c r="A480" t="s">
        <v>1982</v>
      </c>
    </row>
    <row r="481" spans="1:1" x14ac:dyDescent="0.25">
      <c r="A481" t="s">
        <v>2032</v>
      </c>
    </row>
    <row r="482" spans="1:1" x14ac:dyDescent="0.25">
      <c r="A482" t="s">
        <v>2033</v>
      </c>
    </row>
    <row r="484" spans="1:1" x14ac:dyDescent="0.25">
      <c r="A484" t="s">
        <v>2034</v>
      </c>
    </row>
    <row r="486" spans="1:1" x14ac:dyDescent="0.25">
      <c r="A486" t="s">
        <v>2035</v>
      </c>
    </row>
    <row r="488" spans="1:1" x14ac:dyDescent="0.25">
      <c r="A488" t="s">
        <v>2036</v>
      </c>
    </row>
    <row r="490" spans="1:1" x14ac:dyDescent="0.25">
      <c r="A490" t="s">
        <v>2037</v>
      </c>
    </row>
    <row r="492" spans="1:1" x14ac:dyDescent="0.25">
      <c r="A492" t="s">
        <v>2038</v>
      </c>
    </row>
    <row r="494" spans="1:1" x14ac:dyDescent="0.25">
      <c r="A494" t="s">
        <v>2039</v>
      </c>
    </row>
    <row r="496" spans="1:1" x14ac:dyDescent="0.25">
      <c r="A496" t="s">
        <v>2040</v>
      </c>
    </row>
    <row r="498" spans="1:1" x14ac:dyDescent="0.25">
      <c r="A498" t="s">
        <v>2041</v>
      </c>
    </row>
    <row r="500" spans="1:1" x14ac:dyDescent="0.25">
      <c r="A500" t="s">
        <v>2042</v>
      </c>
    </row>
    <row r="502" spans="1:1" x14ac:dyDescent="0.25">
      <c r="A502" t="s">
        <v>2043</v>
      </c>
    </row>
    <row r="504" spans="1:1" x14ac:dyDescent="0.25">
      <c r="A504" t="s">
        <v>2044</v>
      </c>
    </row>
    <row r="506" spans="1:1" x14ac:dyDescent="0.25">
      <c r="A506" t="s">
        <v>2045</v>
      </c>
    </row>
    <row r="508" spans="1:1" x14ac:dyDescent="0.25">
      <c r="A508" t="s">
        <v>2046</v>
      </c>
    </row>
    <row r="510" spans="1:1" x14ac:dyDescent="0.25">
      <c r="A510" t="s">
        <v>2047</v>
      </c>
    </row>
    <row r="512" spans="1:1" x14ac:dyDescent="0.25">
      <c r="A512" t="s">
        <v>2048</v>
      </c>
    </row>
    <row r="514" spans="1:1" x14ac:dyDescent="0.25">
      <c r="A514" t="s">
        <v>2049</v>
      </c>
    </row>
    <row r="516" spans="1:1" x14ac:dyDescent="0.25">
      <c r="A516" t="s">
        <v>2050</v>
      </c>
    </row>
    <row r="518" spans="1:1" x14ac:dyDescent="0.25">
      <c r="A518" t="s">
        <v>2051</v>
      </c>
    </row>
    <row r="520" spans="1:1" x14ac:dyDescent="0.25">
      <c r="A520" t="s">
        <v>2052</v>
      </c>
    </row>
    <row r="522" spans="1:1" x14ac:dyDescent="0.25">
      <c r="A522" t="s">
        <v>2053</v>
      </c>
    </row>
    <row r="524" spans="1:1" x14ac:dyDescent="0.25">
      <c r="A524" t="s">
        <v>2054</v>
      </c>
    </row>
    <row r="526" spans="1:1" x14ac:dyDescent="0.25">
      <c r="A526" t="s">
        <v>321</v>
      </c>
    </row>
    <row r="527" spans="1:1" x14ac:dyDescent="0.25">
      <c r="A527" t="s">
        <v>2055</v>
      </c>
    </row>
    <row r="528" spans="1:1" x14ac:dyDescent="0.25">
      <c r="A528">
        <v>99998.892850999997</v>
      </c>
    </row>
    <row r="529" spans="1:1" x14ac:dyDescent="0.25">
      <c r="A529">
        <v>7.2538112678899999E-3</v>
      </c>
    </row>
    <row r="530" spans="1:1" x14ac:dyDescent="0.25">
      <c r="A530" t="s">
        <v>292</v>
      </c>
    </row>
    <row r="531" spans="1:1" x14ac:dyDescent="0.25">
      <c r="A531" t="s">
        <v>295</v>
      </c>
    </row>
    <row r="532" spans="1:1" x14ac:dyDescent="0.25">
      <c r="A532" t="s">
        <v>1829</v>
      </c>
    </row>
    <row r="533" spans="1:1" x14ac:dyDescent="0.25">
      <c r="A533" t="s">
        <v>283</v>
      </c>
    </row>
    <row r="535" spans="1:1" x14ac:dyDescent="0.25">
      <c r="A535" t="s">
        <v>1884</v>
      </c>
    </row>
    <row r="537" spans="1:1" x14ac:dyDescent="0.25">
      <c r="A537" t="s">
        <v>493</v>
      </c>
    </row>
    <row r="538" spans="1:1" x14ac:dyDescent="0.25">
      <c r="A538" t="s">
        <v>2056</v>
      </c>
    </row>
    <row r="539" spans="1:1" x14ac:dyDescent="0.25">
      <c r="A539" t="s">
        <v>2057</v>
      </c>
    </row>
    <row r="541" spans="1:1" x14ac:dyDescent="0.25">
      <c r="A541" t="s">
        <v>2058</v>
      </c>
    </row>
    <row r="543" spans="1:1" x14ac:dyDescent="0.25">
      <c r="A543" t="s">
        <v>2059</v>
      </c>
    </row>
    <row r="545" spans="1:1" x14ac:dyDescent="0.25">
      <c r="A545" t="s">
        <v>2060</v>
      </c>
    </row>
    <row r="547" spans="1:1" x14ac:dyDescent="0.25">
      <c r="A547" t="s">
        <v>2061</v>
      </c>
    </row>
    <row r="549" spans="1:1" x14ac:dyDescent="0.25">
      <c r="A549" t="s">
        <v>2062</v>
      </c>
    </row>
    <row r="551" spans="1:1" x14ac:dyDescent="0.25">
      <c r="A551" t="s">
        <v>2063</v>
      </c>
    </row>
    <row r="553" spans="1:1" x14ac:dyDescent="0.25">
      <c r="A553" t="s">
        <v>2064</v>
      </c>
    </row>
    <row r="555" spans="1:1" x14ac:dyDescent="0.25">
      <c r="A555" t="s">
        <v>2065</v>
      </c>
    </row>
    <row r="557" spans="1:1" x14ac:dyDescent="0.25">
      <c r="A557" t="s">
        <v>2066</v>
      </c>
    </row>
    <row r="559" spans="1:1" x14ac:dyDescent="0.25">
      <c r="A559" t="s">
        <v>2067</v>
      </c>
    </row>
    <row r="561" spans="1:1" x14ac:dyDescent="0.25">
      <c r="A561" t="s">
        <v>2068</v>
      </c>
    </row>
    <row r="563" spans="1:1" x14ac:dyDescent="0.25">
      <c r="A563" t="s">
        <v>2069</v>
      </c>
    </row>
    <row r="565" spans="1:1" x14ac:dyDescent="0.25">
      <c r="A565" t="s">
        <v>2070</v>
      </c>
    </row>
    <row r="567" spans="1:1" x14ac:dyDescent="0.25">
      <c r="A567" t="s">
        <v>2071</v>
      </c>
    </row>
    <row r="569" spans="1:1" x14ac:dyDescent="0.25">
      <c r="A569" t="s">
        <v>2072</v>
      </c>
    </row>
    <row r="571" spans="1:1" x14ac:dyDescent="0.25">
      <c r="A571" t="s">
        <v>2073</v>
      </c>
    </row>
    <row r="573" spans="1:1" x14ac:dyDescent="0.25">
      <c r="A573" t="s">
        <v>2074</v>
      </c>
    </row>
    <row r="575" spans="1:1" x14ac:dyDescent="0.25">
      <c r="A575" t="s">
        <v>2075</v>
      </c>
    </row>
    <row r="577" spans="1:1" x14ac:dyDescent="0.25">
      <c r="A577" t="s">
        <v>2076</v>
      </c>
    </row>
    <row r="579" spans="1:1" x14ac:dyDescent="0.25">
      <c r="A579" t="s">
        <v>2077</v>
      </c>
    </row>
    <row r="581" spans="1:1" x14ac:dyDescent="0.25">
      <c r="A581" t="s">
        <v>2078</v>
      </c>
    </row>
    <row r="583" spans="1:1" x14ac:dyDescent="0.25">
      <c r="A583" t="s">
        <v>321</v>
      </c>
    </row>
    <row r="584" spans="1:1" x14ac:dyDescent="0.25">
      <c r="A584" t="s">
        <v>2079</v>
      </c>
    </row>
    <row r="585" spans="1:1" x14ac:dyDescent="0.25">
      <c r="A585">
        <v>10000.538617</v>
      </c>
    </row>
    <row r="586" spans="1:1" x14ac:dyDescent="0.25">
      <c r="A586">
        <v>1.1869425558999999E-3</v>
      </c>
    </row>
    <row r="587" spans="1:1" x14ac:dyDescent="0.25">
      <c r="A587" t="s">
        <v>292</v>
      </c>
    </row>
    <row r="588" spans="1:1" x14ac:dyDescent="0.25">
      <c r="A588" t="s">
        <v>295</v>
      </c>
    </row>
    <row r="589" spans="1:1" x14ac:dyDescent="0.25">
      <c r="A589" t="s">
        <v>1829</v>
      </c>
    </row>
    <row r="590" spans="1:1" x14ac:dyDescent="0.25">
      <c r="A590" t="s">
        <v>283</v>
      </c>
    </row>
    <row r="592" spans="1:1" x14ac:dyDescent="0.25">
      <c r="A592" t="s">
        <v>1884</v>
      </c>
    </row>
    <row r="594" spans="1:1" x14ac:dyDescent="0.25">
      <c r="A594" t="s">
        <v>2007</v>
      </c>
    </row>
    <row r="595" spans="1:1" x14ac:dyDescent="0.25">
      <c r="A595" t="s">
        <v>2080</v>
      </c>
    </row>
    <row r="596" spans="1:1" x14ac:dyDescent="0.25">
      <c r="A596" t="s">
        <v>2081</v>
      </c>
    </row>
    <row r="598" spans="1:1" x14ac:dyDescent="0.25">
      <c r="A598" t="s">
        <v>2082</v>
      </c>
    </row>
    <row r="600" spans="1:1" x14ac:dyDescent="0.25">
      <c r="A600" t="s">
        <v>2083</v>
      </c>
    </row>
    <row r="602" spans="1:1" x14ac:dyDescent="0.25">
      <c r="A602" t="s">
        <v>2084</v>
      </c>
    </row>
    <row r="604" spans="1:1" x14ac:dyDescent="0.25">
      <c r="A604" t="s">
        <v>2085</v>
      </c>
    </row>
    <row r="606" spans="1:1" x14ac:dyDescent="0.25">
      <c r="A606" t="s">
        <v>2086</v>
      </c>
    </row>
    <row r="608" spans="1:1" x14ac:dyDescent="0.25">
      <c r="A608" t="s">
        <v>2087</v>
      </c>
    </row>
    <row r="610" spans="1:1" x14ac:dyDescent="0.25">
      <c r="A610" t="s">
        <v>2088</v>
      </c>
    </row>
    <row r="612" spans="1:1" x14ac:dyDescent="0.25">
      <c r="A612" t="s">
        <v>2089</v>
      </c>
    </row>
    <row r="614" spans="1:1" x14ac:dyDescent="0.25">
      <c r="A614" t="s">
        <v>2090</v>
      </c>
    </row>
    <row r="616" spans="1:1" x14ac:dyDescent="0.25">
      <c r="A616" t="s">
        <v>2091</v>
      </c>
    </row>
    <row r="618" spans="1:1" x14ac:dyDescent="0.25">
      <c r="A618" t="s">
        <v>2092</v>
      </c>
    </row>
    <row r="620" spans="1:1" x14ac:dyDescent="0.25">
      <c r="A620" t="s">
        <v>2093</v>
      </c>
    </row>
    <row r="622" spans="1:1" x14ac:dyDescent="0.25">
      <c r="A622" t="s">
        <v>2094</v>
      </c>
    </row>
    <row r="624" spans="1:1" x14ac:dyDescent="0.25">
      <c r="A624" t="s">
        <v>2095</v>
      </c>
    </row>
    <row r="626" spans="1:1" x14ac:dyDescent="0.25">
      <c r="A626" t="s">
        <v>2096</v>
      </c>
    </row>
    <row r="628" spans="1:1" x14ac:dyDescent="0.25">
      <c r="A628" t="s">
        <v>2097</v>
      </c>
    </row>
    <row r="630" spans="1:1" x14ac:dyDescent="0.25">
      <c r="A630" t="s">
        <v>2098</v>
      </c>
    </row>
    <row r="632" spans="1:1" x14ac:dyDescent="0.25">
      <c r="A632" t="s">
        <v>2099</v>
      </c>
    </row>
    <row r="634" spans="1:1" x14ac:dyDescent="0.25">
      <c r="A634" t="s">
        <v>2100</v>
      </c>
    </row>
    <row r="636" spans="1:1" x14ac:dyDescent="0.25">
      <c r="A636" t="s">
        <v>2101</v>
      </c>
    </row>
    <row r="638" spans="1:1" x14ac:dyDescent="0.25">
      <c r="A638" t="s">
        <v>2102</v>
      </c>
    </row>
    <row r="640" spans="1:1" x14ac:dyDescent="0.25">
      <c r="A640" t="s">
        <v>321</v>
      </c>
    </row>
    <row r="641" spans="1:1" x14ac:dyDescent="0.25">
      <c r="A641" t="s">
        <v>2103</v>
      </c>
    </row>
    <row r="642" spans="1:1" x14ac:dyDescent="0.25">
      <c r="A642">
        <v>1000065.50605</v>
      </c>
    </row>
    <row r="643" spans="1:1" x14ac:dyDescent="0.25">
      <c r="A643">
        <v>0.163966130958</v>
      </c>
    </row>
    <row r="644" spans="1:1" x14ac:dyDescent="0.25">
      <c r="A644" t="s">
        <v>292</v>
      </c>
    </row>
    <row r="645" spans="1:1" x14ac:dyDescent="0.25">
      <c r="A645" t="s">
        <v>295</v>
      </c>
    </row>
    <row r="646" spans="1:1" x14ac:dyDescent="0.25">
      <c r="A646" t="s">
        <v>1829</v>
      </c>
    </row>
    <row r="647" spans="1:1" x14ac:dyDescent="0.25">
      <c r="A647" t="s">
        <v>283</v>
      </c>
    </row>
    <row r="649" spans="1:1" x14ac:dyDescent="0.25">
      <c r="A649" t="s">
        <v>1884</v>
      </c>
    </row>
    <row r="651" spans="1:1" x14ac:dyDescent="0.25">
      <c r="A651" t="s">
        <v>1982</v>
      </c>
    </row>
    <row r="652" spans="1:1" x14ac:dyDescent="0.25">
      <c r="A652" t="s">
        <v>2104</v>
      </c>
    </row>
    <row r="653" spans="1:1" x14ac:dyDescent="0.25">
      <c r="A653" t="s">
        <v>2105</v>
      </c>
    </row>
    <row r="655" spans="1:1" x14ac:dyDescent="0.25">
      <c r="A655" t="s">
        <v>2106</v>
      </c>
    </row>
    <row r="657" spans="1:1" x14ac:dyDescent="0.25">
      <c r="A657" t="s">
        <v>2107</v>
      </c>
    </row>
    <row r="659" spans="1:1" x14ac:dyDescent="0.25">
      <c r="A659" t="s">
        <v>2108</v>
      </c>
    </row>
    <row r="661" spans="1:1" x14ac:dyDescent="0.25">
      <c r="A661" t="s">
        <v>2109</v>
      </c>
    </row>
    <row r="663" spans="1:1" x14ac:dyDescent="0.25">
      <c r="A663" t="s">
        <v>2110</v>
      </c>
    </row>
    <row r="665" spans="1:1" x14ac:dyDescent="0.25">
      <c r="A665" t="s">
        <v>2111</v>
      </c>
    </row>
    <row r="667" spans="1:1" x14ac:dyDescent="0.25">
      <c r="A667" t="s">
        <v>2112</v>
      </c>
    </row>
    <row r="669" spans="1:1" x14ac:dyDescent="0.25">
      <c r="A669" t="s">
        <v>2113</v>
      </c>
    </row>
    <row r="671" spans="1:1" x14ac:dyDescent="0.25">
      <c r="A671" t="s">
        <v>2114</v>
      </c>
    </row>
    <row r="673" spans="1:1" x14ac:dyDescent="0.25">
      <c r="A673" t="s">
        <v>2115</v>
      </c>
    </row>
    <row r="675" spans="1:1" x14ac:dyDescent="0.25">
      <c r="A675" t="s">
        <v>2116</v>
      </c>
    </row>
    <row r="677" spans="1:1" x14ac:dyDescent="0.25">
      <c r="A677" t="s">
        <v>2117</v>
      </c>
    </row>
    <row r="679" spans="1:1" x14ac:dyDescent="0.25">
      <c r="A679" t="s">
        <v>2118</v>
      </c>
    </row>
    <row r="681" spans="1:1" x14ac:dyDescent="0.25">
      <c r="A681" t="s">
        <v>2119</v>
      </c>
    </row>
    <row r="683" spans="1:1" x14ac:dyDescent="0.25">
      <c r="A683" t="s">
        <v>2120</v>
      </c>
    </row>
    <row r="685" spans="1:1" x14ac:dyDescent="0.25">
      <c r="A685" t="s">
        <v>2121</v>
      </c>
    </row>
    <row r="687" spans="1:1" x14ac:dyDescent="0.25">
      <c r="A687" t="s">
        <v>2122</v>
      </c>
    </row>
    <row r="689" spans="1:1" x14ac:dyDescent="0.25">
      <c r="A689" t="s">
        <v>2123</v>
      </c>
    </row>
    <row r="691" spans="1:1" x14ac:dyDescent="0.25">
      <c r="A691" t="s">
        <v>2124</v>
      </c>
    </row>
    <row r="693" spans="1:1" x14ac:dyDescent="0.25">
      <c r="A693" t="s">
        <v>2125</v>
      </c>
    </row>
    <row r="695" spans="1:1" x14ac:dyDescent="0.25">
      <c r="A695" t="s">
        <v>2126</v>
      </c>
    </row>
    <row r="697" spans="1:1" x14ac:dyDescent="0.25">
      <c r="A697" t="s">
        <v>321</v>
      </c>
    </row>
    <row r="698" spans="1:1" x14ac:dyDescent="0.25">
      <c r="A698" t="s">
        <v>2127</v>
      </c>
    </row>
    <row r="699" spans="1:1" x14ac:dyDescent="0.25">
      <c r="A699">
        <v>99998.876478000006</v>
      </c>
    </row>
    <row r="700" spans="1:1" x14ac:dyDescent="0.25">
      <c r="A700">
        <v>7.1487426934400003E-3</v>
      </c>
    </row>
    <row r="701" spans="1:1" x14ac:dyDescent="0.25">
      <c r="A701" t="s">
        <v>292</v>
      </c>
    </row>
    <row r="702" spans="1:1" x14ac:dyDescent="0.25">
      <c r="A702" t="s">
        <v>295</v>
      </c>
    </row>
    <row r="703" spans="1:1" x14ac:dyDescent="0.25">
      <c r="A703" t="s">
        <v>1829</v>
      </c>
    </row>
    <row r="704" spans="1:1" x14ac:dyDescent="0.25">
      <c r="A704" t="s">
        <v>283</v>
      </c>
    </row>
    <row r="706" spans="1:1" x14ac:dyDescent="0.25">
      <c r="A706" t="s">
        <v>1884</v>
      </c>
    </row>
    <row r="708" spans="1:1" x14ac:dyDescent="0.25">
      <c r="A708" t="s">
        <v>1982</v>
      </c>
    </row>
    <row r="709" spans="1:1" x14ac:dyDescent="0.25">
      <c r="A709" t="s">
        <v>2128</v>
      </c>
    </row>
    <row r="710" spans="1:1" x14ac:dyDescent="0.25">
      <c r="A710" t="s">
        <v>2129</v>
      </c>
    </row>
    <row r="712" spans="1:1" x14ac:dyDescent="0.25">
      <c r="A712" t="s">
        <v>2130</v>
      </c>
    </row>
    <row r="714" spans="1:1" x14ac:dyDescent="0.25">
      <c r="A714" t="s">
        <v>2131</v>
      </c>
    </row>
    <row r="716" spans="1:1" x14ac:dyDescent="0.25">
      <c r="A716" t="s">
        <v>2132</v>
      </c>
    </row>
    <row r="718" spans="1:1" x14ac:dyDescent="0.25">
      <c r="A718" t="s">
        <v>2133</v>
      </c>
    </row>
    <row r="720" spans="1:1" x14ac:dyDescent="0.25">
      <c r="A720" t="s">
        <v>2134</v>
      </c>
    </row>
    <row r="722" spans="1:1" x14ac:dyDescent="0.25">
      <c r="A722" t="s">
        <v>2135</v>
      </c>
    </row>
    <row r="724" spans="1:1" x14ac:dyDescent="0.25">
      <c r="A724" t="s">
        <v>2136</v>
      </c>
    </row>
    <row r="726" spans="1:1" x14ac:dyDescent="0.25">
      <c r="A726" t="s">
        <v>2137</v>
      </c>
    </row>
    <row r="728" spans="1:1" x14ac:dyDescent="0.25">
      <c r="A728" t="s">
        <v>2138</v>
      </c>
    </row>
    <row r="730" spans="1:1" x14ac:dyDescent="0.25">
      <c r="A730" t="s">
        <v>2139</v>
      </c>
    </row>
    <row r="732" spans="1:1" x14ac:dyDescent="0.25">
      <c r="A732" t="s">
        <v>2140</v>
      </c>
    </row>
    <row r="734" spans="1:1" x14ac:dyDescent="0.25">
      <c r="A734" t="s">
        <v>2141</v>
      </c>
    </row>
    <row r="736" spans="1:1" x14ac:dyDescent="0.25">
      <c r="A736" t="s">
        <v>2142</v>
      </c>
    </row>
    <row r="738" spans="1:1" x14ac:dyDescent="0.25">
      <c r="A738" t="s">
        <v>2143</v>
      </c>
    </row>
    <row r="740" spans="1:1" x14ac:dyDescent="0.25">
      <c r="A740" t="s">
        <v>2144</v>
      </c>
    </row>
    <row r="742" spans="1:1" x14ac:dyDescent="0.25">
      <c r="A742" t="s">
        <v>2145</v>
      </c>
    </row>
    <row r="744" spans="1:1" x14ac:dyDescent="0.25">
      <c r="A744" t="s">
        <v>2146</v>
      </c>
    </row>
    <row r="746" spans="1:1" x14ac:dyDescent="0.25">
      <c r="A746" t="s">
        <v>2147</v>
      </c>
    </row>
    <row r="748" spans="1:1" x14ac:dyDescent="0.25">
      <c r="A748" t="s">
        <v>2148</v>
      </c>
    </row>
    <row r="750" spans="1:1" x14ac:dyDescent="0.25">
      <c r="A750" t="s">
        <v>2149</v>
      </c>
    </row>
    <row r="752" spans="1:1" x14ac:dyDescent="0.25">
      <c r="A752" t="s">
        <v>2150</v>
      </c>
    </row>
    <row r="754" spans="1:1" x14ac:dyDescent="0.25">
      <c r="A754" t="s">
        <v>321</v>
      </c>
    </row>
    <row r="755" spans="1:1" x14ac:dyDescent="0.25">
      <c r="A755" t="s">
        <v>2151</v>
      </c>
    </row>
    <row r="756" spans="1:1" x14ac:dyDescent="0.25">
      <c r="A756">
        <v>99998.337002500004</v>
      </c>
    </row>
    <row r="757" spans="1:1" x14ac:dyDescent="0.25">
      <c r="A757">
        <v>9.6890404037899992E-3</v>
      </c>
    </row>
    <row r="758" spans="1:1" x14ac:dyDescent="0.25">
      <c r="A758" t="s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3:B29"/>
  <sheetViews>
    <sheetView workbookViewId="0">
      <selection activeCell="B29" sqref="B29"/>
    </sheetView>
  </sheetViews>
  <sheetFormatPr defaultRowHeight="12.5" x14ac:dyDescent="0.25"/>
  <cols>
    <col min="1" max="1" width="65.81640625" bestFit="1" customWidth="1"/>
    <col min="2" max="2" width="48.81640625" bestFit="1" customWidth="1"/>
  </cols>
  <sheetData>
    <row r="3" spans="1:2" x14ac:dyDescent="0.25">
      <c r="A3" t="s">
        <v>238</v>
      </c>
    </row>
    <row r="4" spans="1:2" x14ac:dyDescent="0.25">
      <c r="A4" s="200" t="s">
        <v>274</v>
      </c>
    </row>
    <row r="5" spans="1:2" x14ac:dyDescent="0.25">
      <c r="A5" t="s">
        <v>239</v>
      </c>
    </row>
    <row r="6" spans="1:2" x14ac:dyDescent="0.25">
      <c r="B6" t="s">
        <v>244</v>
      </c>
    </row>
    <row r="7" spans="1:2" x14ac:dyDescent="0.25">
      <c r="B7" t="s">
        <v>240</v>
      </c>
    </row>
    <row r="8" spans="1:2" x14ac:dyDescent="0.25">
      <c r="B8" t="s">
        <v>245</v>
      </c>
    </row>
    <row r="9" spans="1:2" x14ac:dyDescent="0.25">
      <c r="B9" t="s">
        <v>272</v>
      </c>
    </row>
    <row r="23" spans="1:2" x14ac:dyDescent="0.25">
      <c r="A23" t="s">
        <v>2316</v>
      </c>
      <c r="B23" s="206" t="s">
        <v>2317</v>
      </c>
    </row>
    <row r="25" spans="1:2" x14ac:dyDescent="0.25">
      <c r="B25" s="247" t="s">
        <v>2318</v>
      </c>
    </row>
    <row r="27" spans="1:2" x14ac:dyDescent="0.25">
      <c r="B27" s="205" t="s">
        <v>2321</v>
      </c>
    </row>
    <row r="29" spans="1:2" x14ac:dyDescent="0.25">
      <c r="B29" s="254" t="s">
        <v>2329</v>
      </c>
    </row>
  </sheetData>
  <phoneticPr fontId="1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R59"/>
  <sheetViews>
    <sheetView topLeftCell="F1" workbookViewId="0">
      <selection activeCell="Q11" sqref="Q11"/>
    </sheetView>
  </sheetViews>
  <sheetFormatPr defaultRowHeight="12.5" x14ac:dyDescent="0.25"/>
  <cols>
    <col min="1" max="1" width="17" customWidth="1"/>
    <col min="2" max="2" width="19" customWidth="1"/>
    <col min="3" max="3" width="12.26953125" bestFit="1" customWidth="1"/>
    <col min="4" max="4" width="14.81640625" bestFit="1" customWidth="1"/>
    <col min="5" max="5" width="29.7265625" bestFit="1" customWidth="1"/>
    <col min="6" max="6" width="57" bestFit="1" customWidth="1"/>
    <col min="7" max="7" width="10.453125" bestFit="1" customWidth="1"/>
    <col min="8" max="8" width="10.54296875" bestFit="1" customWidth="1"/>
    <col min="9" max="9" width="15.26953125" customWidth="1"/>
    <col min="10" max="10" width="8.26953125" customWidth="1"/>
    <col min="11" max="11" width="11.26953125" customWidth="1"/>
    <col min="14" max="14" width="10.54296875" bestFit="1" customWidth="1"/>
    <col min="15" max="15" width="6.453125" customWidth="1"/>
    <col min="17" max="17" width="25.81640625" customWidth="1"/>
    <col min="18" max="18" width="17.81640625" customWidth="1"/>
    <col min="19" max="19" width="12.7265625" customWidth="1"/>
  </cols>
  <sheetData>
    <row r="1" spans="1:18" ht="13" x14ac:dyDescent="0.3">
      <c r="A1" s="1" t="s">
        <v>0</v>
      </c>
      <c r="B1" s="1"/>
      <c r="C1" s="1"/>
      <c r="Q1" s="205" t="s">
        <v>1111</v>
      </c>
    </row>
    <row r="2" spans="1:18" ht="13" x14ac:dyDescent="0.3">
      <c r="A2" s="14" t="s">
        <v>2</v>
      </c>
      <c r="B2" s="14"/>
      <c r="C2" s="14"/>
      <c r="Q2" s="205" t="s">
        <v>1110</v>
      </c>
    </row>
    <row r="3" spans="1:18" ht="13" x14ac:dyDescent="0.3">
      <c r="A3" s="9" t="s">
        <v>1</v>
      </c>
      <c r="B3" s="110">
        <v>44957</v>
      </c>
      <c r="E3" s="1" t="s">
        <v>93</v>
      </c>
      <c r="R3" s="205"/>
    </row>
    <row r="4" spans="1:18" x14ac:dyDescent="0.25">
      <c r="A4" s="9" t="s">
        <v>3</v>
      </c>
      <c r="B4" s="111" t="s">
        <v>2322</v>
      </c>
      <c r="Q4" t="s">
        <v>2323</v>
      </c>
      <c r="R4" s="205"/>
    </row>
    <row r="5" spans="1:18" x14ac:dyDescent="0.25">
      <c r="A5" s="9" t="s">
        <v>4</v>
      </c>
      <c r="B5" s="112" t="s">
        <v>2332</v>
      </c>
      <c r="H5" t="s">
        <v>2334</v>
      </c>
      <c r="R5" s="205"/>
    </row>
    <row r="6" spans="1:18" x14ac:dyDescent="0.25">
      <c r="A6" s="9"/>
      <c r="G6" s="205" t="s">
        <v>2325</v>
      </c>
      <c r="H6" t="s">
        <v>277</v>
      </c>
      <c r="O6" s="206" t="str">
        <f>'Original readings'!B135</f>
        <v>Tue Jan 31 16:05:39 2023</v>
      </c>
      <c r="P6" s="207" t="s">
        <v>15</v>
      </c>
      <c r="Q6" s="206">
        <f>VALUE('Original readings'!B138)</f>
        <v>10000.551211</v>
      </c>
      <c r="R6" s="206">
        <f>VALUE('Original readings'!B139)</f>
        <v>6.6379109743207598E-3</v>
      </c>
    </row>
    <row r="7" spans="1:18" x14ac:dyDescent="0.25">
      <c r="A7" s="9" t="s">
        <v>133</v>
      </c>
      <c r="B7" s="9" t="s">
        <v>6</v>
      </c>
      <c r="C7" s="9" t="s">
        <v>7</v>
      </c>
      <c r="D7" s="9" t="s">
        <v>8</v>
      </c>
      <c r="E7" s="9" t="s">
        <v>236</v>
      </c>
      <c r="F7" s="9" t="s">
        <v>237</v>
      </c>
      <c r="G7" s="9" t="s">
        <v>17</v>
      </c>
      <c r="H7" s="9" t="s">
        <v>255</v>
      </c>
      <c r="I7" s="9" t="s">
        <v>133</v>
      </c>
      <c r="J7" s="9" t="s">
        <v>241</v>
      </c>
      <c r="K7" s="9" t="s">
        <v>242</v>
      </c>
      <c r="L7" s="9" t="s">
        <v>243</v>
      </c>
      <c r="O7" s="206" t="str">
        <f>'Original readings'!B35</f>
        <v>Tue Jan 31 11:25:10 2023</v>
      </c>
      <c r="P7" s="207" t="s">
        <v>1109</v>
      </c>
      <c r="Q7" s="206">
        <f>VALUE('Original readings'!B38)</f>
        <v>9981.0833094999998</v>
      </c>
      <c r="R7" s="206">
        <f>VALUE('Original readings'!B39)</f>
        <v>4.5186009189425204E-3</v>
      </c>
    </row>
    <row r="8" spans="1:18" x14ac:dyDescent="0.25">
      <c r="A8" s="162">
        <v>1</v>
      </c>
      <c r="B8" s="163" t="s">
        <v>5</v>
      </c>
      <c r="C8" s="164" t="s">
        <v>13</v>
      </c>
      <c r="D8" s="164">
        <v>0</v>
      </c>
      <c r="E8" s="248">
        <f t="shared" ref="E8:F12" si="0">Q8</f>
        <v>10000.0172415</v>
      </c>
      <c r="F8" s="170">
        <f t="shared" si="0"/>
        <v>1.7046292234726499E-3</v>
      </c>
      <c r="G8" s="208">
        <v>21.03</v>
      </c>
      <c r="H8" s="35">
        <f>F8/E8*1000000</f>
        <v>0.17046262844412416</v>
      </c>
      <c r="I8" s="162">
        <v>2</v>
      </c>
      <c r="J8" s="174">
        <f>Q7</f>
        <v>9981.0833094999998</v>
      </c>
      <c r="K8" s="35">
        <v>21.06</v>
      </c>
      <c r="L8">
        <f>10000*(Comparision!L15*(K8-20)-0.027*(K8-20)^2)*0.000001</f>
        <v>5.4349738646616479E-3</v>
      </c>
      <c r="O8" s="206" t="str">
        <f>'Original readings'!B15</f>
        <v>Tue Jan 31 11:11:00 2023</v>
      </c>
      <c r="P8" s="207" t="s">
        <v>5</v>
      </c>
      <c r="Q8" s="206">
        <f>VALUE('Original readings'!B18)</f>
        <v>10000.0172415</v>
      </c>
      <c r="R8" s="206">
        <f>VALUE('Original readings'!B19)</f>
        <v>1.7046292234726499E-3</v>
      </c>
    </row>
    <row r="9" spans="1:18" x14ac:dyDescent="0.25">
      <c r="A9" s="165">
        <v>3</v>
      </c>
      <c r="B9" s="58" t="s">
        <v>9</v>
      </c>
      <c r="C9" s="73" t="s">
        <v>13</v>
      </c>
      <c r="D9" s="73">
        <v>0</v>
      </c>
      <c r="E9" s="249">
        <f t="shared" si="0"/>
        <v>10000.144851999999</v>
      </c>
      <c r="F9" s="166">
        <f t="shared" si="0"/>
        <v>5.2697124660064298E-3</v>
      </c>
      <c r="G9" s="209">
        <v>21.39</v>
      </c>
      <c r="H9" s="35">
        <f t="shared" ref="H9:H17" si="1">F9/E9*1000000</f>
        <v>0.5269636134273098</v>
      </c>
      <c r="I9" s="35"/>
      <c r="O9" s="206" t="str">
        <f>'Original readings'!B45</f>
        <v>Tue Jan 31 12:06:30 2023</v>
      </c>
      <c r="P9" s="206" t="s">
        <v>9</v>
      </c>
      <c r="Q9" s="206">
        <f>VALUE('Original readings'!B48)</f>
        <v>10000.144851999999</v>
      </c>
      <c r="R9" s="206">
        <f>VALUE('Original readings'!B49)</f>
        <v>5.2697124660064298E-3</v>
      </c>
    </row>
    <row r="10" spans="1:18" x14ac:dyDescent="0.25">
      <c r="A10" s="162">
        <v>4</v>
      </c>
      <c r="B10" s="58" t="s">
        <v>10</v>
      </c>
      <c r="C10" s="73" t="s">
        <v>13</v>
      </c>
      <c r="D10" s="73">
        <v>0</v>
      </c>
      <c r="E10" s="250">
        <f t="shared" si="0"/>
        <v>100001.11990000001</v>
      </c>
      <c r="F10" s="250">
        <f t="shared" si="0"/>
        <v>2.77987125797527E-2</v>
      </c>
      <c r="G10" s="209">
        <v>21.4</v>
      </c>
      <c r="H10" s="35">
        <f t="shared" si="1"/>
        <v>0.27798401265456929</v>
      </c>
      <c r="I10" s="35"/>
      <c r="O10" s="206" t="str">
        <f>'Original readings'!B185</f>
        <v>Wed Feb  1 17:09:44 2023</v>
      </c>
      <c r="P10" s="206" t="s">
        <v>10</v>
      </c>
      <c r="Q10" s="206">
        <f>'Original readings'!B188</f>
        <v>100001.11990000001</v>
      </c>
      <c r="R10" s="206">
        <f>VALUE('Original readings'!B189)</f>
        <v>2.77987125797527E-2</v>
      </c>
    </row>
    <row r="11" spans="1:18" x14ac:dyDescent="0.25">
      <c r="A11" s="165">
        <v>5</v>
      </c>
      <c r="B11" s="58" t="s">
        <v>11</v>
      </c>
      <c r="C11" s="73" t="s">
        <v>13</v>
      </c>
      <c r="D11" s="73">
        <v>0</v>
      </c>
      <c r="E11" s="250">
        <f t="shared" si="0"/>
        <v>100000.94443499899</v>
      </c>
      <c r="F11" s="167">
        <f t="shared" si="0"/>
        <v>1.1600602299612101E-2</v>
      </c>
      <c r="G11" s="209">
        <v>21.47</v>
      </c>
      <c r="H11" s="35">
        <f t="shared" si="1"/>
        <v>0.11600492740498604</v>
      </c>
      <c r="I11" s="35"/>
      <c r="O11" s="206" t="str">
        <f>'Original readings'!B75</f>
        <v>Tue Jan 31 13:26:56 2023</v>
      </c>
      <c r="P11" s="206" t="s">
        <v>11</v>
      </c>
      <c r="Q11" s="206">
        <f>VALUE('Original readings'!B78)</f>
        <v>100000.94443499899</v>
      </c>
      <c r="R11" s="206">
        <f>VALUE('Original readings'!B79)</f>
        <v>1.1600602299612101E-2</v>
      </c>
    </row>
    <row r="12" spans="1:18" x14ac:dyDescent="0.25">
      <c r="A12" s="162">
        <v>6</v>
      </c>
      <c r="B12" s="58" t="s">
        <v>12</v>
      </c>
      <c r="C12" s="73" t="s">
        <v>13</v>
      </c>
      <c r="D12" s="73">
        <v>0</v>
      </c>
      <c r="E12" s="251">
        <f t="shared" si="0"/>
        <v>1000015.3623499901</v>
      </c>
      <c r="F12" s="173">
        <f t="shared" si="0"/>
        <v>0.59573733835187503</v>
      </c>
      <c r="G12" s="209">
        <v>21.4</v>
      </c>
      <c r="H12" s="35">
        <f t="shared" si="1"/>
        <v>0.59572818656697402</v>
      </c>
      <c r="I12" s="35"/>
      <c r="O12" s="206" t="str">
        <f>'Original readings'!B175</f>
        <v>Tue Jan 31 17:03:53 2023</v>
      </c>
      <c r="P12" s="206" t="s">
        <v>12</v>
      </c>
      <c r="Q12" s="206">
        <f>VALUE('Original readings'!B178)</f>
        <v>1000015.3623499901</v>
      </c>
      <c r="R12" s="206">
        <f>VALUE('Original readings'!B179)</f>
        <v>0.59573733835187503</v>
      </c>
    </row>
    <row r="13" spans="1:18" x14ac:dyDescent="0.25">
      <c r="A13" s="165">
        <v>7</v>
      </c>
      <c r="B13" s="58" t="s">
        <v>14</v>
      </c>
      <c r="C13" s="73" t="s">
        <v>13</v>
      </c>
      <c r="D13" s="73">
        <v>0</v>
      </c>
      <c r="E13" s="250">
        <f>Q14</f>
        <v>99998.181487499998</v>
      </c>
      <c r="F13" s="167">
        <f>R14</f>
        <v>1.33476100266603E-2</v>
      </c>
      <c r="G13" s="209">
        <v>21.08</v>
      </c>
      <c r="H13" s="35">
        <f t="shared" si="1"/>
        <v>0.13347852759031203</v>
      </c>
      <c r="I13" s="35"/>
      <c r="O13" s="206" t="str">
        <f>'Original readings'!B145</f>
        <v>Tue Jan 31 16:11:03 2023</v>
      </c>
      <c r="P13" s="207" t="s">
        <v>16</v>
      </c>
      <c r="Q13" s="206">
        <f>VALUE('Original readings'!B148)</f>
        <v>99999.235396000004</v>
      </c>
      <c r="R13" s="206">
        <f>VALUE('Original readings'!B149)</f>
        <v>1.60640371152821E-2</v>
      </c>
    </row>
    <row r="14" spans="1:18" x14ac:dyDescent="0.25">
      <c r="A14" s="162">
        <v>8</v>
      </c>
      <c r="B14" s="58" t="s">
        <v>26</v>
      </c>
      <c r="C14" s="73" t="s">
        <v>13</v>
      </c>
      <c r="D14" s="73">
        <v>0</v>
      </c>
      <c r="E14" s="250">
        <f>Q15</f>
        <v>99998.782326500004</v>
      </c>
      <c r="F14" s="167">
        <f>R15</f>
        <v>9.3480351314694093E-3</v>
      </c>
      <c r="G14" s="209">
        <v>21.08</v>
      </c>
      <c r="H14" s="35">
        <f t="shared" si="1"/>
        <v>9.348148961402053E-2</v>
      </c>
      <c r="I14" s="35"/>
      <c r="O14" s="206" t="str">
        <f>'Original readings'!B105</f>
        <v>Tue Jan 31 14:48:45 2023</v>
      </c>
      <c r="P14" s="207" t="s">
        <v>14</v>
      </c>
      <c r="Q14" s="206">
        <f>VALUE('Original readings'!B108)</f>
        <v>99998.181487499998</v>
      </c>
      <c r="R14" s="206">
        <f>VALUE('Original readings'!B109)</f>
        <v>1.33476100266603E-2</v>
      </c>
    </row>
    <row r="15" spans="1:18" x14ac:dyDescent="0.25">
      <c r="A15" s="165">
        <v>9</v>
      </c>
      <c r="B15" s="58" t="s">
        <v>15</v>
      </c>
      <c r="C15" s="73" t="s">
        <v>13</v>
      </c>
      <c r="D15" s="73">
        <v>0</v>
      </c>
      <c r="E15" s="249">
        <f>Q6</f>
        <v>10000.551211</v>
      </c>
      <c r="F15" s="166">
        <f>R6</f>
        <v>6.6379109743207598E-3</v>
      </c>
      <c r="G15" s="209">
        <v>21.35</v>
      </c>
      <c r="H15" s="35">
        <f t="shared" si="1"/>
        <v>0.66375451055332435</v>
      </c>
      <c r="I15" s="35"/>
      <c r="O15" s="206" t="str">
        <f>'Original readings'!B115</f>
        <v>Tue Jan 31 14:57:29 2023</v>
      </c>
      <c r="P15" s="207" t="s">
        <v>2324</v>
      </c>
      <c r="Q15" s="206">
        <f>VALUE('Original readings'!B118)</f>
        <v>99998.782326500004</v>
      </c>
      <c r="R15" s="206">
        <f>VALUE('Original readings'!B119)</f>
        <v>9.3480351314694093E-3</v>
      </c>
    </row>
    <row r="16" spans="1:18" x14ac:dyDescent="0.25">
      <c r="A16" s="162">
        <v>10</v>
      </c>
      <c r="B16" s="58" t="s">
        <v>16</v>
      </c>
      <c r="C16" s="73" t="s">
        <v>13</v>
      </c>
      <c r="D16" s="73">
        <v>0</v>
      </c>
      <c r="E16" s="251">
        <f>Q13</f>
        <v>99999.235396000004</v>
      </c>
      <c r="F16" s="171">
        <f>R13</f>
        <v>1.60640371152821E-2</v>
      </c>
      <c r="G16" s="209">
        <v>21.43</v>
      </c>
      <c r="H16" s="35">
        <f t="shared" si="1"/>
        <v>0.16064159942491588</v>
      </c>
      <c r="I16" s="35"/>
      <c r="J16" t="s">
        <v>2659</v>
      </c>
      <c r="K16">
        <f>10000*(1-0.000000164)</f>
        <v>9999.9983599999996</v>
      </c>
      <c r="L16" t="s">
        <v>2660</v>
      </c>
      <c r="O16" s="206" t="str">
        <f>'Original readings'!B145</f>
        <v>Tue Jan 31 16:11:03 2023</v>
      </c>
      <c r="P16" s="207" t="s">
        <v>18</v>
      </c>
      <c r="Q16" s="206">
        <f>VALUE('Original readings'!B128)</f>
        <v>1000075.73225</v>
      </c>
      <c r="R16" s="206">
        <f>VALUE('Original readings'!B129)</f>
        <v>1.7799402673368501</v>
      </c>
    </row>
    <row r="17" spans="1:17" x14ac:dyDescent="0.25">
      <c r="A17" s="165">
        <v>11</v>
      </c>
      <c r="B17" s="168" t="s">
        <v>18</v>
      </c>
      <c r="C17" s="169" t="s">
        <v>13</v>
      </c>
      <c r="D17" s="169">
        <v>0</v>
      </c>
      <c r="E17" s="252">
        <f>Q16</f>
        <v>1000075.73225</v>
      </c>
      <c r="F17" s="172">
        <f>R16</f>
        <v>1.7799402673368501</v>
      </c>
      <c r="G17" s="210">
        <v>21.26</v>
      </c>
      <c r="H17" s="35">
        <f t="shared" si="1"/>
        <v>1.7798054786633886</v>
      </c>
      <c r="I17" s="35"/>
    </row>
    <row r="18" spans="1:17" x14ac:dyDescent="0.25">
      <c r="A18" s="206"/>
      <c r="B18" s="275"/>
      <c r="C18" s="206"/>
      <c r="D18" s="206"/>
      <c r="E18" s="206"/>
      <c r="F18" s="206"/>
      <c r="G18" s="206"/>
      <c r="J18" s="4"/>
    </row>
    <row r="19" spans="1:17" ht="13" x14ac:dyDescent="0.3">
      <c r="A19" s="1" t="s">
        <v>19</v>
      </c>
      <c r="B19" s="4"/>
      <c r="J19" s="4"/>
    </row>
    <row r="20" spans="1:17" ht="52.5" customHeight="1" x14ac:dyDescent="0.25">
      <c r="A20" s="9" t="s">
        <v>24</v>
      </c>
      <c r="B20" s="10" t="s">
        <v>27</v>
      </c>
      <c r="C20" s="10" t="s">
        <v>28</v>
      </c>
      <c r="D20" s="10" t="s">
        <v>29</v>
      </c>
      <c r="E20" s="10" t="s">
        <v>21</v>
      </c>
      <c r="F20" s="10" t="s">
        <v>22</v>
      </c>
      <c r="G20" s="10" t="s">
        <v>23</v>
      </c>
      <c r="H20" s="10" t="s">
        <v>25</v>
      </c>
      <c r="I20" s="13" t="s">
        <v>92</v>
      </c>
      <c r="J20" s="11" t="s">
        <v>20</v>
      </c>
      <c r="K20" s="9"/>
      <c r="L20" s="9"/>
      <c r="M20" s="9"/>
      <c r="N20" s="184" t="s">
        <v>254</v>
      </c>
      <c r="O20" s="184" t="s">
        <v>253</v>
      </c>
      <c r="P20" s="205" t="s">
        <v>2172</v>
      </c>
    </row>
    <row r="21" spans="1:17" x14ac:dyDescent="0.25">
      <c r="A21" s="9" t="s">
        <v>5</v>
      </c>
      <c r="B21" s="186">
        <v>10000</v>
      </c>
      <c r="C21" s="9"/>
      <c r="D21" s="9"/>
      <c r="E21" s="253">
        <f t="shared" ref="E21:F30" si="2">E8</f>
        <v>10000.0172415</v>
      </c>
      <c r="F21" s="256">
        <f>F8</f>
        <v>1.7046292234726499E-3</v>
      </c>
      <c r="G21" s="52">
        <f>H21-E21</f>
        <v>-1.3446526136249304E-2</v>
      </c>
      <c r="H21" s="127">
        <f>10000*(1-0.000000164)+L8</f>
        <v>10000.003794973863</v>
      </c>
      <c r="I21" s="257">
        <v>44294</v>
      </c>
      <c r="J21" s="211" t="s">
        <v>2338</v>
      </c>
      <c r="K21" s="129"/>
      <c r="L21" s="129"/>
      <c r="M21" s="130"/>
      <c r="N21" s="35">
        <f>G21/E21*1000000</f>
        <v>-1.3446502952461239</v>
      </c>
      <c r="O21" s="35">
        <f>F21/E21*1000000</f>
        <v>0.17046262844412416</v>
      </c>
      <c r="P21">
        <v>7.8E-2</v>
      </c>
      <c r="Q21" s="205" t="s">
        <v>2171</v>
      </c>
    </row>
    <row r="22" spans="1:17" x14ac:dyDescent="0.25">
      <c r="A22" s="9" t="s">
        <v>9</v>
      </c>
      <c r="B22" s="186">
        <v>10000</v>
      </c>
      <c r="C22" s="9">
        <f>1000000*(H22/B22-1)</f>
        <v>13.140547386214507</v>
      </c>
      <c r="D22" s="9"/>
      <c r="E22" s="253">
        <f t="shared" si="2"/>
        <v>10000.144851999999</v>
      </c>
      <c r="F22" s="9">
        <f t="shared" si="2"/>
        <v>5.2697124660064298E-3</v>
      </c>
      <c r="G22" s="9"/>
      <c r="H22" s="9">
        <f>E22+G21</f>
        <v>10000.131405473863</v>
      </c>
      <c r="I22" s="9"/>
      <c r="J22" s="11"/>
      <c r="K22" s="9"/>
      <c r="L22" s="9"/>
      <c r="M22" s="9"/>
      <c r="O22" s="35">
        <f t="shared" ref="O22:O30" si="3">F22/E22*1000000</f>
        <v>0.5269636134273098</v>
      </c>
    </row>
    <row r="23" spans="1:17" x14ac:dyDescent="0.25">
      <c r="A23" s="9" t="s">
        <v>10</v>
      </c>
      <c r="B23" s="186">
        <v>100000</v>
      </c>
      <c r="C23" s="9">
        <f t="shared" ref="C23:C30" si="4">1000000*(H23/B23-1)</f>
        <v>13.316012387187826</v>
      </c>
      <c r="D23" s="9"/>
      <c r="E23" s="253">
        <f t="shared" si="2"/>
        <v>100001.11990000001</v>
      </c>
      <c r="F23" s="9">
        <f t="shared" si="2"/>
        <v>2.77987125797527E-2</v>
      </c>
      <c r="G23" s="52">
        <f>H23-E23</f>
        <v>0.21170123871706892</v>
      </c>
      <c r="H23" s="9">
        <f>10*H22+0.1*(E23-E24)</f>
        <v>100001.33160123872</v>
      </c>
      <c r="I23" s="9" t="s">
        <v>31</v>
      </c>
      <c r="J23" s="11"/>
      <c r="K23" s="9"/>
      <c r="L23" s="9"/>
      <c r="M23" s="9"/>
      <c r="N23" s="35">
        <f>G23/E23*1000000</f>
        <v>2.1169886790144727</v>
      </c>
      <c r="O23" s="35">
        <f t="shared" si="3"/>
        <v>0.27798401265456929</v>
      </c>
    </row>
    <row r="24" spans="1:17" x14ac:dyDescent="0.25">
      <c r="A24" s="9" t="s">
        <v>11</v>
      </c>
      <c r="B24" s="186">
        <v>100000</v>
      </c>
      <c r="C24" s="9"/>
      <c r="D24" s="9"/>
      <c r="E24" s="253">
        <f t="shared" si="2"/>
        <v>100000.94443499899</v>
      </c>
      <c r="F24" s="9">
        <f t="shared" si="2"/>
        <v>1.1600602299612101E-2</v>
      </c>
      <c r="G24" s="9"/>
      <c r="H24" s="9"/>
      <c r="I24" s="9"/>
      <c r="J24" s="11"/>
      <c r="K24" s="9"/>
      <c r="L24" s="9"/>
      <c r="M24" s="9"/>
      <c r="O24" s="35">
        <f t="shared" si="3"/>
        <v>0.11600492740498604</v>
      </c>
    </row>
    <row r="25" spans="1:17" x14ac:dyDescent="0.25">
      <c r="A25" s="9" t="s">
        <v>12</v>
      </c>
      <c r="B25" s="186">
        <v>1000000</v>
      </c>
      <c r="C25" s="9">
        <f t="shared" si="4"/>
        <v>13.140547386436552</v>
      </c>
      <c r="D25" s="9"/>
      <c r="E25" s="253">
        <f t="shared" si="2"/>
        <v>1000015.3623499901</v>
      </c>
      <c r="F25" s="9">
        <f t="shared" si="2"/>
        <v>0.59573733835187503</v>
      </c>
      <c r="G25" s="52">
        <f>H25-E25</f>
        <v>-2.2218026036862284</v>
      </c>
      <c r="H25" s="9">
        <f>100*H22</f>
        <v>1000013.1405473864</v>
      </c>
      <c r="I25" s="12"/>
      <c r="J25" s="9"/>
      <c r="K25" s="9"/>
      <c r="L25" s="9"/>
      <c r="M25" s="9"/>
      <c r="N25" s="35">
        <f>G25/E25*1000000</f>
        <v>-2.2217684721013633</v>
      </c>
      <c r="O25" s="35">
        <f t="shared" si="3"/>
        <v>0.59572818656697402</v>
      </c>
    </row>
    <row r="26" spans="1:17" x14ac:dyDescent="0.25">
      <c r="A26" s="39" t="s">
        <v>14</v>
      </c>
      <c r="B26" s="187">
        <v>100000</v>
      </c>
      <c r="C26" s="40"/>
      <c r="D26" s="41">
        <f>-1000000*(H26/B26-1)</f>
        <v>16.068112612899199</v>
      </c>
      <c r="E26" s="253">
        <f t="shared" si="2"/>
        <v>99998.181487499998</v>
      </c>
      <c r="F26" s="9">
        <f t="shared" si="2"/>
        <v>1.33476100266603E-2</v>
      </c>
      <c r="G26" s="9"/>
      <c r="H26" s="9">
        <f>E26+G23</f>
        <v>99998.393188738715</v>
      </c>
      <c r="I26" s="12"/>
      <c r="J26" s="9"/>
      <c r="K26" s="9"/>
      <c r="L26" s="9"/>
      <c r="M26" s="9"/>
      <c r="O26" s="35">
        <f t="shared" si="3"/>
        <v>0.13347852759031203</v>
      </c>
    </row>
    <row r="27" spans="1:17" x14ac:dyDescent="0.25">
      <c r="A27" s="42" t="s">
        <v>26</v>
      </c>
      <c r="B27" s="188">
        <v>100000</v>
      </c>
      <c r="C27" s="27"/>
      <c r="D27" s="43">
        <f>-1000000*(H27/B27-1)</f>
        <v>10.05972261280963</v>
      </c>
      <c r="E27" s="253">
        <f t="shared" si="2"/>
        <v>99998.782326500004</v>
      </c>
      <c r="F27" s="9">
        <f t="shared" si="2"/>
        <v>9.3480351314694093E-3</v>
      </c>
      <c r="G27" s="9"/>
      <c r="H27" s="9">
        <f>E27+G23</f>
        <v>99998.994027738721</v>
      </c>
      <c r="I27" s="12"/>
      <c r="J27" s="9"/>
      <c r="K27" s="9"/>
      <c r="L27" s="9"/>
      <c r="M27" s="9"/>
      <c r="O27" s="35">
        <f t="shared" si="3"/>
        <v>9.348148961402053E-2</v>
      </c>
    </row>
    <row r="28" spans="1:17" x14ac:dyDescent="0.25">
      <c r="A28" s="42" t="s">
        <v>15</v>
      </c>
      <c r="B28" s="188">
        <v>10000</v>
      </c>
      <c r="C28" s="28">
        <f t="shared" si="4"/>
        <v>53.776447386466586</v>
      </c>
      <c r="D28" s="44"/>
      <c r="E28" s="253">
        <f t="shared" si="2"/>
        <v>10000.551211</v>
      </c>
      <c r="F28" s="9">
        <f t="shared" si="2"/>
        <v>6.6379109743207598E-3</v>
      </c>
      <c r="G28" s="9"/>
      <c r="H28" s="12">
        <f>E28+G21</f>
        <v>10000.537764473864</v>
      </c>
      <c r="I28" s="12"/>
      <c r="J28" s="9"/>
      <c r="K28" s="9"/>
      <c r="L28" s="9"/>
      <c r="M28" s="9"/>
      <c r="O28" s="35">
        <f t="shared" si="3"/>
        <v>0.66375451055332435</v>
      </c>
    </row>
    <row r="29" spans="1:17" x14ac:dyDescent="0.25">
      <c r="A29" s="42" t="s">
        <v>16</v>
      </c>
      <c r="B29" s="188">
        <v>100000</v>
      </c>
      <c r="C29" s="28">
        <f t="shared" si="4"/>
        <v>-5.5290276127495375</v>
      </c>
      <c r="D29" s="44"/>
      <c r="E29" s="253">
        <f t="shared" si="2"/>
        <v>99999.235396000004</v>
      </c>
      <c r="F29" s="9">
        <f t="shared" si="2"/>
        <v>1.60640371152821E-2</v>
      </c>
      <c r="G29" s="9"/>
      <c r="H29" s="9">
        <f>E29+G23</f>
        <v>99999.447097238721</v>
      </c>
      <c r="I29" s="12"/>
      <c r="J29" s="9"/>
      <c r="K29" s="9"/>
      <c r="L29" s="9"/>
      <c r="M29" s="9"/>
      <c r="O29" s="35">
        <f t="shared" si="3"/>
        <v>0.16064159942491588</v>
      </c>
      <c r="Q29" s="203">
        <v>1.08E-7</v>
      </c>
    </row>
    <row r="30" spans="1:17" x14ac:dyDescent="0.25">
      <c r="A30" s="45" t="s">
        <v>18</v>
      </c>
      <c r="B30" s="189">
        <v>1000000</v>
      </c>
      <c r="C30" s="46">
        <f t="shared" si="4"/>
        <v>73.51044739634105</v>
      </c>
      <c r="D30" s="47"/>
      <c r="E30" s="253">
        <f t="shared" si="2"/>
        <v>1000075.73225</v>
      </c>
      <c r="F30" s="9">
        <f t="shared" si="2"/>
        <v>1.7799402673368501</v>
      </c>
      <c r="G30" s="9"/>
      <c r="H30" s="9">
        <f>E30+G25</f>
        <v>1000073.5104473963</v>
      </c>
      <c r="I30" s="12"/>
      <c r="J30" s="9"/>
      <c r="K30" s="9"/>
      <c r="L30" s="9"/>
      <c r="M30" s="9"/>
      <c r="O30" s="35">
        <f t="shared" si="3"/>
        <v>1.7798054786633886</v>
      </c>
    </row>
    <row r="32" spans="1:17" x14ac:dyDescent="0.25">
      <c r="I32" s="2"/>
      <c r="J32" s="2"/>
    </row>
    <row r="34" spans="1:13" ht="13" x14ac:dyDescent="0.3">
      <c r="A34" s="14" t="s">
        <v>32</v>
      </c>
      <c r="B34" s="14"/>
      <c r="C34" s="26"/>
      <c r="D34" s="26"/>
    </row>
    <row r="35" spans="1:13" x14ac:dyDescent="0.25">
      <c r="A35" s="9"/>
      <c r="B35" s="9"/>
      <c r="C35" s="9"/>
      <c r="D35" s="9"/>
      <c r="E35" s="9" t="s">
        <v>33</v>
      </c>
      <c r="F35" s="9" t="s">
        <v>226</v>
      </c>
      <c r="G35" s="9"/>
      <c r="J35" s="3"/>
    </row>
    <row r="36" spans="1:13" ht="13" x14ac:dyDescent="0.3">
      <c r="A36" s="9"/>
      <c r="B36" s="9"/>
      <c r="C36" s="9"/>
      <c r="D36" s="9"/>
      <c r="E36" s="15" t="s">
        <v>30</v>
      </c>
      <c r="F36" s="9"/>
      <c r="G36" s="9"/>
      <c r="H36" s="9"/>
      <c r="I36" s="9"/>
      <c r="J36" s="9"/>
    </row>
    <row r="37" spans="1:13" x14ac:dyDescent="0.25">
      <c r="A37" s="9"/>
      <c r="B37" s="9"/>
      <c r="C37" s="9"/>
      <c r="D37" s="9"/>
      <c r="E37" s="9" t="s">
        <v>36</v>
      </c>
      <c r="F37" s="9" t="s">
        <v>20</v>
      </c>
      <c r="G37" s="9"/>
      <c r="H37" s="9"/>
      <c r="I37" s="9"/>
      <c r="J37" s="9"/>
    </row>
    <row r="38" spans="1:13" x14ac:dyDescent="0.25">
      <c r="A38" s="9" t="s">
        <v>34</v>
      </c>
      <c r="B38" s="9"/>
      <c r="C38" s="52">
        <v>27.82</v>
      </c>
      <c r="D38" s="52">
        <v>-6.19</v>
      </c>
      <c r="E38" s="131">
        <v>41831</v>
      </c>
      <c r="F38" s="114" t="s">
        <v>1114</v>
      </c>
      <c r="G38" s="114"/>
      <c r="H38" s="114"/>
      <c r="I38" s="116"/>
      <c r="J38" s="116"/>
      <c r="M38" s="254" t="s">
        <v>2345</v>
      </c>
    </row>
    <row r="39" spans="1:13" x14ac:dyDescent="0.25">
      <c r="A39" s="9" t="s">
        <v>35</v>
      </c>
      <c r="B39" s="9"/>
      <c r="C39" s="52">
        <v>14.18</v>
      </c>
      <c r="D39" s="52">
        <v>-6.76</v>
      </c>
      <c r="E39" s="132">
        <v>41831</v>
      </c>
      <c r="F39" s="114" t="s">
        <v>1114</v>
      </c>
      <c r="G39" s="124"/>
      <c r="H39" s="124"/>
      <c r="I39" s="126"/>
      <c r="J39" s="126"/>
      <c r="M39" s="205" t="s">
        <v>2346</v>
      </c>
    </row>
    <row r="41" spans="1:13" ht="13" x14ac:dyDescent="0.3">
      <c r="A41" s="14" t="s">
        <v>1116</v>
      </c>
      <c r="B41" s="26"/>
      <c r="C41" s="26"/>
      <c r="D41" s="26"/>
    </row>
    <row r="42" spans="1:13" x14ac:dyDescent="0.25">
      <c r="A42" s="9" t="s">
        <v>1</v>
      </c>
      <c r="B42" s="267">
        <v>37288</v>
      </c>
    </row>
    <row r="43" spans="1:13" x14ac:dyDescent="0.25">
      <c r="A43" s="9"/>
      <c r="B43" s="9"/>
      <c r="C43" s="9"/>
      <c r="D43" s="9"/>
      <c r="E43" s="9" t="s">
        <v>33</v>
      </c>
      <c r="F43" s="9" t="s">
        <v>226</v>
      </c>
      <c r="G43" s="9"/>
    </row>
    <row r="44" spans="1:13" x14ac:dyDescent="0.25">
      <c r="A44" s="9" t="s">
        <v>134</v>
      </c>
      <c r="B44" s="9" t="s">
        <v>6</v>
      </c>
      <c r="C44" s="9" t="s">
        <v>266</v>
      </c>
      <c r="D44" s="9" t="s">
        <v>267</v>
      </c>
      <c r="E44" s="213" t="s">
        <v>1113</v>
      </c>
      <c r="F44" s="9" t="s">
        <v>137</v>
      </c>
      <c r="G44" s="9"/>
      <c r="J44" s="6"/>
    </row>
    <row r="45" spans="1:13" x14ac:dyDescent="0.25">
      <c r="A45" s="260">
        <v>12</v>
      </c>
      <c r="B45" s="261" t="s">
        <v>263</v>
      </c>
      <c r="C45" s="261">
        <v>1000.0323</v>
      </c>
      <c r="D45" s="261">
        <v>0.21084</v>
      </c>
      <c r="E45" s="114" t="s">
        <v>2452</v>
      </c>
      <c r="F45" s="114"/>
      <c r="G45" s="116"/>
    </row>
    <row r="46" spans="1:13" x14ac:dyDescent="0.25">
      <c r="A46" s="262">
        <v>13</v>
      </c>
      <c r="B46" s="263" t="s">
        <v>264</v>
      </c>
      <c r="C46" s="263">
        <v>1000.0164</v>
      </c>
      <c r="D46" s="263">
        <v>0.21598999999999999</v>
      </c>
      <c r="E46" s="118">
        <v>23.006499999999999</v>
      </c>
      <c r="F46" s="118"/>
      <c r="G46" s="121"/>
    </row>
    <row r="47" spans="1:13" x14ac:dyDescent="0.25">
      <c r="A47" s="264">
        <v>14</v>
      </c>
      <c r="B47" s="265" t="s">
        <v>265</v>
      </c>
      <c r="C47" s="265">
        <v>1000.1742</v>
      </c>
      <c r="D47" s="265">
        <v>0.13596</v>
      </c>
      <c r="E47" s="124"/>
      <c r="F47" s="266">
        <f>20.81</f>
        <v>20.81</v>
      </c>
      <c r="G47" s="126" t="s">
        <v>136</v>
      </c>
    </row>
    <row r="48" spans="1:13" ht="13" x14ac:dyDescent="0.3">
      <c r="A48" s="9"/>
      <c r="B48" s="9"/>
      <c r="C48" s="9"/>
      <c r="D48" s="213" t="s">
        <v>1115</v>
      </c>
      <c r="E48" s="15"/>
      <c r="F48" s="9"/>
      <c r="G48" s="9"/>
    </row>
    <row r="49" spans="1:8" x14ac:dyDescent="0.25">
      <c r="A49" s="9"/>
      <c r="B49" s="9"/>
      <c r="C49" s="9"/>
      <c r="D49" s="9" t="s">
        <v>268</v>
      </c>
      <c r="E49" s="9"/>
      <c r="F49" s="9"/>
      <c r="G49" s="9"/>
    </row>
    <row r="50" spans="1:8" x14ac:dyDescent="0.25">
      <c r="A50" s="9" t="s">
        <v>263</v>
      </c>
      <c r="B50" s="9"/>
      <c r="C50" s="37"/>
      <c r="D50" s="54">
        <f>C38-(C45/1000-1)*1000000</f>
        <v>-4.4799999999851181</v>
      </c>
      <c r="E50" s="12"/>
      <c r="F50" s="9"/>
      <c r="G50" s="9"/>
    </row>
    <row r="51" spans="1:8" x14ac:dyDescent="0.25">
      <c r="A51" s="9" t="s">
        <v>264</v>
      </c>
      <c r="B51" s="9"/>
      <c r="C51" s="37"/>
      <c r="D51" s="54">
        <f>C39-(C46/1000-1)*1000000</f>
        <v>-2.220000000027504</v>
      </c>
      <c r="E51" s="12"/>
      <c r="F51" s="9"/>
      <c r="G51" s="9"/>
      <c r="H51" s="205"/>
    </row>
    <row r="52" spans="1:8" x14ac:dyDescent="0.25">
      <c r="A52" s="9" t="s">
        <v>265</v>
      </c>
      <c r="B52" s="9"/>
      <c r="C52" s="37">
        <f>C47+D52*0.000001*1000</f>
        <v>1000.1708500000001</v>
      </c>
      <c r="D52" s="54">
        <f>AVERAGE(D50:D51)</f>
        <v>-3.350000000006311</v>
      </c>
      <c r="E52" s="9"/>
      <c r="F52" s="9"/>
      <c r="G52" s="9"/>
    </row>
    <row r="55" spans="1:8" ht="13" x14ac:dyDescent="0.3">
      <c r="A55" s="16" t="s">
        <v>275</v>
      </c>
      <c r="B55" s="17"/>
      <c r="C55" s="18"/>
      <c r="D55" s="18"/>
      <c r="E55" s="18"/>
      <c r="F55" s="19"/>
    </row>
    <row r="56" spans="1:8" x14ac:dyDescent="0.25">
      <c r="A56" s="20"/>
      <c r="B56" s="21"/>
      <c r="C56" s="21"/>
      <c r="D56" s="21"/>
      <c r="E56" s="21"/>
      <c r="F56" s="22"/>
    </row>
    <row r="57" spans="1:8" ht="13" x14ac:dyDescent="0.3">
      <c r="A57" s="214" t="s">
        <v>195</v>
      </c>
      <c r="B57" s="215" t="s">
        <v>196</v>
      </c>
      <c r="C57" s="215" t="s">
        <v>197</v>
      </c>
      <c r="D57" s="215" t="s">
        <v>198</v>
      </c>
      <c r="E57" s="215" t="s">
        <v>199</v>
      </c>
      <c r="F57" s="216" t="s">
        <v>200</v>
      </c>
    </row>
    <row r="58" spans="1:8" x14ac:dyDescent="0.25">
      <c r="A58" s="217">
        <f>(C52/1000-1)*1000000</f>
        <v>170.85000000016669</v>
      </c>
      <c r="B58" s="74">
        <f>C28</f>
        <v>53.776447386466586</v>
      </c>
      <c r="C58" s="74">
        <f>C29</f>
        <v>-5.5290276127495375</v>
      </c>
      <c r="D58" s="74">
        <f>C30</f>
        <v>73.51044739634105</v>
      </c>
      <c r="E58" s="74">
        <f>D26</f>
        <v>16.068112612899199</v>
      </c>
      <c r="F58" s="218">
        <f>D27</f>
        <v>10.05972261280963</v>
      </c>
    </row>
    <row r="59" spans="1:8" x14ac:dyDescent="0.25">
      <c r="A59" s="23"/>
      <c r="B59" s="24"/>
      <c r="C59" s="24"/>
      <c r="D59" s="24"/>
      <c r="E59" s="24"/>
      <c r="F59" s="25"/>
    </row>
  </sheetData>
  <phoneticPr fontId="12" type="noConversion"/>
  <pageMargins left="0.75" right="0.75" top="1" bottom="1" header="0.5" footer="0.5"/>
  <pageSetup paperSize="8" scale="95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4A3F-847B-43A3-BA08-50245094D600}">
  <sheetPr>
    <tabColor theme="9" tint="-0.249977111117893"/>
  </sheetPr>
  <dimension ref="A1:V24"/>
  <sheetViews>
    <sheetView workbookViewId="0">
      <selection activeCell="L15" sqref="L15"/>
    </sheetView>
  </sheetViews>
  <sheetFormatPr defaultRowHeight="12.5" x14ac:dyDescent="0.25"/>
  <cols>
    <col min="1" max="1" width="18" bestFit="1" customWidth="1"/>
    <col min="12" max="12" width="9.54296875" bestFit="1" customWidth="1"/>
    <col min="20" max="20" width="10.1796875" bestFit="1" customWidth="1"/>
  </cols>
  <sheetData>
    <row r="1" spans="1:22" x14ac:dyDescent="0.25">
      <c r="A1" s="205" t="s">
        <v>2326</v>
      </c>
      <c r="B1" s="205"/>
      <c r="C1">
        <v>2017</v>
      </c>
      <c r="D1">
        <v>2019</v>
      </c>
      <c r="E1">
        <v>2023</v>
      </c>
      <c r="F1" s="205" t="s">
        <v>2328</v>
      </c>
      <c r="G1" s="205" t="s">
        <v>2330</v>
      </c>
      <c r="H1" s="205" t="s">
        <v>2331</v>
      </c>
      <c r="T1" s="191">
        <v>44977</v>
      </c>
    </row>
    <row r="2" spans="1:22" x14ac:dyDescent="0.25">
      <c r="A2" s="205" t="s">
        <v>2327</v>
      </c>
      <c r="B2" s="205" t="s">
        <v>255</v>
      </c>
      <c r="F2" s="205"/>
      <c r="K2" t="s">
        <v>2335</v>
      </c>
      <c r="O2" s="207" t="s">
        <v>1109</v>
      </c>
      <c r="P2" s="206" t="s">
        <v>2209</v>
      </c>
      <c r="Q2" s="206" t="s">
        <v>2210</v>
      </c>
      <c r="T2" s="207" t="s">
        <v>1109</v>
      </c>
      <c r="U2" s="206">
        <v>9984.9603241700006</v>
      </c>
      <c r="V2" s="206">
        <v>2.1670077776521301E-3</v>
      </c>
    </row>
    <row r="3" spans="1:22" ht="13" x14ac:dyDescent="0.3">
      <c r="A3" t="s">
        <v>5</v>
      </c>
      <c r="C3">
        <v>9.899865771189359E-2</v>
      </c>
      <c r="D3">
        <v>0.12494981440937714</v>
      </c>
      <c r="E3">
        <v>0.17046262844412416</v>
      </c>
      <c r="F3">
        <f>(D3-C3)/C3</f>
        <v>0.26213645010225023</v>
      </c>
      <c r="G3">
        <f>(E3-D3)/D3</f>
        <v>0.36424875258823447</v>
      </c>
      <c r="H3">
        <f>(E3-C3)/C3</f>
        <v>0.72186807764813732</v>
      </c>
      <c r="K3" s="255" t="s">
        <v>2336</v>
      </c>
      <c r="O3" s="207" t="s">
        <v>5</v>
      </c>
      <c r="P3" s="206" t="s">
        <v>2195</v>
      </c>
      <c r="Q3" s="206" t="s">
        <v>2196</v>
      </c>
      <c r="T3" s="207" t="s">
        <v>5</v>
      </c>
      <c r="U3" s="206">
        <v>10000.0148145</v>
      </c>
      <c r="V3" s="206">
        <v>1.86717924517395E-3</v>
      </c>
    </row>
    <row r="4" spans="1:22" x14ac:dyDescent="0.25">
      <c r="A4" t="s">
        <v>9</v>
      </c>
      <c r="C4">
        <v>0.52248917842962017</v>
      </c>
      <c r="D4">
        <v>0.11112845255190552</v>
      </c>
      <c r="E4">
        <v>0.5269636134273098</v>
      </c>
      <c r="F4">
        <f t="shared" ref="F4:F12" si="0">(D4-C4)/C4</f>
        <v>-0.78730956134649466</v>
      </c>
      <c r="G4">
        <f t="shared" ref="G4:G12" si="1">(E4-D4)/D4</f>
        <v>3.741932433380887</v>
      </c>
      <c r="H4">
        <f t="shared" ref="H4:H12" si="2">(E4-C4)/C4</f>
        <v>8.5636893210647349E-3</v>
      </c>
      <c r="K4" s="205" t="s">
        <v>2337</v>
      </c>
    </row>
    <row r="5" spans="1:22" x14ac:dyDescent="0.25">
      <c r="A5" t="s">
        <v>10</v>
      </c>
      <c r="C5">
        <v>8.0698272677498642E-2</v>
      </c>
      <c r="D5">
        <v>7.2483903987323905E-2</v>
      </c>
      <c r="E5">
        <v>0.27798401265456929</v>
      </c>
      <c r="F5">
        <f t="shared" si="0"/>
        <v>-0.10179113403086724</v>
      </c>
      <c r="G5">
        <f t="shared" si="1"/>
        <v>2.8351136923196569</v>
      </c>
      <c r="H5">
        <f t="shared" si="2"/>
        <v>2.4447331204411329</v>
      </c>
    </row>
    <row r="6" spans="1:22" ht="13" thickBot="1" x14ac:dyDescent="0.3">
      <c r="A6" t="s">
        <v>11</v>
      </c>
      <c r="C6">
        <v>7.2339779865428402E-2</v>
      </c>
      <c r="D6">
        <v>8.3189122051515407E-2</v>
      </c>
      <c r="E6">
        <v>0.11600492740498604</v>
      </c>
      <c r="F6">
        <f t="shared" si="0"/>
        <v>0.14997753941565375</v>
      </c>
      <c r="G6">
        <f t="shared" si="1"/>
        <v>0.39447231253563692</v>
      </c>
      <c r="H6">
        <f t="shared" si="2"/>
        <v>0.60361183875298829</v>
      </c>
    </row>
    <row r="7" spans="1:22" x14ac:dyDescent="0.25">
      <c r="A7" t="s">
        <v>12</v>
      </c>
      <c r="C7">
        <v>0.54059339885548008</v>
      </c>
      <c r="D7">
        <v>9.0137259248925308E-2</v>
      </c>
      <c r="E7">
        <v>0.59572818656697402</v>
      </c>
      <c r="F7">
        <f t="shared" si="0"/>
        <v>-0.8332623753087629</v>
      </c>
      <c r="G7">
        <f t="shared" si="1"/>
        <v>5.6091224819893419</v>
      </c>
      <c r="H7">
        <f t="shared" si="2"/>
        <v>0.10198938394035668</v>
      </c>
      <c r="O7" s="258" t="s">
        <v>2349</v>
      </c>
    </row>
    <row r="8" spans="1:22" ht="13" thickBot="1" x14ac:dyDescent="0.3">
      <c r="A8" t="s">
        <v>14</v>
      </c>
      <c r="C8">
        <v>9.6892015349692953E-2</v>
      </c>
      <c r="D8">
        <v>0.14668793730444005</v>
      </c>
      <c r="E8">
        <v>0.13347852759031203</v>
      </c>
      <c r="F8">
        <f t="shared" si="0"/>
        <v>0.51393215194284736</v>
      </c>
      <c r="G8">
        <f t="shared" si="1"/>
        <v>-9.0051097294475219E-2</v>
      </c>
      <c r="H8">
        <f t="shared" si="2"/>
        <v>0.37760090043100775</v>
      </c>
      <c r="K8" t="s">
        <v>2339</v>
      </c>
      <c r="L8" s="3">
        <v>0.18</v>
      </c>
      <c r="O8" s="259">
        <f>(P2-P3)*1000/P3 +23</f>
        <v>21.106610064488265</v>
      </c>
      <c r="T8" s="259">
        <f>(U2-U3)*1000/10000 +23</f>
        <v>21.494550967000031</v>
      </c>
    </row>
    <row r="9" spans="1:22" x14ac:dyDescent="0.25">
      <c r="A9" t="s">
        <v>26</v>
      </c>
      <c r="C9">
        <v>7.1488230120392821E-2</v>
      </c>
      <c r="D9">
        <v>0.12419470723611568</v>
      </c>
      <c r="E9">
        <v>9.348148961402053E-2</v>
      </c>
      <c r="F9">
        <f t="shared" si="0"/>
        <v>0.73727489164244608</v>
      </c>
      <c r="G9">
        <f t="shared" si="1"/>
        <v>-0.24729892525696767</v>
      </c>
      <c r="H9">
        <f t="shared" si="2"/>
        <v>0.30764867806335416</v>
      </c>
      <c r="K9" t="s">
        <v>2340</v>
      </c>
      <c r="L9" s="3">
        <v>-2.7E-2</v>
      </c>
    </row>
    <row r="10" spans="1:22" ht="13" thickBot="1" x14ac:dyDescent="0.3">
      <c r="A10" t="s">
        <v>15</v>
      </c>
      <c r="C10">
        <v>0.11868786285993699</v>
      </c>
      <c r="D10">
        <v>0.12081908804706003</v>
      </c>
      <c r="E10">
        <v>0.66375451055332435</v>
      </c>
      <c r="F10">
        <f t="shared" si="0"/>
        <v>1.7956555419976591E-2</v>
      </c>
      <c r="G10">
        <f t="shared" si="1"/>
        <v>4.4937884508347432</v>
      </c>
      <c r="H10">
        <f t="shared" si="2"/>
        <v>4.5924379676177853</v>
      </c>
      <c r="K10" t="s">
        <v>2341</v>
      </c>
      <c r="L10" s="3">
        <v>21</v>
      </c>
    </row>
    <row r="11" spans="1:22" x14ac:dyDescent="0.25">
      <c r="A11" t="s">
        <v>16</v>
      </c>
      <c r="C11">
        <v>7.2538915792780809E-2</v>
      </c>
      <c r="D11">
        <v>9.5024667795081064E-2</v>
      </c>
      <c r="E11">
        <v>0.16064159942491588</v>
      </c>
      <c r="F11">
        <f t="shared" si="0"/>
        <v>0.30998191462544677</v>
      </c>
      <c r="G11">
        <f t="shared" si="1"/>
        <v>0.69052524099675372</v>
      </c>
      <c r="H11">
        <f t="shared" si="2"/>
        <v>1.2145574919235722</v>
      </c>
      <c r="K11" t="s">
        <v>2342</v>
      </c>
      <c r="L11" s="3">
        <f>L10-23</f>
        <v>-2</v>
      </c>
      <c r="O11" s="258" t="s">
        <v>2350</v>
      </c>
    </row>
    <row r="12" spans="1:22" ht="13" thickBot="1" x14ac:dyDescent="0.3">
      <c r="A12" t="s">
        <v>18</v>
      </c>
      <c r="C12">
        <v>0.16395539088796673</v>
      </c>
      <c r="D12">
        <v>0.37705187406497964</v>
      </c>
      <c r="E12">
        <v>1.7798054786633886</v>
      </c>
      <c r="F12">
        <f t="shared" si="0"/>
        <v>1.2997223331474659</v>
      </c>
      <c r="G12">
        <f t="shared" si="1"/>
        <v>3.7203199376133158</v>
      </c>
      <c r="H12">
        <f t="shared" si="2"/>
        <v>9.8554251801305952</v>
      </c>
      <c r="K12" t="s">
        <v>2343</v>
      </c>
      <c r="L12" s="3">
        <f>L8+2*L9*L11</f>
        <v>0.28799999999999998</v>
      </c>
      <c r="O12" s="259"/>
    </row>
    <row r="13" spans="1:22" x14ac:dyDescent="0.25">
      <c r="K13" t="s">
        <v>2344</v>
      </c>
      <c r="L13" s="3">
        <f>1+L8*L11+L9*(L11)^2</f>
        <v>0.53200000000000003</v>
      </c>
    </row>
    <row r="14" spans="1:22" x14ac:dyDescent="0.25">
      <c r="L14" s="3"/>
    </row>
    <row r="15" spans="1:22" x14ac:dyDescent="0.25">
      <c r="K15" s="205" t="s">
        <v>2347</v>
      </c>
      <c r="L15" s="3">
        <f>L12/L13</f>
        <v>0.54135338345864659</v>
      </c>
    </row>
    <row r="16" spans="1:22" x14ac:dyDescent="0.25">
      <c r="K16" s="205" t="s">
        <v>2348</v>
      </c>
      <c r="L16" s="3">
        <f>L9/L13</f>
        <v>-5.0751879699248117E-2</v>
      </c>
    </row>
    <row r="18" spans="7:12" x14ac:dyDescent="0.25">
      <c r="K18" t="s">
        <v>2373</v>
      </c>
      <c r="L18">
        <f>SQRT(L15^2-4*L16*(1-U2/U3))</f>
        <v>0.54163558118187982</v>
      </c>
    </row>
    <row r="19" spans="7:12" x14ac:dyDescent="0.25">
      <c r="K19" t="s">
        <v>2374</v>
      </c>
      <c r="L19">
        <f>2*L16</f>
        <v>-0.10150375939849623</v>
      </c>
    </row>
    <row r="21" spans="7:12" x14ac:dyDescent="0.25">
      <c r="K21" t="s">
        <v>2375</v>
      </c>
      <c r="L21">
        <f>(-L15+L18)/L19</f>
        <v>-2.7801701622237238E-3</v>
      </c>
    </row>
    <row r="22" spans="7:12" x14ac:dyDescent="0.25">
      <c r="K22" t="s">
        <v>2376</v>
      </c>
      <c r="L22">
        <f>(-L15-L18)/L19</f>
        <v>10.66944683682889</v>
      </c>
    </row>
    <row r="23" spans="7:12" x14ac:dyDescent="0.25">
      <c r="G23" s="254" t="s">
        <v>2345</v>
      </c>
    </row>
    <row r="24" spans="7:12" x14ac:dyDescent="0.25">
      <c r="G24" s="205" t="s">
        <v>2346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B7AA-52F5-49BD-8138-CE253EB1BF8B}">
  <sheetPr>
    <tabColor rgb="FF92D050"/>
  </sheetPr>
  <dimension ref="A1:G189"/>
  <sheetViews>
    <sheetView workbookViewId="0">
      <selection activeCell="B11" sqref="B11"/>
    </sheetView>
  </sheetViews>
  <sheetFormatPr defaultRowHeight="12.5" x14ac:dyDescent="0.25"/>
  <cols>
    <col min="1" max="1" width="35.54296875" bestFit="1" customWidth="1"/>
    <col min="2" max="2" width="52.54296875" bestFit="1" customWidth="1"/>
    <col min="3" max="3" width="8.81640625" bestFit="1" customWidth="1"/>
    <col min="6" max="6" width="10.1796875" bestFit="1" customWidth="1"/>
  </cols>
  <sheetData>
    <row r="1" spans="1:7" x14ac:dyDescent="0.25">
      <c r="A1" t="s">
        <v>2173</v>
      </c>
      <c r="B1" t="s">
        <v>2174</v>
      </c>
      <c r="C1" t="s">
        <v>2175</v>
      </c>
      <c r="E1" s="205" t="s">
        <v>2312</v>
      </c>
      <c r="F1" s="191">
        <v>44957</v>
      </c>
      <c r="G1" s="205" t="s">
        <v>2313</v>
      </c>
    </row>
    <row r="2" spans="1:7" x14ac:dyDescent="0.25">
      <c r="A2" t="s">
        <v>2176</v>
      </c>
      <c r="B2" t="s">
        <v>2177</v>
      </c>
      <c r="C2" t="s">
        <v>2175</v>
      </c>
    </row>
    <row r="3" spans="1:7" x14ac:dyDescent="0.25">
      <c r="A3" t="s">
        <v>2178</v>
      </c>
      <c r="B3" t="s">
        <v>2179</v>
      </c>
      <c r="C3" t="s">
        <v>2175</v>
      </c>
    </row>
    <row r="4" spans="1:7" x14ac:dyDescent="0.25">
      <c r="A4" t="s">
        <v>321</v>
      </c>
      <c r="B4" t="s">
        <v>2175</v>
      </c>
      <c r="C4" t="s">
        <v>2175</v>
      </c>
    </row>
    <row r="5" spans="1:7" x14ac:dyDescent="0.25">
      <c r="A5" t="s">
        <v>2180</v>
      </c>
      <c r="B5" t="s">
        <v>2181</v>
      </c>
      <c r="C5" t="s">
        <v>2175</v>
      </c>
    </row>
    <row r="6" spans="1:7" x14ac:dyDescent="0.25">
      <c r="A6" t="s">
        <v>2182</v>
      </c>
      <c r="B6" t="s">
        <v>2183</v>
      </c>
      <c r="C6" t="s">
        <v>2175</v>
      </c>
    </row>
    <row r="7" spans="1:7" x14ac:dyDescent="0.25">
      <c r="A7" t="s">
        <v>2184</v>
      </c>
      <c r="B7" t="s">
        <v>2185</v>
      </c>
      <c r="C7" t="s">
        <v>2175</v>
      </c>
    </row>
    <row r="8" spans="1:7" x14ac:dyDescent="0.25">
      <c r="A8" t="s">
        <v>2186</v>
      </c>
      <c r="B8" t="s">
        <v>2187</v>
      </c>
      <c r="C8" t="s">
        <v>2175</v>
      </c>
    </row>
    <row r="9" spans="1:7" x14ac:dyDescent="0.25">
      <c r="A9" t="s">
        <v>2188</v>
      </c>
      <c r="B9" t="s">
        <v>2189</v>
      </c>
      <c r="C9" t="s">
        <v>2175</v>
      </c>
    </row>
    <row r="11" spans="1:7" x14ac:dyDescent="0.25">
      <c r="A11" t="s">
        <v>2173</v>
      </c>
      <c r="B11" t="s">
        <v>2190</v>
      </c>
      <c r="C11" t="s">
        <v>2175</v>
      </c>
    </row>
    <row r="12" spans="1:7" x14ac:dyDescent="0.25">
      <c r="A12" t="s">
        <v>2176</v>
      </c>
      <c r="B12" t="s">
        <v>2177</v>
      </c>
      <c r="C12" t="s">
        <v>2175</v>
      </c>
    </row>
    <row r="13" spans="1:7" x14ac:dyDescent="0.25">
      <c r="A13" t="s">
        <v>2178</v>
      </c>
      <c r="B13" t="s">
        <v>2191</v>
      </c>
      <c r="C13" t="s">
        <v>2175</v>
      </c>
    </row>
    <row r="14" spans="1:7" x14ac:dyDescent="0.25">
      <c r="A14" t="s">
        <v>321</v>
      </c>
      <c r="B14" t="s">
        <v>2175</v>
      </c>
      <c r="C14" t="s">
        <v>2175</v>
      </c>
    </row>
    <row r="15" spans="1:7" x14ac:dyDescent="0.25">
      <c r="A15" t="s">
        <v>2180</v>
      </c>
      <c r="B15" t="s">
        <v>2192</v>
      </c>
      <c r="C15" t="s">
        <v>2175</v>
      </c>
    </row>
    <row r="16" spans="1:7" x14ac:dyDescent="0.25">
      <c r="A16" t="s">
        <v>2182</v>
      </c>
      <c r="B16" t="s">
        <v>2193</v>
      </c>
      <c r="C16" t="s">
        <v>2175</v>
      </c>
    </row>
    <row r="17" spans="1:3" x14ac:dyDescent="0.25">
      <c r="A17" t="s">
        <v>2184</v>
      </c>
      <c r="B17" t="s">
        <v>2194</v>
      </c>
      <c r="C17" t="s">
        <v>2175</v>
      </c>
    </row>
    <row r="18" spans="1:3" x14ac:dyDescent="0.25">
      <c r="A18" t="s">
        <v>2186</v>
      </c>
      <c r="B18" t="s">
        <v>2195</v>
      </c>
      <c r="C18" t="s">
        <v>2175</v>
      </c>
    </row>
    <row r="19" spans="1:3" x14ac:dyDescent="0.25">
      <c r="A19" t="s">
        <v>2188</v>
      </c>
      <c r="B19" t="s">
        <v>2196</v>
      </c>
      <c r="C19" t="s">
        <v>2175</v>
      </c>
    </row>
    <row r="21" spans="1:3" x14ac:dyDescent="0.25">
      <c r="A21" t="s">
        <v>2173</v>
      </c>
      <c r="B21" t="s">
        <v>2197</v>
      </c>
      <c r="C21" t="s">
        <v>2175</v>
      </c>
    </row>
    <row r="22" spans="1:3" x14ac:dyDescent="0.25">
      <c r="A22" t="s">
        <v>2176</v>
      </c>
      <c r="B22" t="s">
        <v>2177</v>
      </c>
      <c r="C22" t="s">
        <v>2175</v>
      </c>
    </row>
    <row r="23" spans="1:3" x14ac:dyDescent="0.25">
      <c r="A23" t="s">
        <v>2178</v>
      </c>
      <c r="B23" t="s">
        <v>2198</v>
      </c>
      <c r="C23" t="s">
        <v>2175</v>
      </c>
    </row>
    <row r="24" spans="1:3" x14ac:dyDescent="0.25">
      <c r="A24" t="s">
        <v>321</v>
      </c>
      <c r="B24" t="s">
        <v>2175</v>
      </c>
      <c r="C24" t="s">
        <v>2175</v>
      </c>
    </row>
    <row r="25" spans="1:3" x14ac:dyDescent="0.25">
      <c r="A25" t="s">
        <v>2180</v>
      </c>
      <c r="B25" t="s">
        <v>2199</v>
      </c>
      <c r="C25" t="s">
        <v>2175</v>
      </c>
    </row>
    <row r="26" spans="1:3" x14ac:dyDescent="0.25">
      <c r="A26" t="s">
        <v>2182</v>
      </c>
      <c r="B26" t="s">
        <v>2200</v>
      </c>
      <c r="C26" t="s">
        <v>2175</v>
      </c>
    </row>
    <row r="27" spans="1:3" x14ac:dyDescent="0.25">
      <c r="A27" t="s">
        <v>2184</v>
      </c>
      <c r="B27" t="s">
        <v>2201</v>
      </c>
      <c r="C27" t="s">
        <v>2175</v>
      </c>
    </row>
    <row r="28" spans="1:3" x14ac:dyDescent="0.25">
      <c r="A28" t="s">
        <v>2186</v>
      </c>
      <c r="B28" t="s">
        <v>2202</v>
      </c>
      <c r="C28" t="s">
        <v>2175</v>
      </c>
    </row>
    <row r="29" spans="1:3" x14ac:dyDescent="0.25">
      <c r="A29" t="s">
        <v>2188</v>
      </c>
      <c r="B29" t="s">
        <v>2203</v>
      </c>
      <c r="C29" t="s">
        <v>2175</v>
      </c>
    </row>
    <row r="31" spans="1:3" x14ac:dyDescent="0.25">
      <c r="A31" t="s">
        <v>2173</v>
      </c>
      <c r="B31" t="s">
        <v>2204</v>
      </c>
      <c r="C31" t="s">
        <v>2175</v>
      </c>
    </row>
    <row r="32" spans="1:3" x14ac:dyDescent="0.25">
      <c r="A32" t="s">
        <v>2176</v>
      </c>
      <c r="B32" t="s">
        <v>2177</v>
      </c>
      <c r="C32" t="s">
        <v>2175</v>
      </c>
    </row>
    <row r="33" spans="1:3" x14ac:dyDescent="0.25">
      <c r="A33" t="s">
        <v>2178</v>
      </c>
      <c r="B33" t="s">
        <v>2205</v>
      </c>
      <c r="C33" t="s">
        <v>2175</v>
      </c>
    </row>
    <row r="34" spans="1:3" x14ac:dyDescent="0.25">
      <c r="A34" t="s">
        <v>321</v>
      </c>
      <c r="B34" t="s">
        <v>2175</v>
      </c>
      <c r="C34" t="s">
        <v>2175</v>
      </c>
    </row>
    <row r="35" spans="1:3" x14ac:dyDescent="0.25">
      <c r="A35" t="s">
        <v>2180</v>
      </c>
      <c r="B35" t="s">
        <v>2206</v>
      </c>
      <c r="C35" t="s">
        <v>2175</v>
      </c>
    </row>
    <row r="36" spans="1:3" x14ac:dyDescent="0.25">
      <c r="A36" t="s">
        <v>2182</v>
      </c>
      <c r="B36" t="s">
        <v>2207</v>
      </c>
      <c r="C36" t="s">
        <v>2175</v>
      </c>
    </row>
    <row r="37" spans="1:3" x14ac:dyDescent="0.25">
      <c r="A37" t="s">
        <v>2184</v>
      </c>
      <c r="B37" t="s">
        <v>2208</v>
      </c>
      <c r="C37" t="s">
        <v>2175</v>
      </c>
    </row>
    <row r="38" spans="1:3" x14ac:dyDescent="0.25">
      <c r="A38" t="s">
        <v>2186</v>
      </c>
      <c r="B38" t="s">
        <v>2209</v>
      </c>
      <c r="C38" t="s">
        <v>2175</v>
      </c>
    </row>
    <row r="39" spans="1:3" x14ac:dyDescent="0.25">
      <c r="A39" t="s">
        <v>2188</v>
      </c>
      <c r="B39" t="s">
        <v>2210</v>
      </c>
      <c r="C39" t="s">
        <v>2175</v>
      </c>
    </row>
    <row r="41" spans="1:3" x14ac:dyDescent="0.25">
      <c r="A41" t="s">
        <v>2173</v>
      </c>
      <c r="B41" t="s">
        <v>2211</v>
      </c>
      <c r="C41" t="s">
        <v>2175</v>
      </c>
    </row>
    <row r="42" spans="1:3" x14ac:dyDescent="0.25">
      <c r="A42" t="s">
        <v>2176</v>
      </c>
      <c r="B42" t="s">
        <v>2212</v>
      </c>
      <c r="C42" t="s">
        <v>2175</v>
      </c>
    </row>
    <row r="43" spans="1:3" x14ac:dyDescent="0.25">
      <c r="A43" t="s">
        <v>2178</v>
      </c>
      <c r="B43" t="s">
        <v>2213</v>
      </c>
      <c r="C43" t="s">
        <v>2175</v>
      </c>
    </row>
    <row r="44" spans="1:3" x14ac:dyDescent="0.25">
      <c r="A44" t="s">
        <v>321</v>
      </c>
      <c r="B44" t="s">
        <v>2175</v>
      </c>
      <c r="C44" t="s">
        <v>2175</v>
      </c>
    </row>
    <row r="45" spans="1:3" x14ac:dyDescent="0.25">
      <c r="A45" t="s">
        <v>2180</v>
      </c>
      <c r="B45" t="s">
        <v>2214</v>
      </c>
      <c r="C45" t="s">
        <v>2175</v>
      </c>
    </row>
    <row r="46" spans="1:3" x14ac:dyDescent="0.25">
      <c r="A46" t="s">
        <v>2182</v>
      </c>
      <c r="B46" t="s">
        <v>2215</v>
      </c>
      <c r="C46" t="s">
        <v>2175</v>
      </c>
    </row>
    <row r="47" spans="1:3" x14ac:dyDescent="0.25">
      <c r="A47" t="s">
        <v>2184</v>
      </c>
      <c r="B47" t="s">
        <v>2216</v>
      </c>
      <c r="C47" t="s">
        <v>2175</v>
      </c>
    </row>
    <row r="48" spans="1:3" x14ac:dyDescent="0.25">
      <c r="A48" t="s">
        <v>2186</v>
      </c>
      <c r="B48" t="s">
        <v>2217</v>
      </c>
      <c r="C48" t="s">
        <v>2175</v>
      </c>
    </row>
    <row r="49" spans="1:3" x14ac:dyDescent="0.25">
      <c r="A49" t="s">
        <v>2188</v>
      </c>
      <c r="B49" t="s">
        <v>2218</v>
      </c>
      <c r="C49" t="s">
        <v>2175</v>
      </c>
    </row>
    <row r="51" spans="1:3" x14ac:dyDescent="0.25">
      <c r="A51" t="s">
        <v>2173</v>
      </c>
      <c r="B51" t="s">
        <v>2219</v>
      </c>
      <c r="C51" t="s">
        <v>2175</v>
      </c>
    </row>
    <row r="52" spans="1:3" x14ac:dyDescent="0.25">
      <c r="A52" t="s">
        <v>2176</v>
      </c>
      <c r="B52" t="s">
        <v>2177</v>
      </c>
      <c r="C52" t="s">
        <v>2175</v>
      </c>
    </row>
    <row r="53" spans="1:3" x14ac:dyDescent="0.25">
      <c r="A53" t="s">
        <v>2178</v>
      </c>
      <c r="B53" t="s">
        <v>2220</v>
      </c>
      <c r="C53" t="s">
        <v>2175</v>
      </c>
    </row>
    <row r="54" spans="1:3" x14ac:dyDescent="0.25">
      <c r="A54" t="s">
        <v>321</v>
      </c>
      <c r="B54" t="s">
        <v>2175</v>
      </c>
      <c r="C54" t="s">
        <v>2175</v>
      </c>
    </row>
    <row r="55" spans="1:3" x14ac:dyDescent="0.25">
      <c r="A55" t="s">
        <v>2180</v>
      </c>
      <c r="B55" t="s">
        <v>2221</v>
      </c>
      <c r="C55" t="s">
        <v>2175</v>
      </c>
    </row>
    <row r="56" spans="1:3" x14ac:dyDescent="0.25">
      <c r="A56" t="s">
        <v>2182</v>
      </c>
      <c r="B56" t="s">
        <v>2222</v>
      </c>
      <c r="C56" t="s">
        <v>2175</v>
      </c>
    </row>
    <row r="57" spans="1:3" x14ac:dyDescent="0.25">
      <c r="A57" t="s">
        <v>2184</v>
      </c>
      <c r="B57" t="s">
        <v>2223</v>
      </c>
      <c r="C57" t="s">
        <v>2175</v>
      </c>
    </row>
    <row r="58" spans="1:3" x14ac:dyDescent="0.25">
      <c r="A58" t="s">
        <v>2186</v>
      </c>
      <c r="B58" t="s">
        <v>2224</v>
      </c>
      <c r="C58" t="s">
        <v>2175</v>
      </c>
    </row>
    <row r="59" spans="1:3" x14ac:dyDescent="0.25">
      <c r="A59" t="s">
        <v>2188</v>
      </c>
      <c r="B59" t="s">
        <v>2225</v>
      </c>
      <c r="C59" t="s">
        <v>2175</v>
      </c>
    </row>
    <row r="61" spans="1:3" x14ac:dyDescent="0.25">
      <c r="A61" t="s">
        <v>2173</v>
      </c>
      <c r="B61" t="s">
        <v>2226</v>
      </c>
      <c r="C61" t="s">
        <v>2175</v>
      </c>
    </row>
    <row r="62" spans="1:3" x14ac:dyDescent="0.25">
      <c r="A62" t="s">
        <v>2176</v>
      </c>
      <c r="B62" t="s">
        <v>2177</v>
      </c>
      <c r="C62" t="s">
        <v>2175</v>
      </c>
    </row>
    <row r="63" spans="1:3" x14ac:dyDescent="0.25">
      <c r="A63" t="s">
        <v>2178</v>
      </c>
      <c r="B63" t="s">
        <v>2227</v>
      </c>
      <c r="C63" t="s">
        <v>2175</v>
      </c>
    </row>
    <row r="64" spans="1:3" x14ac:dyDescent="0.25">
      <c r="A64" t="s">
        <v>321</v>
      </c>
      <c r="B64" t="s">
        <v>2175</v>
      </c>
      <c r="C64" t="s">
        <v>2175</v>
      </c>
    </row>
    <row r="65" spans="1:3" x14ac:dyDescent="0.25">
      <c r="A65" t="s">
        <v>2228</v>
      </c>
      <c r="B65" t="s">
        <v>2175</v>
      </c>
      <c r="C65" t="s">
        <v>2175</v>
      </c>
    </row>
    <row r="66" spans="1:3" x14ac:dyDescent="0.25">
      <c r="A66" t="s">
        <v>2182</v>
      </c>
      <c r="B66" t="s">
        <v>2229</v>
      </c>
      <c r="C66" t="s">
        <v>2175</v>
      </c>
    </row>
    <row r="67" spans="1:3" x14ac:dyDescent="0.25">
      <c r="A67" t="s">
        <v>2184</v>
      </c>
      <c r="B67" t="s">
        <v>2230</v>
      </c>
      <c r="C67" t="s">
        <v>2175</v>
      </c>
    </row>
    <row r="68" spans="1:3" x14ac:dyDescent="0.25">
      <c r="A68" t="s">
        <v>2186</v>
      </c>
      <c r="B68" t="s">
        <v>2231</v>
      </c>
      <c r="C68" t="s">
        <v>2175</v>
      </c>
    </row>
    <row r="69" spans="1:3" x14ac:dyDescent="0.25">
      <c r="A69" t="s">
        <v>2188</v>
      </c>
      <c r="B69" t="s">
        <v>2230</v>
      </c>
      <c r="C69" t="s">
        <v>2175</v>
      </c>
    </row>
    <row r="71" spans="1:3" x14ac:dyDescent="0.25">
      <c r="A71" t="s">
        <v>2173</v>
      </c>
      <c r="B71" t="s">
        <v>2232</v>
      </c>
      <c r="C71" t="s">
        <v>2175</v>
      </c>
    </row>
    <row r="72" spans="1:3" x14ac:dyDescent="0.25">
      <c r="A72" t="s">
        <v>2176</v>
      </c>
      <c r="B72" t="s">
        <v>2177</v>
      </c>
      <c r="C72" t="s">
        <v>2175</v>
      </c>
    </row>
    <row r="73" spans="1:3" x14ac:dyDescent="0.25">
      <c r="A73" t="s">
        <v>2178</v>
      </c>
      <c r="B73" t="s">
        <v>2233</v>
      </c>
      <c r="C73" t="s">
        <v>2175</v>
      </c>
    </row>
    <row r="74" spans="1:3" x14ac:dyDescent="0.25">
      <c r="A74" t="s">
        <v>321</v>
      </c>
      <c r="B74" t="s">
        <v>2175</v>
      </c>
      <c r="C74" t="s">
        <v>2175</v>
      </c>
    </row>
    <row r="75" spans="1:3" x14ac:dyDescent="0.25">
      <c r="A75" t="s">
        <v>2180</v>
      </c>
      <c r="B75" t="s">
        <v>2234</v>
      </c>
      <c r="C75" t="s">
        <v>2175</v>
      </c>
    </row>
    <row r="76" spans="1:3" x14ac:dyDescent="0.25">
      <c r="A76" t="s">
        <v>2182</v>
      </c>
      <c r="B76" t="s">
        <v>2235</v>
      </c>
      <c r="C76" t="s">
        <v>2175</v>
      </c>
    </row>
    <row r="77" spans="1:3" x14ac:dyDescent="0.25">
      <c r="A77" t="s">
        <v>2184</v>
      </c>
      <c r="B77" t="s">
        <v>2236</v>
      </c>
      <c r="C77" t="s">
        <v>2175</v>
      </c>
    </row>
    <row r="78" spans="1:3" x14ac:dyDescent="0.25">
      <c r="A78" t="s">
        <v>2186</v>
      </c>
      <c r="B78" t="s">
        <v>2237</v>
      </c>
      <c r="C78" t="s">
        <v>2175</v>
      </c>
    </row>
    <row r="79" spans="1:3" x14ac:dyDescent="0.25">
      <c r="A79" t="s">
        <v>2188</v>
      </c>
      <c r="B79" t="s">
        <v>2238</v>
      </c>
      <c r="C79" t="s">
        <v>2175</v>
      </c>
    </row>
    <row r="81" spans="1:3" x14ac:dyDescent="0.25">
      <c r="A81" t="s">
        <v>2173</v>
      </c>
      <c r="B81" t="s">
        <v>2239</v>
      </c>
      <c r="C81" t="s">
        <v>2175</v>
      </c>
    </row>
    <row r="82" spans="1:3" x14ac:dyDescent="0.25">
      <c r="A82" t="s">
        <v>2176</v>
      </c>
      <c r="B82" t="s">
        <v>2177</v>
      </c>
      <c r="C82" t="s">
        <v>2175</v>
      </c>
    </row>
    <row r="83" spans="1:3" x14ac:dyDescent="0.25">
      <c r="A83" t="s">
        <v>2178</v>
      </c>
      <c r="B83" t="s">
        <v>2240</v>
      </c>
      <c r="C83" t="s">
        <v>2175</v>
      </c>
    </row>
    <row r="84" spans="1:3" x14ac:dyDescent="0.25">
      <c r="A84" t="s">
        <v>321</v>
      </c>
      <c r="B84" t="s">
        <v>2175</v>
      </c>
      <c r="C84" t="s">
        <v>2175</v>
      </c>
    </row>
    <row r="85" spans="1:3" x14ac:dyDescent="0.25">
      <c r="A85" t="s">
        <v>2180</v>
      </c>
      <c r="B85" t="s">
        <v>2241</v>
      </c>
      <c r="C85" t="s">
        <v>2175</v>
      </c>
    </row>
    <row r="86" spans="1:3" x14ac:dyDescent="0.25">
      <c r="A86" t="s">
        <v>2182</v>
      </c>
      <c r="B86" t="s">
        <v>2242</v>
      </c>
      <c r="C86" t="s">
        <v>2175</v>
      </c>
    </row>
    <row r="87" spans="1:3" x14ac:dyDescent="0.25">
      <c r="A87" t="s">
        <v>2184</v>
      </c>
      <c r="B87" t="s">
        <v>2243</v>
      </c>
      <c r="C87" t="s">
        <v>2175</v>
      </c>
    </row>
    <row r="88" spans="1:3" x14ac:dyDescent="0.25">
      <c r="A88" t="s">
        <v>2186</v>
      </c>
      <c r="B88" t="s">
        <v>2244</v>
      </c>
      <c r="C88" t="s">
        <v>2175</v>
      </c>
    </row>
    <row r="89" spans="1:3" x14ac:dyDescent="0.25">
      <c r="A89" t="s">
        <v>2188</v>
      </c>
      <c r="B89" t="s">
        <v>2245</v>
      </c>
      <c r="C89" t="s">
        <v>2175</v>
      </c>
    </row>
    <row r="90" spans="1:3" x14ac:dyDescent="0.25">
      <c r="B90" t="s">
        <v>2175</v>
      </c>
      <c r="C90" t="s">
        <v>2175</v>
      </c>
    </row>
    <row r="91" spans="1:3" x14ac:dyDescent="0.25">
      <c r="A91" t="s">
        <v>2173</v>
      </c>
      <c r="B91" t="s">
        <v>2246</v>
      </c>
      <c r="C91" t="s">
        <v>2175</v>
      </c>
    </row>
    <row r="92" spans="1:3" x14ac:dyDescent="0.25">
      <c r="A92" t="s">
        <v>2176</v>
      </c>
      <c r="B92" t="s">
        <v>2212</v>
      </c>
      <c r="C92" t="s">
        <v>2175</v>
      </c>
    </row>
    <row r="93" spans="1:3" x14ac:dyDescent="0.25">
      <c r="A93" t="s">
        <v>2178</v>
      </c>
      <c r="B93" t="s">
        <v>2247</v>
      </c>
      <c r="C93" t="s">
        <v>2175</v>
      </c>
    </row>
    <row r="94" spans="1:3" x14ac:dyDescent="0.25">
      <c r="A94" t="s">
        <v>321</v>
      </c>
      <c r="B94" t="s">
        <v>2175</v>
      </c>
      <c r="C94" t="s">
        <v>2175</v>
      </c>
    </row>
    <row r="95" spans="1:3" x14ac:dyDescent="0.25">
      <c r="A95" t="s">
        <v>2180</v>
      </c>
      <c r="B95" t="s">
        <v>2248</v>
      </c>
      <c r="C95" t="s">
        <v>2175</v>
      </c>
    </row>
    <row r="96" spans="1:3" x14ac:dyDescent="0.25">
      <c r="A96" t="s">
        <v>2182</v>
      </c>
      <c r="B96" t="s">
        <v>2249</v>
      </c>
      <c r="C96" t="s">
        <v>2175</v>
      </c>
    </row>
    <row r="97" spans="1:3" x14ac:dyDescent="0.25">
      <c r="A97" t="s">
        <v>2184</v>
      </c>
      <c r="B97" t="s">
        <v>2250</v>
      </c>
      <c r="C97" t="s">
        <v>2175</v>
      </c>
    </row>
    <row r="98" spans="1:3" x14ac:dyDescent="0.25">
      <c r="A98" t="s">
        <v>2186</v>
      </c>
      <c r="B98" t="s">
        <v>2251</v>
      </c>
      <c r="C98" t="s">
        <v>2175</v>
      </c>
    </row>
    <row r="99" spans="1:3" x14ac:dyDescent="0.25">
      <c r="A99" t="s">
        <v>2188</v>
      </c>
      <c r="B99" t="s">
        <v>2252</v>
      </c>
      <c r="C99" t="s">
        <v>2175</v>
      </c>
    </row>
    <row r="101" spans="1:3" x14ac:dyDescent="0.25">
      <c r="A101" t="s">
        <v>2173</v>
      </c>
      <c r="B101" t="s">
        <v>2253</v>
      </c>
      <c r="C101" t="s">
        <v>2175</v>
      </c>
    </row>
    <row r="102" spans="1:3" x14ac:dyDescent="0.25">
      <c r="A102" t="s">
        <v>2176</v>
      </c>
      <c r="B102" t="s">
        <v>2254</v>
      </c>
      <c r="C102" t="s">
        <v>2175</v>
      </c>
    </row>
    <row r="103" spans="1:3" x14ac:dyDescent="0.25">
      <c r="A103" t="s">
        <v>2178</v>
      </c>
      <c r="B103" t="s">
        <v>2255</v>
      </c>
      <c r="C103" t="s">
        <v>2175</v>
      </c>
    </row>
    <row r="104" spans="1:3" x14ac:dyDescent="0.25">
      <c r="A104" t="s">
        <v>321</v>
      </c>
      <c r="B104" t="s">
        <v>2175</v>
      </c>
      <c r="C104" t="s">
        <v>2175</v>
      </c>
    </row>
    <row r="105" spans="1:3" x14ac:dyDescent="0.25">
      <c r="A105" t="s">
        <v>2180</v>
      </c>
      <c r="B105" t="s">
        <v>2256</v>
      </c>
      <c r="C105" t="s">
        <v>2175</v>
      </c>
    </row>
    <row r="106" spans="1:3" x14ac:dyDescent="0.25">
      <c r="A106" t="s">
        <v>2182</v>
      </c>
      <c r="B106" t="s">
        <v>2257</v>
      </c>
      <c r="C106" t="s">
        <v>2175</v>
      </c>
    </row>
    <row r="107" spans="1:3" x14ac:dyDescent="0.25">
      <c r="A107" t="s">
        <v>2184</v>
      </c>
      <c r="B107" t="s">
        <v>2258</v>
      </c>
      <c r="C107" t="s">
        <v>2175</v>
      </c>
    </row>
    <row r="108" spans="1:3" x14ac:dyDescent="0.25">
      <c r="A108" t="s">
        <v>2186</v>
      </c>
      <c r="B108" t="s">
        <v>2259</v>
      </c>
      <c r="C108" t="s">
        <v>2175</v>
      </c>
    </row>
    <row r="109" spans="1:3" x14ac:dyDescent="0.25">
      <c r="A109" t="s">
        <v>2188</v>
      </c>
      <c r="B109" t="s">
        <v>2260</v>
      </c>
      <c r="C109" t="s">
        <v>2175</v>
      </c>
    </row>
    <row r="111" spans="1:3" x14ac:dyDescent="0.25">
      <c r="A111" t="s">
        <v>2173</v>
      </c>
      <c r="B111" t="s">
        <v>2261</v>
      </c>
      <c r="C111" t="s">
        <v>2175</v>
      </c>
    </row>
    <row r="112" spans="1:3" x14ac:dyDescent="0.25">
      <c r="A112" t="s">
        <v>2176</v>
      </c>
      <c r="B112" t="s">
        <v>2254</v>
      </c>
      <c r="C112" t="s">
        <v>2175</v>
      </c>
    </row>
    <row r="113" spans="1:3" x14ac:dyDescent="0.25">
      <c r="A113" t="s">
        <v>2178</v>
      </c>
      <c r="B113" t="s">
        <v>2262</v>
      </c>
      <c r="C113" t="s">
        <v>2175</v>
      </c>
    </row>
    <row r="114" spans="1:3" x14ac:dyDescent="0.25">
      <c r="A114" t="s">
        <v>321</v>
      </c>
      <c r="B114" t="s">
        <v>2175</v>
      </c>
      <c r="C114" t="s">
        <v>2175</v>
      </c>
    </row>
    <row r="115" spans="1:3" x14ac:dyDescent="0.25">
      <c r="A115" t="s">
        <v>2180</v>
      </c>
      <c r="B115" t="s">
        <v>2263</v>
      </c>
      <c r="C115" t="s">
        <v>2175</v>
      </c>
    </row>
    <row r="116" spans="1:3" x14ac:dyDescent="0.25">
      <c r="A116" t="s">
        <v>2182</v>
      </c>
      <c r="B116" t="s">
        <v>2264</v>
      </c>
      <c r="C116" t="s">
        <v>2175</v>
      </c>
    </row>
    <row r="117" spans="1:3" x14ac:dyDescent="0.25">
      <c r="A117" t="s">
        <v>2184</v>
      </c>
      <c r="B117" t="s">
        <v>2265</v>
      </c>
      <c r="C117" t="s">
        <v>2175</v>
      </c>
    </row>
    <row r="118" spans="1:3" x14ac:dyDescent="0.25">
      <c r="A118" t="s">
        <v>2186</v>
      </c>
      <c r="B118" t="s">
        <v>2266</v>
      </c>
      <c r="C118" t="s">
        <v>2175</v>
      </c>
    </row>
    <row r="119" spans="1:3" x14ac:dyDescent="0.25">
      <c r="A119" t="s">
        <v>2188</v>
      </c>
      <c r="B119" t="s">
        <v>2267</v>
      </c>
      <c r="C119" t="s">
        <v>2175</v>
      </c>
    </row>
    <row r="121" spans="1:3" x14ac:dyDescent="0.25">
      <c r="A121" t="s">
        <v>2173</v>
      </c>
      <c r="B121" t="s">
        <v>2268</v>
      </c>
      <c r="C121" t="s">
        <v>2175</v>
      </c>
    </row>
    <row r="122" spans="1:3" x14ac:dyDescent="0.25">
      <c r="A122" t="s">
        <v>2176</v>
      </c>
      <c r="B122" t="s">
        <v>2269</v>
      </c>
      <c r="C122" t="s">
        <v>2175</v>
      </c>
    </row>
    <row r="123" spans="1:3" x14ac:dyDescent="0.25">
      <c r="A123" t="s">
        <v>2178</v>
      </c>
      <c r="B123" t="s">
        <v>2270</v>
      </c>
      <c r="C123" t="s">
        <v>2175</v>
      </c>
    </row>
    <row r="124" spans="1:3" x14ac:dyDescent="0.25">
      <c r="A124" t="s">
        <v>321</v>
      </c>
      <c r="B124" t="s">
        <v>2175</v>
      </c>
      <c r="C124" t="s">
        <v>2175</v>
      </c>
    </row>
    <row r="125" spans="1:3" x14ac:dyDescent="0.25">
      <c r="A125" t="s">
        <v>2180</v>
      </c>
      <c r="B125" t="s">
        <v>2271</v>
      </c>
      <c r="C125" t="s">
        <v>2175</v>
      </c>
    </row>
    <row r="126" spans="1:3" x14ac:dyDescent="0.25">
      <c r="A126" t="s">
        <v>2182</v>
      </c>
      <c r="B126" t="s">
        <v>2272</v>
      </c>
      <c r="C126" t="s">
        <v>2175</v>
      </c>
    </row>
    <row r="127" spans="1:3" x14ac:dyDescent="0.25">
      <c r="A127" t="s">
        <v>2184</v>
      </c>
      <c r="B127" t="s">
        <v>2273</v>
      </c>
      <c r="C127" t="s">
        <v>2175</v>
      </c>
    </row>
    <row r="128" spans="1:3" x14ac:dyDescent="0.25">
      <c r="A128" t="s">
        <v>2186</v>
      </c>
      <c r="B128" t="s">
        <v>2274</v>
      </c>
      <c r="C128" t="s">
        <v>2175</v>
      </c>
    </row>
    <row r="129" spans="1:3" x14ac:dyDescent="0.25">
      <c r="A129" t="s">
        <v>2188</v>
      </c>
      <c r="B129" t="s">
        <v>2275</v>
      </c>
      <c r="C129" t="s">
        <v>2175</v>
      </c>
    </row>
    <row r="131" spans="1:3" x14ac:dyDescent="0.25">
      <c r="A131" t="s">
        <v>2173</v>
      </c>
      <c r="B131" t="s">
        <v>2276</v>
      </c>
      <c r="C131" t="s">
        <v>2175</v>
      </c>
    </row>
    <row r="132" spans="1:3" x14ac:dyDescent="0.25">
      <c r="A132" t="s">
        <v>2176</v>
      </c>
      <c r="B132" t="s">
        <v>2269</v>
      </c>
      <c r="C132" t="s">
        <v>2175</v>
      </c>
    </row>
    <row r="133" spans="1:3" x14ac:dyDescent="0.25">
      <c r="A133" t="s">
        <v>2178</v>
      </c>
      <c r="B133" t="s">
        <v>2277</v>
      </c>
      <c r="C133" t="s">
        <v>2175</v>
      </c>
    </row>
    <row r="134" spans="1:3" x14ac:dyDescent="0.25">
      <c r="A134" t="s">
        <v>321</v>
      </c>
      <c r="B134" t="s">
        <v>2175</v>
      </c>
      <c r="C134" t="s">
        <v>2175</v>
      </c>
    </row>
    <row r="135" spans="1:3" x14ac:dyDescent="0.25">
      <c r="A135" t="s">
        <v>2180</v>
      </c>
      <c r="B135" t="s">
        <v>2278</v>
      </c>
      <c r="C135" t="s">
        <v>2175</v>
      </c>
    </row>
    <row r="136" spans="1:3" x14ac:dyDescent="0.25">
      <c r="A136" t="s">
        <v>2182</v>
      </c>
      <c r="B136" t="s">
        <v>2279</v>
      </c>
      <c r="C136" t="s">
        <v>2175</v>
      </c>
    </row>
    <row r="137" spans="1:3" x14ac:dyDescent="0.25">
      <c r="A137" t="s">
        <v>2184</v>
      </c>
      <c r="B137" t="s">
        <v>2280</v>
      </c>
      <c r="C137" t="s">
        <v>2175</v>
      </c>
    </row>
    <row r="138" spans="1:3" x14ac:dyDescent="0.25">
      <c r="A138" t="s">
        <v>2186</v>
      </c>
      <c r="B138" t="s">
        <v>2281</v>
      </c>
      <c r="C138" t="s">
        <v>2175</v>
      </c>
    </row>
    <row r="139" spans="1:3" x14ac:dyDescent="0.25">
      <c r="A139" t="s">
        <v>2188</v>
      </c>
      <c r="B139" t="s">
        <v>2282</v>
      </c>
      <c r="C139" t="s">
        <v>2175</v>
      </c>
    </row>
    <row r="141" spans="1:3" x14ac:dyDescent="0.25">
      <c r="A141" t="s">
        <v>2173</v>
      </c>
      <c r="B141" t="s">
        <v>2283</v>
      </c>
      <c r="C141" t="s">
        <v>2175</v>
      </c>
    </row>
    <row r="142" spans="1:3" x14ac:dyDescent="0.25">
      <c r="A142" t="s">
        <v>2176</v>
      </c>
      <c r="B142" t="s">
        <v>2269</v>
      </c>
      <c r="C142" t="s">
        <v>2175</v>
      </c>
    </row>
    <row r="143" spans="1:3" x14ac:dyDescent="0.25">
      <c r="A143" t="s">
        <v>2178</v>
      </c>
      <c r="B143" t="s">
        <v>2284</v>
      </c>
      <c r="C143" t="s">
        <v>2175</v>
      </c>
    </row>
    <row r="144" spans="1:3" x14ac:dyDescent="0.25">
      <c r="A144" t="s">
        <v>321</v>
      </c>
      <c r="B144" t="s">
        <v>2175</v>
      </c>
      <c r="C144" t="s">
        <v>2175</v>
      </c>
    </row>
    <row r="145" spans="1:3" x14ac:dyDescent="0.25">
      <c r="A145" t="s">
        <v>2180</v>
      </c>
      <c r="B145" t="s">
        <v>2285</v>
      </c>
      <c r="C145" t="s">
        <v>2175</v>
      </c>
    </row>
    <row r="146" spans="1:3" x14ac:dyDescent="0.25">
      <c r="A146" t="s">
        <v>2182</v>
      </c>
      <c r="B146" t="s">
        <v>2286</v>
      </c>
      <c r="C146" t="s">
        <v>2175</v>
      </c>
    </row>
    <row r="147" spans="1:3" x14ac:dyDescent="0.25">
      <c r="A147" t="s">
        <v>2184</v>
      </c>
      <c r="B147" t="s">
        <v>2287</v>
      </c>
      <c r="C147" t="s">
        <v>2175</v>
      </c>
    </row>
    <row r="148" spans="1:3" x14ac:dyDescent="0.25">
      <c r="A148" t="s">
        <v>2186</v>
      </c>
      <c r="B148" t="s">
        <v>2288</v>
      </c>
      <c r="C148" t="s">
        <v>2175</v>
      </c>
    </row>
    <row r="149" spans="1:3" x14ac:dyDescent="0.25">
      <c r="A149" t="s">
        <v>2188</v>
      </c>
      <c r="B149" t="s">
        <v>2289</v>
      </c>
      <c r="C149" t="s">
        <v>2175</v>
      </c>
    </row>
    <row r="151" spans="1:3" x14ac:dyDescent="0.25">
      <c r="A151" t="s">
        <v>2173</v>
      </c>
      <c r="B151" t="s">
        <v>2290</v>
      </c>
      <c r="C151" t="s">
        <v>2175</v>
      </c>
    </row>
    <row r="152" spans="1:3" x14ac:dyDescent="0.25">
      <c r="A152" t="s">
        <v>2176</v>
      </c>
      <c r="B152" t="s">
        <v>2291</v>
      </c>
      <c r="C152" t="s">
        <v>2175</v>
      </c>
    </row>
    <row r="153" spans="1:3" x14ac:dyDescent="0.25">
      <c r="A153" t="s">
        <v>2178</v>
      </c>
      <c r="B153" t="s">
        <v>2292</v>
      </c>
      <c r="C153" t="s">
        <v>2175</v>
      </c>
    </row>
    <row r="154" spans="1:3" x14ac:dyDescent="0.25">
      <c r="A154" t="s">
        <v>321</v>
      </c>
      <c r="B154" t="s">
        <v>2175</v>
      </c>
      <c r="C154" t="s">
        <v>2175</v>
      </c>
    </row>
    <row r="155" spans="1:3" x14ac:dyDescent="0.25">
      <c r="A155" t="s">
        <v>2180</v>
      </c>
      <c r="B155" t="s">
        <v>2293</v>
      </c>
      <c r="C155" t="s">
        <v>2175</v>
      </c>
    </row>
    <row r="156" spans="1:3" x14ac:dyDescent="0.25">
      <c r="A156" t="s">
        <v>2182</v>
      </c>
      <c r="B156" t="s">
        <v>2294</v>
      </c>
      <c r="C156" t="s">
        <v>2175</v>
      </c>
    </row>
    <row r="157" spans="1:3" x14ac:dyDescent="0.25">
      <c r="A157" t="s">
        <v>2184</v>
      </c>
      <c r="B157" t="s">
        <v>2295</v>
      </c>
      <c r="C157" t="s">
        <v>2175</v>
      </c>
    </row>
    <row r="158" spans="1:3" x14ac:dyDescent="0.25">
      <c r="A158" t="s">
        <v>2186</v>
      </c>
      <c r="B158" t="s">
        <v>2296</v>
      </c>
      <c r="C158" t="s">
        <v>2175</v>
      </c>
    </row>
    <row r="159" spans="1:3" x14ac:dyDescent="0.25">
      <c r="A159" t="s">
        <v>2188</v>
      </c>
      <c r="B159" t="s">
        <v>2297</v>
      </c>
      <c r="C159" t="s">
        <v>2175</v>
      </c>
    </row>
    <row r="161" spans="1:3" x14ac:dyDescent="0.25">
      <c r="A161" t="s">
        <v>2173</v>
      </c>
      <c r="B161" t="s">
        <v>2298</v>
      </c>
      <c r="C161" t="s">
        <v>2175</v>
      </c>
    </row>
    <row r="162" spans="1:3" x14ac:dyDescent="0.25">
      <c r="A162" t="s">
        <v>2176</v>
      </c>
      <c r="B162" t="s">
        <v>2269</v>
      </c>
      <c r="C162" t="s">
        <v>2175</v>
      </c>
    </row>
    <row r="163" spans="1:3" x14ac:dyDescent="0.25">
      <c r="A163" t="s">
        <v>2178</v>
      </c>
      <c r="B163" t="s">
        <v>2299</v>
      </c>
      <c r="C163" t="s">
        <v>2175</v>
      </c>
    </row>
    <row r="164" spans="1:3" x14ac:dyDescent="0.25">
      <c r="A164" t="s">
        <v>321</v>
      </c>
      <c r="B164" t="s">
        <v>2175</v>
      </c>
      <c r="C164" t="s">
        <v>2175</v>
      </c>
    </row>
    <row r="165" spans="1:3" x14ac:dyDescent="0.25">
      <c r="A165" t="s">
        <v>2180</v>
      </c>
      <c r="B165" t="s">
        <v>2300</v>
      </c>
      <c r="C165" t="s">
        <v>2175</v>
      </c>
    </row>
    <row r="166" spans="1:3" x14ac:dyDescent="0.25">
      <c r="A166" t="s">
        <v>2182</v>
      </c>
      <c r="B166" t="s">
        <v>2301</v>
      </c>
      <c r="C166" t="s">
        <v>2175</v>
      </c>
    </row>
    <row r="167" spans="1:3" x14ac:dyDescent="0.25">
      <c r="A167" t="s">
        <v>2184</v>
      </c>
      <c r="B167" t="s">
        <v>2302</v>
      </c>
      <c r="C167" t="s">
        <v>2175</v>
      </c>
    </row>
    <row r="168" spans="1:3" x14ac:dyDescent="0.25">
      <c r="A168" t="s">
        <v>2186</v>
      </c>
      <c r="B168" t="s">
        <v>2303</v>
      </c>
      <c r="C168" t="s">
        <v>2175</v>
      </c>
    </row>
    <row r="169" spans="1:3" x14ac:dyDescent="0.25">
      <c r="A169" t="s">
        <v>2188</v>
      </c>
      <c r="B169" t="s">
        <v>2304</v>
      </c>
      <c r="C169" t="s">
        <v>2175</v>
      </c>
    </row>
    <row r="171" spans="1:3" x14ac:dyDescent="0.25">
      <c r="A171" t="s">
        <v>2173</v>
      </c>
      <c r="B171" t="s">
        <v>2305</v>
      </c>
      <c r="C171" t="s">
        <v>2175</v>
      </c>
    </row>
    <row r="172" spans="1:3" x14ac:dyDescent="0.25">
      <c r="A172" t="s">
        <v>2176</v>
      </c>
      <c r="B172" t="s">
        <v>2269</v>
      </c>
      <c r="C172" t="s">
        <v>2175</v>
      </c>
    </row>
    <row r="173" spans="1:3" x14ac:dyDescent="0.25">
      <c r="A173" t="s">
        <v>2178</v>
      </c>
      <c r="B173" t="s">
        <v>2306</v>
      </c>
      <c r="C173" t="s">
        <v>2175</v>
      </c>
    </row>
    <row r="174" spans="1:3" x14ac:dyDescent="0.25">
      <c r="A174" t="s">
        <v>321</v>
      </c>
      <c r="B174" t="s">
        <v>2175</v>
      </c>
      <c r="C174" t="s">
        <v>2175</v>
      </c>
    </row>
    <row r="175" spans="1:3" x14ac:dyDescent="0.25">
      <c r="A175" t="s">
        <v>2180</v>
      </c>
      <c r="B175" t="s">
        <v>2307</v>
      </c>
      <c r="C175" t="s">
        <v>2175</v>
      </c>
    </row>
    <row r="176" spans="1:3" x14ac:dyDescent="0.25">
      <c r="A176" t="s">
        <v>2182</v>
      </c>
      <c r="B176" t="s">
        <v>2308</v>
      </c>
      <c r="C176" t="s">
        <v>2175</v>
      </c>
    </row>
    <row r="177" spans="1:3" x14ac:dyDescent="0.25">
      <c r="A177" t="s">
        <v>2184</v>
      </c>
      <c r="B177" t="s">
        <v>2309</v>
      </c>
      <c r="C177" t="s">
        <v>2175</v>
      </c>
    </row>
    <row r="178" spans="1:3" x14ac:dyDescent="0.25">
      <c r="A178" t="s">
        <v>2186</v>
      </c>
      <c r="B178" t="s">
        <v>2310</v>
      </c>
      <c r="C178" t="s">
        <v>2175</v>
      </c>
    </row>
    <row r="179" spans="1:3" x14ac:dyDescent="0.25">
      <c r="A179" t="s">
        <v>2188</v>
      </c>
      <c r="B179" t="s">
        <v>2311</v>
      </c>
      <c r="C179" t="s">
        <v>2175</v>
      </c>
    </row>
    <row r="181" spans="1:3" x14ac:dyDescent="0.25">
      <c r="A181" t="s">
        <v>2173</v>
      </c>
      <c r="B181" s="203">
        <v>50.090375299999998</v>
      </c>
    </row>
    <row r="182" spans="1:3" x14ac:dyDescent="0.25">
      <c r="A182" t="s">
        <v>2176</v>
      </c>
      <c r="B182">
        <v>33.5</v>
      </c>
    </row>
    <row r="183" spans="1:3" x14ac:dyDescent="0.25">
      <c r="A183" t="s">
        <v>2178</v>
      </c>
      <c r="B183" t="s">
        <v>2314</v>
      </c>
    </row>
    <row r="184" spans="1:3" x14ac:dyDescent="0.25">
      <c r="A184" t="s">
        <v>321</v>
      </c>
    </row>
    <row r="185" spans="1:3" x14ac:dyDescent="0.25">
      <c r="A185" t="s">
        <v>2180</v>
      </c>
      <c r="B185" t="s">
        <v>2315</v>
      </c>
    </row>
    <row r="186" spans="1:3" x14ac:dyDescent="0.25">
      <c r="A186" t="s">
        <v>2182</v>
      </c>
      <c r="B186">
        <v>100001.274865</v>
      </c>
    </row>
    <row r="187" spans="1:3" x14ac:dyDescent="0.25">
      <c r="A187" t="s">
        <v>2184</v>
      </c>
      <c r="B187">
        <v>5.51091288159496E-2</v>
      </c>
    </row>
    <row r="188" spans="1:3" x14ac:dyDescent="0.25">
      <c r="A188" t="s">
        <v>2186</v>
      </c>
      <c r="B188">
        <v>100001.11990000001</v>
      </c>
    </row>
    <row r="189" spans="1:3" x14ac:dyDescent="0.25">
      <c r="A189" t="s">
        <v>2188</v>
      </c>
      <c r="B189">
        <v>2.77987125797527E-2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P119"/>
  <sheetViews>
    <sheetView topLeftCell="A19" workbookViewId="0">
      <selection activeCell="C28" sqref="C28"/>
    </sheetView>
  </sheetViews>
  <sheetFormatPr defaultRowHeight="12.5" x14ac:dyDescent="0.25"/>
  <cols>
    <col min="1" max="1" width="13.54296875" customWidth="1"/>
    <col min="2" max="2" width="12" customWidth="1"/>
    <col min="3" max="3" width="10.453125" bestFit="1" customWidth="1"/>
    <col min="4" max="4" width="13" customWidth="1"/>
    <col min="5" max="5" width="9.453125" customWidth="1"/>
    <col min="6" max="6" width="10" bestFit="1" customWidth="1"/>
    <col min="7" max="7" width="9.54296875" bestFit="1" customWidth="1"/>
    <col min="8" max="8" width="11" customWidth="1"/>
    <col min="9" max="9" width="11.26953125" bestFit="1" customWidth="1"/>
    <col min="10" max="10" width="9.81640625" bestFit="1" customWidth="1"/>
    <col min="11" max="11" width="9.54296875" bestFit="1" customWidth="1"/>
    <col min="12" max="12" width="9.81640625" bestFit="1" customWidth="1"/>
    <col min="13" max="13" width="11.81640625" bestFit="1" customWidth="1"/>
  </cols>
  <sheetData>
    <row r="1" spans="1:16" ht="13" x14ac:dyDescent="0.3">
      <c r="A1" s="1" t="s">
        <v>0</v>
      </c>
      <c r="B1" s="1"/>
    </row>
    <row r="2" spans="1:16" ht="13" x14ac:dyDescent="0.3">
      <c r="A2" s="14" t="s">
        <v>91</v>
      </c>
      <c r="B2" s="26"/>
    </row>
    <row r="3" spans="1:16" x14ac:dyDescent="0.25">
      <c r="A3" s="9" t="s">
        <v>1</v>
      </c>
      <c r="B3" s="133">
        <v>44964</v>
      </c>
    </row>
    <row r="4" spans="1:16" x14ac:dyDescent="0.25">
      <c r="A4" s="9" t="s">
        <v>71</v>
      </c>
      <c r="B4" s="134">
        <v>1593</v>
      </c>
      <c r="C4" s="206"/>
      <c r="D4" s="206"/>
      <c r="E4" s="206"/>
      <c r="F4" s="206"/>
      <c r="G4" s="206"/>
      <c r="H4" s="206"/>
      <c r="I4" s="206"/>
    </row>
    <row r="5" spans="1:16" ht="13" x14ac:dyDescent="0.3">
      <c r="A5" s="9"/>
      <c r="B5" s="15" t="s">
        <v>37</v>
      </c>
      <c r="C5" s="9"/>
      <c r="D5" s="9"/>
      <c r="E5" s="9"/>
      <c r="F5" s="9" t="s">
        <v>62</v>
      </c>
      <c r="G5" s="9" t="s">
        <v>62</v>
      </c>
    </row>
    <row r="6" spans="1:16" x14ac:dyDescent="0.25">
      <c r="A6" s="9" t="s">
        <v>135</v>
      </c>
      <c r="B6" s="9" t="s">
        <v>38</v>
      </c>
      <c r="C6" s="9" t="s">
        <v>45</v>
      </c>
      <c r="D6" s="9" t="s">
        <v>46</v>
      </c>
      <c r="E6" s="9"/>
      <c r="F6" s="9" t="s">
        <v>45</v>
      </c>
      <c r="G6" s="9" t="s">
        <v>46</v>
      </c>
      <c r="H6" s="9" t="s">
        <v>242</v>
      </c>
    </row>
    <row r="7" spans="1:16" x14ac:dyDescent="0.25">
      <c r="A7" s="113">
        <v>21</v>
      </c>
      <c r="B7" s="114" t="s">
        <v>39</v>
      </c>
      <c r="C7" s="157">
        <v>0</v>
      </c>
      <c r="D7" s="175">
        <f>-0.0001+0.0000995</f>
        <v>-4.999999999999986E-7</v>
      </c>
      <c r="E7" t="s">
        <v>1798</v>
      </c>
      <c r="F7" s="27">
        <f>1000000*C7</f>
        <v>0</v>
      </c>
      <c r="G7" s="27">
        <f>1000000*D7</f>
        <v>-0.49999999999999861</v>
      </c>
      <c r="H7" s="27">
        <v>20.97</v>
      </c>
      <c r="I7" s="206"/>
    </row>
    <row r="8" spans="1:16" x14ac:dyDescent="0.25">
      <c r="A8" s="117">
        <v>20</v>
      </c>
      <c r="B8" s="118" t="s">
        <v>40</v>
      </c>
      <c r="C8" s="120">
        <v>0</v>
      </c>
      <c r="D8" s="175">
        <f>-0.0001+0.0000995</f>
        <v>-4.999999999999986E-7</v>
      </c>
      <c r="E8" t="s">
        <v>1798</v>
      </c>
      <c r="F8" s="27">
        <f t="shared" ref="F8:F13" si="0">1000000*C8</f>
        <v>0</v>
      </c>
      <c r="G8" s="27">
        <f t="shared" ref="G8:G13" si="1">1000000*D8</f>
        <v>-0.49999999999999861</v>
      </c>
      <c r="H8" s="27">
        <v>20.98</v>
      </c>
      <c r="I8" s="206"/>
    </row>
    <row r="9" spans="1:16" x14ac:dyDescent="0.25">
      <c r="A9" s="117">
        <v>19</v>
      </c>
      <c r="B9" s="118" t="s">
        <v>41</v>
      </c>
      <c r="C9" s="120">
        <v>0</v>
      </c>
      <c r="D9" s="176">
        <f>0.0000977-0.0001</f>
        <v>-2.3000000000000017E-6</v>
      </c>
      <c r="E9" t="s">
        <v>1798</v>
      </c>
      <c r="F9" s="27">
        <f t="shared" si="0"/>
        <v>0</v>
      </c>
      <c r="G9" s="27">
        <f t="shared" si="1"/>
        <v>-2.3000000000000016</v>
      </c>
      <c r="H9" s="27">
        <v>20.97</v>
      </c>
      <c r="I9" s="206"/>
    </row>
    <row r="10" spans="1:16" x14ac:dyDescent="0.25">
      <c r="A10" s="117">
        <v>18</v>
      </c>
      <c r="B10" s="118" t="s">
        <v>42</v>
      </c>
      <c r="C10" s="120">
        <f>0.1-0.1</f>
        <v>0</v>
      </c>
      <c r="D10" s="176">
        <f>0.1000997-0.1001</f>
        <v>-2.9999999999474891E-7</v>
      </c>
      <c r="E10" t="s">
        <v>1798</v>
      </c>
      <c r="F10" s="27">
        <f t="shared" si="0"/>
        <v>0</v>
      </c>
      <c r="G10" s="27">
        <f t="shared" si="1"/>
        <v>-0.29999999999474891</v>
      </c>
      <c r="H10" s="27">
        <v>21.12</v>
      </c>
      <c r="I10" s="206"/>
    </row>
    <row r="11" spans="1:16" x14ac:dyDescent="0.25">
      <c r="A11" s="117">
        <v>17</v>
      </c>
      <c r="B11" s="118" t="s">
        <v>43</v>
      </c>
      <c r="C11" s="120">
        <f>0.099995-0.1</f>
        <v>-5.0000000000050004E-6</v>
      </c>
      <c r="D11" s="176">
        <f>0.1010009-0.101</f>
        <v>8.9999999999812452E-7</v>
      </c>
      <c r="E11" t="s">
        <v>1798</v>
      </c>
      <c r="F11" s="27">
        <f t="shared" si="0"/>
        <v>-5.0000000000050004</v>
      </c>
      <c r="G11" s="27">
        <f t="shared" si="1"/>
        <v>0.89999999999812452</v>
      </c>
      <c r="H11" s="27">
        <v>21.07</v>
      </c>
      <c r="I11" s="206"/>
    </row>
    <row r="12" spans="1:16" x14ac:dyDescent="0.25">
      <c r="A12" s="117">
        <v>16</v>
      </c>
      <c r="B12" s="118" t="s">
        <v>44</v>
      </c>
      <c r="C12" s="120">
        <f>0.099995-0.1</f>
        <v>-5.0000000000050004E-6</v>
      </c>
      <c r="D12" s="176">
        <f>0.101-0.1010021</f>
        <v>-2.099999999990998E-6</v>
      </c>
      <c r="E12" t="s">
        <v>1798</v>
      </c>
      <c r="F12" s="27">
        <f t="shared" si="0"/>
        <v>-5.0000000000050004</v>
      </c>
      <c r="G12" s="27">
        <f t="shared" si="1"/>
        <v>-2.099999999990998</v>
      </c>
      <c r="H12" s="27">
        <v>21.04</v>
      </c>
      <c r="I12" s="206" t="s">
        <v>1799</v>
      </c>
      <c r="L12" s="6"/>
    </row>
    <row r="13" spans="1:16" x14ac:dyDescent="0.25">
      <c r="A13" s="123">
        <v>15</v>
      </c>
      <c r="B13" s="124" t="s">
        <v>66</v>
      </c>
      <c r="C13" s="135">
        <f>0.000082-0.0001</f>
        <v>-1.8000000000000004E-5</v>
      </c>
      <c r="D13" s="176">
        <f>0.101-0.1010021</f>
        <v>-2.099999999990998E-6</v>
      </c>
      <c r="E13" t="s">
        <v>1798</v>
      </c>
      <c r="F13" s="27">
        <f t="shared" si="0"/>
        <v>-18.000000000000004</v>
      </c>
      <c r="G13" s="27">
        <f t="shared" si="1"/>
        <v>-2.099999999990998</v>
      </c>
      <c r="H13" s="27">
        <v>21.12</v>
      </c>
      <c r="I13" s="206" t="s">
        <v>1800</v>
      </c>
    </row>
    <row r="14" spans="1:16" x14ac:dyDescent="0.25">
      <c r="I14" s="206"/>
    </row>
    <row r="15" spans="1:16" ht="13" x14ac:dyDescent="0.3">
      <c r="A15" s="9" t="s">
        <v>135</v>
      </c>
      <c r="B15" s="15" t="s">
        <v>47</v>
      </c>
      <c r="C15" s="9" t="s">
        <v>55</v>
      </c>
      <c r="D15" s="9" t="s">
        <v>56</v>
      </c>
      <c r="E15" s="9"/>
      <c r="F15" s="9" t="s">
        <v>55</v>
      </c>
      <c r="G15" s="9" t="s">
        <v>56</v>
      </c>
      <c r="H15" s="9"/>
      <c r="I15" s="206"/>
      <c r="P15" t="s">
        <v>2451</v>
      </c>
    </row>
    <row r="16" spans="1:16" x14ac:dyDescent="0.25">
      <c r="A16" s="113">
        <v>28</v>
      </c>
      <c r="B16" s="114" t="s">
        <v>48</v>
      </c>
      <c r="C16" s="157">
        <v>5.0000000000000004E-6</v>
      </c>
      <c r="D16" s="175">
        <v>2.7E-6</v>
      </c>
      <c r="E16" t="s">
        <v>1798</v>
      </c>
      <c r="F16" s="27">
        <f t="shared" ref="F16:F22" si="2">1000000*C16</f>
        <v>5</v>
      </c>
      <c r="G16" s="27">
        <f t="shared" ref="G16:G22" si="3">1000000*D16</f>
        <v>2.7</v>
      </c>
      <c r="H16" s="27">
        <v>21.04</v>
      </c>
      <c r="I16" s="206"/>
    </row>
    <row r="17" spans="1:13" x14ac:dyDescent="0.25">
      <c r="A17" s="117">
        <v>27</v>
      </c>
      <c r="B17" s="118" t="s">
        <v>49</v>
      </c>
      <c r="C17" s="120">
        <v>0</v>
      </c>
      <c r="D17" s="176">
        <v>1.5999999999999999E-6</v>
      </c>
      <c r="E17" t="s">
        <v>1798</v>
      </c>
      <c r="F17" s="27">
        <f t="shared" si="2"/>
        <v>0</v>
      </c>
      <c r="G17" s="27">
        <f t="shared" si="3"/>
        <v>1.5999999999999999</v>
      </c>
      <c r="H17" s="27">
        <v>21.06</v>
      </c>
      <c r="I17" s="206"/>
    </row>
    <row r="18" spans="1:13" x14ac:dyDescent="0.25">
      <c r="A18" s="117">
        <v>26</v>
      </c>
      <c r="B18" s="118" t="s">
        <v>50</v>
      </c>
      <c r="C18" s="120">
        <v>-9.9999999999999995E-7</v>
      </c>
      <c r="D18" s="176">
        <v>9.9999999999999995E-8</v>
      </c>
      <c r="E18" t="s">
        <v>1798</v>
      </c>
      <c r="F18" s="27">
        <f t="shared" si="2"/>
        <v>-1</v>
      </c>
      <c r="G18" s="27">
        <f t="shared" si="3"/>
        <v>9.9999999999999992E-2</v>
      </c>
      <c r="H18" s="27">
        <v>21.05</v>
      </c>
      <c r="I18" s="206"/>
    </row>
    <row r="19" spans="1:13" x14ac:dyDescent="0.25">
      <c r="A19" s="117">
        <v>25</v>
      </c>
      <c r="B19" s="118" t="s">
        <v>51</v>
      </c>
      <c r="C19" s="120">
        <v>0</v>
      </c>
      <c r="D19" s="176">
        <f>-0.0000001</f>
        <v>-9.9999999999999995E-8</v>
      </c>
      <c r="E19" t="s">
        <v>1798</v>
      </c>
      <c r="F19" s="27">
        <f t="shared" si="2"/>
        <v>0</v>
      </c>
      <c r="G19" s="27">
        <f t="shared" si="3"/>
        <v>-9.9999999999999992E-2</v>
      </c>
      <c r="H19" s="27">
        <v>21.23</v>
      </c>
      <c r="I19" s="206"/>
    </row>
    <row r="20" spans="1:13" x14ac:dyDescent="0.25">
      <c r="A20" s="117">
        <v>24</v>
      </c>
      <c r="B20" s="118" t="s">
        <v>52</v>
      </c>
      <c r="C20" s="120">
        <v>0</v>
      </c>
      <c r="D20" s="176">
        <v>-9.9999999999999995E-8</v>
      </c>
      <c r="E20" t="s">
        <v>1798</v>
      </c>
      <c r="F20" s="27">
        <f t="shared" si="2"/>
        <v>0</v>
      </c>
      <c r="G20" s="27">
        <f t="shared" si="3"/>
        <v>-9.9999999999999992E-2</v>
      </c>
      <c r="H20" s="27">
        <v>21.26</v>
      </c>
      <c r="I20" s="206"/>
    </row>
    <row r="21" spans="1:13" x14ac:dyDescent="0.25">
      <c r="A21" s="117">
        <v>23</v>
      </c>
      <c r="B21" s="118" t="s">
        <v>53</v>
      </c>
      <c r="C21" s="120">
        <v>0</v>
      </c>
      <c r="D21" s="176">
        <v>-9.9999999999999995E-8</v>
      </c>
      <c r="E21" t="s">
        <v>1798</v>
      </c>
      <c r="F21" s="27">
        <f t="shared" si="2"/>
        <v>0</v>
      </c>
      <c r="G21" s="27">
        <f t="shared" si="3"/>
        <v>-9.9999999999999992E-2</v>
      </c>
      <c r="H21" s="27">
        <v>21.36</v>
      </c>
      <c r="I21" s="206"/>
    </row>
    <row r="22" spans="1:13" x14ac:dyDescent="0.25">
      <c r="A22" s="123">
        <v>22</v>
      </c>
      <c r="B22" s="124" t="s">
        <v>54</v>
      </c>
      <c r="C22" s="135">
        <v>0</v>
      </c>
      <c r="D22" s="177">
        <v>0</v>
      </c>
      <c r="E22" t="s">
        <v>1798</v>
      </c>
      <c r="F22" s="27">
        <f t="shared" si="2"/>
        <v>0</v>
      </c>
      <c r="G22" s="27">
        <f t="shared" si="3"/>
        <v>0</v>
      </c>
      <c r="H22" s="27">
        <v>21.5</v>
      </c>
      <c r="I22" s="206"/>
    </row>
    <row r="23" spans="1:13" x14ac:dyDescent="0.25">
      <c r="A23" s="206"/>
      <c r="B23" s="268"/>
      <c r="C23" s="206"/>
      <c r="D23" s="206"/>
      <c r="E23" s="206"/>
      <c r="F23" s="206"/>
      <c r="G23" s="206"/>
      <c r="H23" s="206"/>
      <c r="I23" s="206"/>
    </row>
    <row r="26" spans="1:13" ht="13" x14ac:dyDescent="0.3">
      <c r="A26" s="14" t="s">
        <v>94</v>
      </c>
      <c r="B26" s="26"/>
      <c r="G26" s="292" t="s">
        <v>2453</v>
      </c>
      <c r="H26" s="292"/>
      <c r="K26" s="292" t="s">
        <v>2454</v>
      </c>
      <c r="L26" s="292"/>
    </row>
    <row r="27" spans="1:13" x14ac:dyDescent="0.25">
      <c r="A27" s="9" t="s">
        <v>135</v>
      </c>
      <c r="B27" s="9" t="s">
        <v>38</v>
      </c>
      <c r="C27" s="9" t="s">
        <v>71</v>
      </c>
      <c r="D27" s="9" t="s">
        <v>57</v>
      </c>
      <c r="E27" s="9" t="s">
        <v>58</v>
      </c>
      <c r="F27" s="9" t="s">
        <v>38</v>
      </c>
      <c r="G27" s="9" t="s">
        <v>55</v>
      </c>
      <c r="H27" s="9" t="s">
        <v>56</v>
      </c>
      <c r="I27" s="9"/>
      <c r="J27" s="9" t="s">
        <v>38</v>
      </c>
      <c r="K27" s="9" t="s">
        <v>45</v>
      </c>
      <c r="L27" s="9" t="s">
        <v>46</v>
      </c>
    </row>
    <row r="28" spans="1:13" x14ac:dyDescent="0.25">
      <c r="A28" s="219" t="s">
        <v>2455</v>
      </c>
      <c r="B28" s="118" t="s">
        <v>49</v>
      </c>
      <c r="C28" s="118">
        <v>1594</v>
      </c>
      <c r="D28" s="136" t="s">
        <v>2351</v>
      </c>
      <c r="E28" s="118">
        <v>1.6299999999999999E-2</v>
      </c>
      <c r="F28" s="293">
        <v>6</v>
      </c>
      <c r="G28" s="120">
        <v>-2.0000000000000002E-5</v>
      </c>
      <c r="H28" s="122">
        <v>0.99792559999999997</v>
      </c>
      <c r="I28" s="122" t="s">
        <v>2359</v>
      </c>
      <c r="J28" s="118" t="s">
        <v>40</v>
      </c>
      <c r="K28" s="166">
        <f>0.000082-0.0001</f>
        <v>-1.8000000000000004E-5</v>
      </c>
      <c r="L28" s="122">
        <f>1.0019186</f>
        <v>1.0019186</v>
      </c>
      <c r="M28" s="206" t="s">
        <v>2360</v>
      </c>
    </row>
    <row r="29" spans="1:13" x14ac:dyDescent="0.25">
      <c r="A29" s="219" t="s">
        <v>2456</v>
      </c>
      <c r="B29" s="118" t="s">
        <v>49</v>
      </c>
      <c r="C29" s="118">
        <v>1594</v>
      </c>
      <c r="D29" s="136" t="s">
        <v>2352</v>
      </c>
      <c r="E29" s="118">
        <v>1.4E-2</v>
      </c>
      <c r="F29" s="294"/>
      <c r="G29" s="120">
        <f>0.000077-0.0001</f>
        <v>-2.3000000000000003E-5</v>
      </c>
      <c r="H29" s="122">
        <f>0.9901091+0.01-0.00001</f>
        <v>1.0000990999999999</v>
      </c>
      <c r="I29" s="122" t="s">
        <v>2361</v>
      </c>
      <c r="J29" s="118" t="s">
        <v>40</v>
      </c>
      <c r="K29" s="120">
        <f>0.000086-0.0001</f>
        <v>-1.4000000000000001E-5</v>
      </c>
      <c r="L29" s="122">
        <v>0.99973040000000002</v>
      </c>
      <c r="M29" s="206" t="s">
        <v>2367</v>
      </c>
    </row>
    <row r="30" spans="1:13" x14ac:dyDescent="0.25">
      <c r="A30" s="219" t="s">
        <v>2457</v>
      </c>
      <c r="B30" s="118" t="s">
        <v>50</v>
      </c>
      <c r="C30" s="118">
        <v>1594</v>
      </c>
      <c r="D30" s="136" t="s">
        <v>2353</v>
      </c>
      <c r="E30" s="118">
        <v>3.1E-2</v>
      </c>
      <c r="F30" s="293">
        <v>5</v>
      </c>
      <c r="G30" s="120">
        <f>0.000062-0.0001</f>
        <v>-3.8000000000000002E-5</v>
      </c>
      <c r="H30" s="122">
        <f>0.9903109+0.01</f>
        <v>1.0003108999999999</v>
      </c>
      <c r="I30" s="122" t="s">
        <v>2362</v>
      </c>
      <c r="J30" s="118" t="s">
        <v>41</v>
      </c>
      <c r="K30" s="120">
        <v>3.9999999999999998E-6</v>
      </c>
      <c r="L30" s="122">
        <f>0.999549+0.000001</f>
        <v>0.99955000000000005</v>
      </c>
      <c r="M30" s="206" t="s">
        <v>2368</v>
      </c>
    </row>
    <row r="31" spans="1:13" x14ac:dyDescent="0.25">
      <c r="A31" s="219" t="s">
        <v>2458</v>
      </c>
      <c r="B31" s="118" t="s">
        <v>50</v>
      </c>
      <c r="C31" s="118">
        <v>1594</v>
      </c>
      <c r="D31" s="136" t="s">
        <v>2354</v>
      </c>
      <c r="E31" s="118">
        <v>2.8000000000000001E-2</v>
      </c>
      <c r="F31" s="294"/>
      <c r="G31" s="120">
        <f>0.000061-0.0001</f>
        <v>-3.9000000000000006E-5</v>
      </c>
      <c r="H31" s="122">
        <v>0.99910540000000003</v>
      </c>
      <c r="I31" s="122" t="s">
        <v>2363</v>
      </c>
      <c r="J31" s="118" t="s">
        <v>41</v>
      </c>
      <c r="K31" s="120">
        <v>3.9999999999999998E-6</v>
      </c>
      <c r="L31" s="122">
        <f>0.9907544+0.01</f>
        <v>1.0007543999999999</v>
      </c>
      <c r="M31" s="206" t="s">
        <v>2367</v>
      </c>
    </row>
    <row r="32" spans="1:13" x14ac:dyDescent="0.25">
      <c r="A32" s="219" t="s">
        <v>2459</v>
      </c>
      <c r="B32" s="118" t="s">
        <v>51</v>
      </c>
      <c r="C32" s="118">
        <v>1594</v>
      </c>
      <c r="D32" s="118" t="s">
        <v>2355</v>
      </c>
      <c r="E32" s="118">
        <v>0</v>
      </c>
      <c r="F32" s="293">
        <v>4</v>
      </c>
      <c r="G32" s="120">
        <f>0.000082-0.0001</f>
        <v>-1.8000000000000004E-5</v>
      </c>
      <c r="H32" s="122">
        <v>1.0013607</v>
      </c>
      <c r="I32" s="122" t="s">
        <v>2364</v>
      </c>
      <c r="J32" s="118" t="s">
        <v>42</v>
      </c>
      <c r="K32" s="166">
        <v>1.0000000000000001E-5</v>
      </c>
      <c r="L32" s="122">
        <f>0.9986149</f>
        <v>0.99861489999999997</v>
      </c>
      <c r="M32" s="206" t="s">
        <v>2369</v>
      </c>
    </row>
    <row r="33" spans="1:14" x14ac:dyDescent="0.25">
      <c r="A33" s="219" t="s">
        <v>2460</v>
      </c>
      <c r="B33" s="118" t="s">
        <v>51</v>
      </c>
      <c r="C33" s="118">
        <v>1594</v>
      </c>
      <c r="D33" s="118" t="s">
        <v>2356</v>
      </c>
      <c r="E33" s="118">
        <v>0.01</v>
      </c>
      <c r="F33" s="294"/>
      <c r="G33" s="120">
        <f>0.000083-0.0001</f>
        <v>-1.7000000000000007E-5</v>
      </c>
      <c r="H33" s="122">
        <f>0.9022951+0.1</f>
        <v>1.0022951</v>
      </c>
      <c r="I33" s="122" t="s">
        <v>2359</v>
      </c>
      <c r="J33" s="118" t="s">
        <v>42</v>
      </c>
      <c r="K33" s="120">
        <v>1.0000000000000001E-5</v>
      </c>
      <c r="L33" s="122">
        <f>0.997696+0.000001</f>
        <v>0.99769700000000006</v>
      </c>
      <c r="M33" s="206" t="s">
        <v>2359</v>
      </c>
    </row>
    <row r="34" spans="1:14" x14ac:dyDescent="0.25">
      <c r="A34" s="219" t="s">
        <v>2461</v>
      </c>
      <c r="B34" s="118" t="s">
        <v>52</v>
      </c>
      <c r="C34" s="118">
        <v>1594</v>
      </c>
      <c r="D34" s="118" t="s">
        <v>2357</v>
      </c>
      <c r="E34" s="118">
        <v>0</v>
      </c>
      <c r="F34" s="293">
        <v>3</v>
      </c>
      <c r="G34" s="120">
        <f>0.000004-0.00001</f>
        <v>-6.000000000000001E-6</v>
      </c>
      <c r="H34" s="122">
        <f>0.996579-0.0000001</f>
        <v>0.99657890000000005</v>
      </c>
      <c r="I34" s="122" t="s">
        <v>2365</v>
      </c>
      <c r="J34" s="118" t="s">
        <v>43</v>
      </c>
      <c r="K34" s="120">
        <f>0.000008-0.00001</f>
        <v>-2.0000000000000012E-6</v>
      </c>
      <c r="L34" s="122">
        <f>0.9034206+0.1</f>
        <v>1.0034206000000001</v>
      </c>
      <c r="M34" s="206" t="s">
        <v>2370</v>
      </c>
    </row>
    <row r="35" spans="1:14" x14ac:dyDescent="0.25">
      <c r="A35" s="219" t="s">
        <v>2462</v>
      </c>
      <c r="B35" s="118" t="s">
        <v>52</v>
      </c>
      <c r="C35" s="118">
        <v>1594</v>
      </c>
      <c r="D35" s="118" t="s">
        <v>2358</v>
      </c>
      <c r="E35" s="118">
        <v>0</v>
      </c>
      <c r="F35" s="294"/>
      <c r="G35" s="120">
        <f>0.000003-0.00001</f>
        <v>-7.0000000000000007E-6</v>
      </c>
      <c r="H35" s="122">
        <v>0.99693390000000004</v>
      </c>
      <c r="I35" s="122" t="s">
        <v>2366</v>
      </c>
      <c r="J35" s="118" t="s">
        <v>43</v>
      </c>
      <c r="K35" s="120">
        <f>0.000009-0.00001</f>
        <v>-1.0000000000000006E-6</v>
      </c>
      <c r="L35" s="122">
        <f>0.9030646+0.1</f>
        <v>1.0030646000000001</v>
      </c>
      <c r="M35" s="206" t="s">
        <v>2359</v>
      </c>
    </row>
    <row r="36" spans="1:14" x14ac:dyDescent="0.25">
      <c r="A36" s="276"/>
      <c r="B36" s="263"/>
      <c r="C36" s="263"/>
      <c r="D36" s="263"/>
      <c r="E36" s="263"/>
      <c r="F36" s="263"/>
      <c r="G36" s="263"/>
      <c r="H36" s="263"/>
      <c r="I36" s="263"/>
      <c r="J36" s="263"/>
      <c r="K36" s="263"/>
      <c r="L36" s="263"/>
      <c r="M36" s="206"/>
    </row>
    <row r="42" spans="1:14" x14ac:dyDescent="0.25">
      <c r="A42" s="9"/>
      <c r="B42" s="9"/>
      <c r="C42" s="9" t="s">
        <v>97</v>
      </c>
      <c r="D42" s="9"/>
      <c r="E42" s="27"/>
      <c r="F42" s="27" t="s">
        <v>98</v>
      </c>
      <c r="G42" s="27"/>
      <c r="H42" s="27" t="s">
        <v>99</v>
      </c>
    </row>
    <row r="43" spans="1:14" x14ac:dyDescent="0.25">
      <c r="A43" s="9" t="s">
        <v>38</v>
      </c>
      <c r="B43" s="9" t="s">
        <v>59</v>
      </c>
      <c r="C43" s="9" t="s">
        <v>60</v>
      </c>
      <c r="D43" s="9" t="s">
        <v>61</v>
      </c>
      <c r="E43" s="27" t="s">
        <v>71</v>
      </c>
      <c r="F43" s="27" t="s">
        <v>60</v>
      </c>
      <c r="G43" s="27" t="s">
        <v>61</v>
      </c>
      <c r="H43" s="27" t="s">
        <v>100</v>
      </c>
    </row>
    <row r="44" spans="1:14" x14ac:dyDescent="0.25">
      <c r="A44" s="9">
        <v>6</v>
      </c>
      <c r="B44" s="9">
        <v>1000</v>
      </c>
      <c r="C44" s="37">
        <f t="shared" ref="C44:C51" si="4">B44*G28-E28</f>
        <v>-3.6299999999999999E-2</v>
      </c>
      <c r="D44" s="51">
        <f t="shared" ref="D44:D51" si="5">B44*K28+E28</f>
        <v>-1.7000000000000036E-3</v>
      </c>
      <c r="E44" s="27">
        <f t="shared" ref="E44:E51" si="6">C28</f>
        <v>1594</v>
      </c>
      <c r="F44" s="28">
        <f>1000000*C44/B44</f>
        <v>-36.299999999999997</v>
      </c>
      <c r="G44" s="28">
        <f>1000000*D44/B44</f>
        <v>-1.7000000000000037</v>
      </c>
      <c r="H44" s="28">
        <f t="shared" ref="H44:H51" si="7">(F44+G44)/2</f>
        <v>-19</v>
      </c>
      <c r="M44" s="6"/>
      <c r="N44" s="6"/>
    </row>
    <row r="45" spans="1:14" x14ac:dyDescent="0.25">
      <c r="A45" s="9">
        <v>6</v>
      </c>
      <c r="B45" s="9">
        <v>1000</v>
      </c>
      <c r="C45" s="37">
        <f t="shared" si="4"/>
        <v>-3.7000000000000005E-2</v>
      </c>
      <c r="D45" s="51">
        <f t="shared" si="5"/>
        <v>0</v>
      </c>
      <c r="E45" s="27">
        <f t="shared" si="6"/>
        <v>1594</v>
      </c>
      <c r="F45" s="28">
        <f t="shared" ref="F45:F51" si="8">1000000*C45/B45</f>
        <v>-37.000000000000007</v>
      </c>
      <c r="G45" s="28">
        <f t="shared" ref="G45:G51" si="9">1000000*D45/B45</f>
        <v>0</v>
      </c>
      <c r="H45" s="28">
        <f t="shared" si="7"/>
        <v>-18.500000000000004</v>
      </c>
      <c r="M45" s="6"/>
      <c r="N45" s="6"/>
    </row>
    <row r="46" spans="1:14" x14ac:dyDescent="0.25">
      <c r="A46" s="9">
        <v>5</v>
      </c>
      <c r="B46" s="9">
        <v>10000</v>
      </c>
      <c r="C46" s="51">
        <f t="shared" si="4"/>
        <v>-0.41100000000000003</v>
      </c>
      <c r="D46" s="52">
        <f t="shared" si="5"/>
        <v>7.1000000000000008E-2</v>
      </c>
      <c r="E46" s="27">
        <f t="shared" si="6"/>
        <v>1594</v>
      </c>
      <c r="F46" s="28">
        <f t="shared" si="8"/>
        <v>-41.100000000000009</v>
      </c>
      <c r="G46" s="28">
        <f t="shared" si="9"/>
        <v>7.1000000000000014</v>
      </c>
      <c r="H46" s="28">
        <f t="shared" si="7"/>
        <v>-17.000000000000004</v>
      </c>
      <c r="M46" s="6"/>
      <c r="N46" s="6"/>
    </row>
    <row r="47" spans="1:14" x14ac:dyDescent="0.25">
      <c r="A47" s="9">
        <v>5</v>
      </c>
      <c r="B47" s="9">
        <v>10000</v>
      </c>
      <c r="C47" s="51">
        <f t="shared" si="4"/>
        <v>-0.41800000000000009</v>
      </c>
      <c r="D47" s="52">
        <f t="shared" si="5"/>
        <v>6.8000000000000005E-2</v>
      </c>
      <c r="E47" s="27">
        <f t="shared" si="6"/>
        <v>1594</v>
      </c>
      <c r="F47" s="28">
        <f t="shared" si="8"/>
        <v>-41.800000000000011</v>
      </c>
      <c r="G47" s="28">
        <f t="shared" si="9"/>
        <v>6.8</v>
      </c>
      <c r="H47" s="28">
        <f t="shared" si="7"/>
        <v>-17.500000000000007</v>
      </c>
      <c r="M47" s="6"/>
      <c r="N47" s="6"/>
    </row>
    <row r="48" spans="1:14" x14ac:dyDescent="0.25">
      <c r="A48" s="9">
        <v>4</v>
      </c>
      <c r="B48" s="9">
        <v>100000</v>
      </c>
      <c r="C48" s="12">
        <f t="shared" si="4"/>
        <v>-1.8000000000000005</v>
      </c>
      <c r="D48" s="53">
        <f t="shared" si="5"/>
        <v>1</v>
      </c>
      <c r="E48" s="27">
        <f t="shared" si="6"/>
        <v>1594</v>
      </c>
      <c r="F48" s="28">
        <f t="shared" si="8"/>
        <v>-18.000000000000004</v>
      </c>
      <c r="G48" s="28">
        <f t="shared" si="9"/>
        <v>10</v>
      </c>
      <c r="H48" s="28">
        <f t="shared" si="7"/>
        <v>-4.0000000000000018</v>
      </c>
    </row>
    <row r="49" spans="1:15" x14ac:dyDescent="0.25">
      <c r="A49" s="9">
        <v>4</v>
      </c>
      <c r="B49" s="9">
        <v>100000</v>
      </c>
      <c r="C49" s="12">
        <f t="shared" si="4"/>
        <v>-1.7100000000000006</v>
      </c>
      <c r="D49" s="53">
        <f t="shared" si="5"/>
        <v>1.01</v>
      </c>
      <c r="E49" s="27">
        <f t="shared" si="6"/>
        <v>1594</v>
      </c>
      <c r="F49" s="28">
        <f t="shared" si="8"/>
        <v>-17.100000000000009</v>
      </c>
      <c r="G49" s="28">
        <f t="shared" si="9"/>
        <v>10.1</v>
      </c>
      <c r="H49" s="28">
        <f t="shared" si="7"/>
        <v>-3.5000000000000044</v>
      </c>
    </row>
    <row r="50" spans="1:15" x14ac:dyDescent="0.25">
      <c r="A50" s="9">
        <v>3</v>
      </c>
      <c r="B50" s="9">
        <v>1000000</v>
      </c>
      <c r="C50" s="53">
        <f t="shared" si="4"/>
        <v>-6.0000000000000009</v>
      </c>
      <c r="D50" s="53">
        <f t="shared" si="5"/>
        <v>-2.0000000000000013</v>
      </c>
      <c r="E50" s="27">
        <f t="shared" si="6"/>
        <v>1594</v>
      </c>
      <c r="F50" s="28">
        <f t="shared" si="8"/>
        <v>-6.0000000000000009</v>
      </c>
      <c r="G50" s="28">
        <f t="shared" si="9"/>
        <v>-2.0000000000000013</v>
      </c>
      <c r="H50" s="28">
        <f t="shared" si="7"/>
        <v>-4.0000000000000009</v>
      </c>
    </row>
    <row r="51" spans="1:15" x14ac:dyDescent="0.25">
      <c r="A51" s="9">
        <v>3</v>
      </c>
      <c r="B51" s="9">
        <v>1000000</v>
      </c>
      <c r="C51" s="53">
        <f t="shared" si="4"/>
        <v>-7.0000000000000009</v>
      </c>
      <c r="D51" s="53">
        <f t="shared" si="5"/>
        <v>-1.0000000000000007</v>
      </c>
      <c r="E51" s="27">
        <f t="shared" si="6"/>
        <v>1594</v>
      </c>
      <c r="F51" s="28">
        <f t="shared" si="8"/>
        <v>-7.0000000000000009</v>
      </c>
      <c r="G51" s="28">
        <f t="shared" si="9"/>
        <v>-1.0000000000000007</v>
      </c>
      <c r="H51" s="28">
        <f t="shared" si="7"/>
        <v>-4.0000000000000009</v>
      </c>
    </row>
    <row r="52" spans="1:15" x14ac:dyDescent="0.25">
      <c r="E52" s="56" t="s">
        <v>145</v>
      </c>
      <c r="F52" s="55">
        <f>AVERAGE(F44:F51)</f>
        <v>-25.537500000000009</v>
      </c>
      <c r="G52" s="55">
        <f>AVERAGE(G44:G51)</f>
        <v>3.6624999999999996</v>
      </c>
      <c r="H52" s="55">
        <f>AVERAGE(H44:H51)</f>
        <v>-10.9375</v>
      </c>
    </row>
    <row r="53" spans="1:15" x14ac:dyDescent="0.25">
      <c r="E53" s="56" t="s">
        <v>146</v>
      </c>
      <c r="F53" s="55">
        <f>STDEV(F44:F51)</f>
        <v>15.152740204804068</v>
      </c>
      <c r="G53" s="55">
        <f>STDEV(G44:G51)</f>
        <v>5.3350425088680007</v>
      </c>
      <c r="H53" s="55">
        <f>STDEV(H44:H51)</f>
        <v>7.5755127124929915</v>
      </c>
    </row>
    <row r="56" spans="1:15" x14ac:dyDescent="0.25">
      <c r="E56" t="s">
        <v>2465</v>
      </c>
    </row>
    <row r="57" spans="1:15" x14ac:dyDescent="0.25">
      <c r="E57" t="s">
        <v>2468</v>
      </c>
    </row>
    <row r="58" spans="1:15" x14ac:dyDescent="0.25">
      <c r="E58" t="s">
        <v>2463</v>
      </c>
    </row>
    <row r="59" spans="1:15" x14ac:dyDescent="0.25">
      <c r="E59" t="s">
        <v>2464</v>
      </c>
    </row>
    <row r="61" spans="1:15" ht="13" x14ac:dyDescent="0.3">
      <c r="A61" s="269" t="s">
        <v>94</v>
      </c>
      <c r="B61" s="206"/>
      <c r="C61" t="s">
        <v>2371</v>
      </c>
    </row>
    <row r="62" spans="1:15" ht="13" x14ac:dyDescent="0.3">
      <c r="A62" s="14" t="s">
        <v>94</v>
      </c>
      <c r="B62" s="26"/>
      <c r="G62" s="292" t="s">
        <v>2453</v>
      </c>
      <c r="H62" s="292"/>
      <c r="K62" s="292" t="s">
        <v>2454</v>
      </c>
      <c r="L62" s="292"/>
    </row>
    <row r="63" spans="1:15" x14ac:dyDescent="0.25">
      <c r="A63" s="9" t="s">
        <v>135</v>
      </c>
      <c r="B63" s="9" t="s">
        <v>38</v>
      </c>
      <c r="C63" s="9" t="s">
        <v>71</v>
      </c>
      <c r="D63" s="9" t="s">
        <v>57</v>
      </c>
      <c r="E63" s="9" t="s">
        <v>58</v>
      </c>
      <c r="F63" s="9" t="s">
        <v>38</v>
      </c>
      <c r="G63" s="9" t="s">
        <v>55</v>
      </c>
      <c r="H63" s="9" t="s">
        <v>56</v>
      </c>
      <c r="I63" s="9"/>
      <c r="J63" s="9" t="s">
        <v>38</v>
      </c>
      <c r="K63" s="9" t="s">
        <v>45</v>
      </c>
      <c r="L63" s="9" t="s">
        <v>46</v>
      </c>
    </row>
    <row r="64" spans="1:15" x14ac:dyDescent="0.25">
      <c r="A64" s="219" t="s">
        <v>2455</v>
      </c>
      <c r="B64" s="118" t="s">
        <v>49</v>
      </c>
      <c r="C64" s="118">
        <v>1594</v>
      </c>
      <c r="D64" s="136" t="s">
        <v>2351</v>
      </c>
      <c r="E64" s="118">
        <v>3.6999999999999998E-2</v>
      </c>
      <c r="F64" s="293">
        <v>6</v>
      </c>
      <c r="G64" s="120">
        <v>-2.0000000000000002E-5</v>
      </c>
      <c r="H64" s="122">
        <v>0.99792559999999997</v>
      </c>
      <c r="I64" s="122" t="s">
        <v>2359</v>
      </c>
      <c r="J64" s="118" t="s">
        <v>40</v>
      </c>
      <c r="K64" s="166">
        <f>0.000082-0.0001</f>
        <v>-1.8000000000000004E-5</v>
      </c>
      <c r="L64" s="122">
        <f>1.0019186</f>
        <v>1.0019186</v>
      </c>
      <c r="M64" s="206" t="s">
        <v>2360</v>
      </c>
      <c r="O64" s="6"/>
    </row>
    <row r="65" spans="1:14" x14ac:dyDescent="0.25">
      <c r="A65" s="219" t="s">
        <v>2456</v>
      </c>
      <c r="B65" s="118" t="s">
        <v>49</v>
      </c>
      <c r="C65" s="118">
        <v>1594</v>
      </c>
      <c r="D65" s="136" t="s">
        <v>2352</v>
      </c>
      <c r="E65" s="118">
        <v>3.3000000000000002E-2</v>
      </c>
      <c r="F65" s="294"/>
      <c r="G65" s="120">
        <f>0.000077-0.0001</f>
        <v>-2.3000000000000003E-5</v>
      </c>
      <c r="H65" s="122">
        <f>0.9901091+0.01-0.00001</f>
        <v>1.0000990999999999</v>
      </c>
      <c r="I65" s="122" t="s">
        <v>2361</v>
      </c>
      <c r="J65" s="118" t="s">
        <v>40</v>
      </c>
      <c r="K65" s="120">
        <f>0.000086-0.0001</f>
        <v>-1.4000000000000001E-5</v>
      </c>
      <c r="L65" s="122">
        <v>0.99973040000000002</v>
      </c>
      <c r="M65" s="206" t="s">
        <v>2367</v>
      </c>
    </row>
    <row r="66" spans="1:14" x14ac:dyDescent="0.25">
      <c r="A66" s="219" t="s">
        <v>2457</v>
      </c>
      <c r="B66" s="118" t="s">
        <v>50</v>
      </c>
      <c r="C66" s="118">
        <v>1594</v>
      </c>
      <c r="D66" s="136" t="s">
        <v>2353</v>
      </c>
      <c r="E66" s="118">
        <v>0.21099999999999999</v>
      </c>
      <c r="F66" s="293">
        <v>5</v>
      </c>
      <c r="G66" s="120">
        <f>0.000062-0.0001</f>
        <v>-3.8000000000000002E-5</v>
      </c>
      <c r="H66" s="122">
        <f>0.9903109+0.01</f>
        <v>1.0003108999999999</v>
      </c>
      <c r="I66" s="122" t="s">
        <v>2362</v>
      </c>
      <c r="J66" s="118" t="s">
        <v>41</v>
      </c>
      <c r="K66" s="120">
        <v>3.9999999999999998E-6</v>
      </c>
      <c r="L66" s="122">
        <f>0.999549+0.000001</f>
        <v>0.99955000000000005</v>
      </c>
      <c r="M66" s="206" t="s">
        <v>2368</v>
      </c>
    </row>
    <row r="67" spans="1:14" x14ac:dyDescent="0.25">
      <c r="A67" s="219" t="s">
        <v>2458</v>
      </c>
      <c r="B67" s="118" t="s">
        <v>50</v>
      </c>
      <c r="C67" s="118">
        <v>1594</v>
      </c>
      <c r="D67" s="136" t="s">
        <v>2354</v>
      </c>
      <c r="E67" s="118">
        <v>0.19900000000000001</v>
      </c>
      <c r="F67" s="294"/>
      <c r="G67" s="120">
        <f>0.000061-0.0001</f>
        <v>-3.9000000000000006E-5</v>
      </c>
      <c r="H67" s="122">
        <v>0.99910540000000003</v>
      </c>
      <c r="I67" s="122" t="s">
        <v>2363</v>
      </c>
      <c r="J67" s="118" t="s">
        <v>41</v>
      </c>
      <c r="K67" s="120">
        <v>3.9999999999999998E-6</v>
      </c>
      <c r="L67" s="122">
        <f>0.9907544+0.01</f>
        <v>1.0007543999999999</v>
      </c>
      <c r="M67" s="206" t="s">
        <v>2367</v>
      </c>
    </row>
    <row r="68" spans="1:14" x14ac:dyDescent="0.25">
      <c r="A68" s="219" t="s">
        <v>2459</v>
      </c>
      <c r="B68" s="118" t="s">
        <v>51</v>
      </c>
      <c r="C68" s="118">
        <v>1594</v>
      </c>
      <c r="D68" s="118" t="s">
        <v>2355</v>
      </c>
      <c r="E68" s="118">
        <v>1.4750000000000001</v>
      </c>
      <c r="F68" s="293">
        <v>4</v>
      </c>
      <c r="G68" s="120">
        <f>0.000082-0.0001</f>
        <v>-1.8000000000000004E-5</v>
      </c>
      <c r="H68" s="122">
        <v>1.0013607</v>
      </c>
      <c r="I68" s="122" t="s">
        <v>2364</v>
      </c>
      <c r="J68" s="118" t="s">
        <v>42</v>
      </c>
      <c r="K68" s="166">
        <v>1.0000000000000001E-5</v>
      </c>
      <c r="L68" s="122">
        <f>0.9986149</f>
        <v>0.99861489999999997</v>
      </c>
      <c r="M68" s="206" t="s">
        <v>2369</v>
      </c>
    </row>
    <row r="69" spans="1:14" x14ac:dyDescent="0.25">
      <c r="A69" s="219" t="s">
        <v>2460</v>
      </c>
      <c r="B69" s="118" t="s">
        <v>51</v>
      </c>
      <c r="C69" s="118">
        <v>1594</v>
      </c>
      <c r="D69" s="118" t="s">
        <v>2356</v>
      </c>
      <c r="E69" s="118">
        <v>1.7230000000000001</v>
      </c>
      <c r="F69" s="294"/>
      <c r="G69" s="120">
        <f>0.000083-0.0001</f>
        <v>-1.7000000000000007E-5</v>
      </c>
      <c r="H69" s="122">
        <f>0.9022951+0.1</f>
        <v>1.0022951</v>
      </c>
      <c r="I69" s="122" t="s">
        <v>2359</v>
      </c>
      <c r="J69" s="118" t="s">
        <v>42</v>
      </c>
      <c r="K69" s="120">
        <v>1.0000000000000001E-5</v>
      </c>
      <c r="L69" s="122">
        <f>0.997696+0.000001</f>
        <v>0.99769700000000006</v>
      </c>
      <c r="M69" s="206" t="s">
        <v>2359</v>
      </c>
    </row>
    <row r="70" spans="1:14" x14ac:dyDescent="0.25">
      <c r="A70" s="219" t="s">
        <v>2461</v>
      </c>
      <c r="B70" s="118" t="s">
        <v>52</v>
      </c>
      <c r="C70" s="118">
        <v>1594</v>
      </c>
      <c r="D70" s="118" t="s">
        <v>2357</v>
      </c>
      <c r="E70" s="118">
        <v>19.238</v>
      </c>
      <c r="F70" s="293">
        <v>3</v>
      </c>
      <c r="G70" s="120">
        <f>0.000004-0.00001</f>
        <v>-6.000000000000001E-6</v>
      </c>
      <c r="H70" s="122">
        <f>0.996579-0.0000001</f>
        <v>0.99657890000000005</v>
      </c>
      <c r="I70" s="122" t="s">
        <v>2365</v>
      </c>
      <c r="J70" s="118" t="s">
        <v>43</v>
      </c>
      <c r="K70" s="120">
        <f>0.000008-0.00001</f>
        <v>-2.0000000000000012E-6</v>
      </c>
      <c r="L70" s="122">
        <f>0.9034206+0.1</f>
        <v>1.0034206000000001</v>
      </c>
      <c r="M70" s="206" t="s">
        <v>2370</v>
      </c>
    </row>
    <row r="71" spans="1:14" x14ac:dyDescent="0.25">
      <c r="A71" s="219" t="s">
        <v>2462</v>
      </c>
      <c r="B71" s="118" t="s">
        <v>52</v>
      </c>
      <c r="C71" s="118">
        <v>1594</v>
      </c>
      <c r="D71" s="118" t="s">
        <v>2358</v>
      </c>
      <c r="E71" s="118">
        <v>18.122</v>
      </c>
      <c r="F71" s="294"/>
      <c r="G71" s="120">
        <f>0.000003-0.00001</f>
        <v>-7.0000000000000007E-6</v>
      </c>
      <c r="H71" s="122">
        <v>0.99693390000000004</v>
      </c>
      <c r="I71" s="122" t="s">
        <v>2366</v>
      </c>
      <c r="J71" s="118" t="s">
        <v>43</v>
      </c>
      <c r="K71" s="120">
        <f>0.000009-0.00001</f>
        <v>-1.0000000000000006E-6</v>
      </c>
      <c r="L71" s="122">
        <f>0.9030646+0.1</f>
        <v>1.0030646000000001</v>
      </c>
      <c r="M71" s="206" t="s">
        <v>2359</v>
      </c>
    </row>
    <row r="72" spans="1:14" x14ac:dyDescent="0.25">
      <c r="A72" s="276"/>
      <c r="B72" s="263"/>
      <c r="C72" s="263"/>
      <c r="D72" s="263"/>
      <c r="E72" s="263"/>
      <c r="F72" s="263"/>
      <c r="G72" s="263"/>
      <c r="H72" s="263"/>
      <c r="I72" s="263"/>
      <c r="J72" s="263"/>
      <c r="K72" s="263"/>
      <c r="L72" s="263"/>
      <c r="M72" s="206"/>
      <c r="N72" s="6"/>
    </row>
    <row r="75" spans="1:14" x14ac:dyDescent="0.25">
      <c r="A75" s="9"/>
      <c r="B75" s="9"/>
      <c r="C75" s="9" t="s">
        <v>97</v>
      </c>
      <c r="D75" s="9"/>
      <c r="E75" s="27"/>
      <c r="F75" s="27" t="s">
        <v>98</v>
      </c>
      <c r="G75" s="27"/>
      <c r="H75" s="27" t="s">
        <v>99</v>
      </c>
    </row>
    <row r="76" spans="1:14" x14ac:dyDescent="0.25">
      <c r="A76" s="9" t="s">
        <v>38</v>
      </c>
      <c r="B76" s="9" t="s">
        <v>59</v>
      </c>
      <c r="C76" s="9" t="s">
        <v>60</v>
      </c>
      <c r="D76" s="9" t="s">
        <v>61</v>
      </c>
      <c r="E76" s="27" t="s">
        <v>71</v>
      </c>
      <c r="F76" s="27" t="s">
        <v>60</v>
      </c>
      <c r="G76" s="27" t="s">
        <v>61</v>
      </c>
      <c r="H76" s="27" t="s">
        <v>100</v>
      </c>
    </row>
    <row r="77" spans="1:14" x14ac:dyDescent="0.25">
      <c r="A77" s="290">
        <v>6</v>
      </c>
      <c r="B77" s="9">
        <v>1000</v>
      </c>
      <c r="C77" s="37">
        <f t="shared" ref="C77:C84" si="10">B77*G64-E64</f>
        <v>-5.6999999999999995E-2</v>
      </c>
      <c r="D77" s="51">
        <f t="shared" ref="D77:D84" si="11">B77*K64+E64</f>
        <v>1.8999999999999996E-2</v>
      </c>
      <c r="E77" s="27">
        <f>C64</f>
        <v>1594</v>
      </c>
      <c r="F77" s="28">
        <f>1000000*C77/B77</f>
        <v>-56.999999999999993</v>
      </c>
      <c r="G77" s="28">
        <f>1000000*D77/B77</f>
        <v>18.999999999999996</v>
      </c>
      <c r="H77" s="28">
        <f t="shared" ref="H77:H84" si="12">(F77+G77)/2</f>
        <v>-19</v>
      </c>
      <c r="M77" s="6"/>
      <c r="N77" s="6"/>
    </row>
    <row r="78" spans="1:14" x14ac:dyDescent="0.25">
      <c r="A78" s="291"/>
      <c r="B78" s="9">
        <v>1000</v>
      </c>
      <c r="C78" s="37">
        <f t="shared" si="10"/>
        <v>-5.6000000000000008E-2</v>
      </c>
      <c r="D78" s="51">
        <f t="shared" si="11"/>
        <v>1.9E-2</v>
      </c>
      <c r="E78" s="27">
        <f t="shared" ref="E78:E84" si="13">C65</f>
        <v>1594</v>
      </c>
      <c r="F78" s="28">
        <f t="shared" ref="F78:F84" si="14">1000000*C78/B78</f>
        <v>-56.000000000000007</v>
      </c>
      <c r="G78" s="28">
        <f t="shared" ref="G78:G84" si="15">1000000*D78/B78</f>
        <v>19</v>
      </c>
      <c r="H78" s="28">
        <f t="shared" si="12"/>
        <v>-18.500000000000004</v>
      </c>
      <c r="M78" s="6"/>
      <c r="N78" s="6"/>
    </row>
    <row r="79" spans="1:14" x14ac:dyDescent="0.25">
      <c r="A79" s="290">
        <v>5</v>
      </c>
      <c r="B79" s="9">
        <v>10000</v>
      </c>
      <c r="C79" s="51">
        <f t="shared" si="10"/>
        <v>-0.59099999999999997</v>
      </c>
      <c r="D79" s="52">
        <f t="shared" si="11"/>
        <v>0.251</v>
      </c>
      <c r="E79" s="27">
        <f t="shared" si="13"/>
        <v>1594</v>
      </c>
      <c r="F79" s="28">
        <f t="shared" si="14"/>
        <v>-59.1</v>
      </c>
      <c r="G79" s="28">
        <f t="shared" si="15"/>
        <v>25.1</v>
      </c>
      <c r="H79" s="28">
        <f t="shared" si="12"/>
        <v>-17</v>
      </c>
      <c r="M79" s="6"/>
      <c r="N79" s="6"/>
    </row>
    <row r="80" spans="1:14" x14ac:dyDescent="0.25">
      <c r="A80" s="291"/>
      <c r="B80" s="9">
        <v>10000</v>
      </c>
      <c r="C80" s="51">
        <f t="shared" si="10"/>
        <v>-0.58900000000000008</v>
      </c>
      <c r="D80" s="52">
        <f t="shared" si="11"/>
        <v>0.23900000000000002</v>
      </c>
      <c r="E80" s="27">
        <f t="shared" si="13"/>
        <v>1594</v>
      </c>
      <c r="F80" s="28">
        <f t="shared" si="14"/>
        <v>-58.900000000000013</v>
      </c>
      <c r="G80" s="28">
        <f t="shared" si="15"/>
        <v>23.900000000000002</v>
      </c>
      <c r="H80" s="28">
        <f t="shared" si="12"/>
        <v>-17.500000000000007</v>
      </c>
      <c r="M80" s="6"/>
      <c r="N80" s="6"/>
    </row>
    <row r="81" spans="1:12" x14ac:dyDescent="0.25">
      <c r="A81" s="290">
        <v>4</v>
      </c>
      <c r="B81" s="9">
        <v>100000</v>
      </c>
      <c r="C81" s="12">
        <f t="shared" si="10"/>
        <v>-3.2750000000000004</v>
      </c>
      <c r="D81" s="53">
        <f t="shared" si="11"/>
        <v>2.4750000000000001</v>
      </c>
      <c r="E81" s="27">
        <f t="shared" si="13"/>
        <v>1594</v>
      </c>
      <c r="F81" s="28">
        <f t="shared" si="14"/>
        <v>-32.750000000000007</v>
      </c>
      <c r="G81" s="28">
        <f t="shared" si="15"/>
        <v>24.75</v>
      </c>
      <c r="H81" s="28">
        <f t="shared" si="12"/>
        <v>-4.0000000000000036</v>
      </c>
    </row>
    <row r="82" spans="1:12" x14ac:dyDescent="0.25">
      <c r="A82" s="291"/>
      <c r="B82" s="9">
        <v>100000</v>
      </c>
      <c r="C82" s="12">
        <f t="shared" si="10"/>
        <v>-3.4230000000000009</v>
      </c>
      <c r="D82" s="53">
        <f t="shared" si="11"/>
        <v>2.7229999999999999</v>
      </c>
      <c r="E82" s="27">
        <f t="shared" si="13"/>
        <v>1594</v>
      </c>
      <c r="F82" s="28">
        <f t="shared" si="14"/>
        <v>-34.230000000000011</v>
      </c>
      <c r="G82" s="28">
        <f t="shared" si="15"/>
        <v>27.23</v>
      </c>
      <c r="H82" s="28">
        <f t="shared" si="12"/>
        <v>-3.5000000000000053</v>
      </c>
    </row>
    <row r="83" spans="1:12" x14ac:dyDescent="0.25">
      <c r="A83" s="290">
        <v>3</v>
      </c>
      <c r="B83" s="9">
        <v>1000000</v>
      </c>
      <c r="C83" s="53">
        <f t="shared" si="10"/>
        <v>-25.238</v>
      </c>
      <c r="D83" s="53">
        <f t="shared" si="11"/>
        <v>17.238</v>
      </c>
      <c r="E83" s="27">
        <f t="shared" si="13"/>
        <v>1594</v>
      </c>
      <c r="F83" s="28">
        <f t="shared" si="14"/>
        <v>-25.238</v>
      </c>
      <c r="G83" s="28">
        <f t="shared" si="15"/>
        <v>17.238</v>
      </c>
      <c r="H83" s="28">
        <f t="shared" si="12"/>
        <v>-4</v>
      </c>
    </row>
    <row r="84" spans="1:12" x14ac:dyDescent="0.25">
      <c r="A84" s="291"/>
      <c r="B84" s="9">
        <v>1000000</v>
      </c>
      <c r="C84" s="53">
        <f t="shared" si="10"/>
        <v>-25.122</v>
      </c>
      <c r="D84" s="53">
        <f t="shared" si="11"/>
        <v>17.122</v>
      </c>
      <c r="E84" s="27">
        <f t="shared" si="13"/>
        <v>1594</v>
      </c>
      <c r="F84" s="28">
        <f t="shared" si="14"/>
        <v>-25.122</v>
      </c>
      <c r="G84" s="28">
        <f t="shared" si="15"/>
        <v>17.122</v>
      </c>
      <c r="H84" s="28">
        <f t="shared" si="12"/>
        <v>-4</v>
      </c>
    </row>
    <row r="85" spans="1:12" x14ac:dyDescent="0.25">
      <c r="E85" s="56" t="s">
        <v>145</v>
      </c>
      <c r="F85" s="55">
        <f>AVERAGE(F77:F84)</f>
        <v>-43.542500000000004</v>
      </c>
      <c r="G85" s="55">
        <f>AVERAGE(G77:G84)</f>
        <v>21.667499999999997</v>
      </c>
      <c r="H85" s="55">
        <f>AVERAGE(H77:H84)</f>
        <v>-10.9375</v>
      </c>
    </row>
    <row r="86" spans="1:12" x14ac:dyDescent="0.25">
      <c r="E86" s="56" t="s">
        <v>146</v>
      </c>
      <c r="F86" s="55">
        <f>STDEV(F77:F84)</f>
        <v>15.546026033317034</v>
      </c>
      <c r="G86" s="55">
        <f>STDEV(G77:G84)</f>
        <v>3.9950411762583982</v>
      </c>
      <c r="H86" s="55">
        <f>STDEV(H77:H84)</f>
        <v>7.5755127124929915</v>
      </c>
    </row>
    <row r="88" spans="1:12" x14ac:dyDescent="0.25">
      <c r="E88" t="s">
        <v>2466</v>
      </c>
    </row>
    <row r="89" spans="1:12" x14ac:dyDescent="0.25">
      <c r="E89" t="s">
        <v>2467</v>
      </c>
    </row>
    <row r="90" spans="1:12" x14ac:dyDescent="0.25">
      <c r="E90" t="s">
        <v>2469</v>
      </c>
    </row>
    <row r="91" spans="1:12" x14ac:dyDescent="0.25">
      <c r="E91" t="s">
        <v>2470</v>
      </c>
    </row>
    <row r="94" spans="1:12" ht="13" x14ac:dyDescent="0.3">
      <c r="A94" s="269" t="s">
        <v>94</v>
      </c>
      <c r="B94" s="206"/>
      <c r="H94" t="s">
        <v>2372</v>
      </c>
    </row>
    <row r="95" spans="1:12" ht="13" x14ac:dyDescent="0.3">
      <c r="A95" s="14" t="s">
        <v>94</v>
      </c>
      <c r="B95" s="26"/>
      <c r="G95" s="292" t="s">
        <v>2453</v>
      </c>
      <c r="H95" s="292"/>
      <c r="K95" s="292" t="s">
        <v>2454</v>
      </c>
      <c r="L95" s="292"/>
    </row>
    <row r="96" spans="1:12" x14ac:dyDescent="0.25">
      <c r="A96" s="9" t="s">
        <v>135</v>
      </c>
      <c r="B96" s="9" t="s">
        <v>38</v>
      </c>
      <c r="C96" s="9" t="s">
        <v>71</v>
      </c>
      <c r="D96" s="9" t="s">
        <v>57</v>
      </c>
      <c r="E96" s="9" t="s">
        <v>58</v>
      </c>
      <c r="F96" s="9" t="s">
        <v>38</v>
      </c>
      <c r="G96" s="9" t="s">
        <v>55</v>
      </c>
      <c r="H96" s="9" t="s">
        <v>56</v>
      </c>
      <c r="I96" s="9"/>
      <c r="J96" s="9" t="s">
        <v>38</v>
      </c>
      <c r="K96" s="9" t="s">
        <v>45</v>
      </c>
      <c r="L96" s="9" t="s">
        <v>46</v>
      </c>
    </row>
    <row r="97" spans="1:15" x14ac:dyDescent="0.25">
      <c r="A97" s="219" t="s">
        <v>2479</v>
      </c>
      <c r="B97" s="118" t="s">
        <v>49</v>
      </c>
      <c r="C97" s="118">
        <v>1594</v>
      </c>
      <c r="D97" s="136" t="s">
        <v>2351</v>
      </c>
      <c r="E97" s="118">
        <v>1.6299999999999999E-2</v>
      </c>
      <c r="F97" s="293">
        <v>6</v>
      </c>
      <c r="G97" s="120">
        <v>2.0999999999999999E-5</v>
      </c>
      <c r="H97" s="122">
        <v>0.99803090000000005</v>
      </c>
      <c r="I97" s="122" t="s">
        <v>2471</v>
      </c>
      <c r="J97" s="118" t="s">
        <v>40</v>
      </c>
      <c r="K97" s="166">
        <f>0.000066-0.0001</f>
        <v>-3.4E-5</v>
      </c>
      <c r="L97" s="122">
        <f>1.0019619</f>
        <v>1.0019619</v>
      </c>
      <c r="M97" s="206" t="s">
        <v>2472</v>
      </c>
      <c r="O97" s="6"/>
    </row>
    <row r="98" spans="1:15" x14ac:dyDescent="0.25">
      <c r="A98" s="219" t="s">
        <v>2480</v>
      </c>
      <c r="B98" s="118" t="s">
        <v>49</v>
      </c>
      <c r="C98" s="118">
        <v>1594</v>
      </c>
      <c r="D98" s="136" t="s">
        <v>2352</v>
      </c>
      <c r="E98" s="118">
        <v>1.4E-2</v>
      </c>
      <c r="F98" s="294"/>
      <c r="G98" s="120">
        <v>2.0999999999999999E-5</v>
      </c>
      <c r="H98" s="122">
        <f>0.9902189+0.01</f>
        <v>1.0002188999999999</v>
      </c>
      <c r="I98" s="122" t="s">
        <v>2473</v>
      </c>
      <c r="J98" s="118" t="s">
        <v>40</v>
      </c>
      <c r="K98" s="120">
        <f>0.00007-0.000101</f>
        <v>-3.1000000000000008E-5</v>
      </c>
      <c r="L98" s="122">
        <v>0.99976589999999999</v>
      </c>
      <c r="M98" s="206" t="s">
        <v>2474</v>
      </c>
    </row>
    <row r="99" spans="1:15" x14ac:dyDescent="0.25">
      <c r="A99" s="219" t="s">
        <v>2481</v>
      </c>
      <c r="B99" s="118" t="s">
        <v>50</v>
      </c>
      <c r="C99" s="118">
        <v>1594</v>
      </c>
      <c r="D99" s="136" t="s">
        <v>2353</v>
      </c>
      <c r="E99" s="118">
        <v>3.1E-2</v>
      </c>
      <c r="F99" s="293">
        <v>5</v>
      </c>
      <c r="G99" s="120">
        <f>0.000089-0.0001</f>
        <v>-1.100000000000001E-5</v>
      </c>
      <c r="H99" s="122">
        <f>0.9904084+0.01</f>
        <v>1.0004084</v>
      </c>
      <c r="I99" s="122" t="s">
        <v>2475</v>
      </c>
      <c r="J99" s="118" t="s">
        <v>41</v>
      </c>
      <c r="K99" s="120">
        <v>3.0000000000000001E-6</v>
      </c>
      <c r="L99" s="122">
        <f>0.9995669</f>
        <v>0.99956690000000004</v>
      </c>
      <c r="M99" s="206" t="s">
        <v>2476</v>
      </c>
    </row>
    <row r="100" spans="1:15" x14ac:dyDescent="0.25">
      <c r="A100" s="219" t="s">
        <v>2482</v>
      </c>
      <c r="B100" s="118" t="s">
        <v>50</v>
      </c>
      <c r="C100" s="118">
        <v>1594</v>
      </c>
      <c r="D100" s="136" t="s">
        <v>2354</v>
      </c>
      <c r="E100" s="118">
        <v>2.8000000000000001E-2</v>
      </c>
      <c r="F100" s="294"/>
      <c r="G100" s="120">
        <f>0.000089-0.0001</f>
        <v>-1.100000000000001E-5</v>
      </c>
      <c r="H100" s="122">
        <v>0.99922250000000001</v>
      </c>
      <c r="I100" s="122" t="s">
        <v>2477</v>
      </c>
      <c r="J100" s="118" t="s">
        <v>41</v>
      </c>
      <c r="K100" s="120">
        <v>3.0000000000000001E-6</v>
      </c>
      <c r="L100" s="122">
        <f>0.9907683+0.01</f>
        <v>1.0007683000000001</v>
      </c>
      <c r="M100" s="206" t="s">
        <v>2478</v>
      </c>
    </row>
    <row r="101" spans="1:15" x14ac:dyDescent="0.25">
      <c r="A101" s="219" t="s">
        <v>2490</v>
      </c>
      <c r="B101" s="118" t="s">
        <v>51</v>
      </c>
      <c r="C101" s="118">
        <v>1594</v>
      </c>
      <c r="D101" s="118" t="s">
        <v>2355</v>
      </c>
      <c r="E101" s="118">
        <v>0</v>
      </c>
      <c r="F101" s="293">
        <v>4</v>
      </c>
      <c r="G101" s="120">
        <f>0.000082-0.0001</f>
        <v>-1.8000000000000004E-5</v>
      </c>
      <c r="H101" s="122">
        <v>1.0013645</v>
      </c>
      <c r="I101" s="122" t="s">
        <v>2483</v>
      </c>
      <c r="J101" s="118" t="s">
        <v>42</v>
      </c>
      <c r="K101" s="166">
        <v>1.0000000000000001E-5</v>
      </c>
      <c r="L101" s="122">
        <f>0.9986151</f>
        <v>0.99861509999999998</v>
      </c>
      <c r="M101" s="206" t="s">
        <v>2484</v>
      </c>
    </row>
    <row r="102" spans="1:15" x14ac:dyDescent="0.25">
      <c r="A102" s="219" t="s">
        <v>2491</v>
      </c>
      <c r="B102" s="118" t="s">
        <v>51</v>
      </c>
      <c r="C102" s="118">
        <v>1594</v>
      </c>
      <c r="D102" s="118" t="s">
        <v>2356</v>
      </c>
      <c r="E102" s="118">
        <v>0.01</v>
      </c>
      <c r="F102" s="294"/>
      <c r="G102" s="120">
        <f>0.000009</f>
        <v>9.0000000000000002E-6</v>
      </c>
      <c r="H102" s="122">
        <f>0.9977177</f>
        <v>0.99771770000000004</v>
      </c>
      <c r="I102" s="122" t="s">
        <v>2485</v>
      </c>
      <c r="J102" s="118" t="s">
        <v>42</v>
      </c>
      <c r="K102" s="120">
        <f>0.000089-0.0001</f>
        <v>-1.100000000000001E-5</v>
      </c>
      <c r="L102" s="122">
        <f>0.9022846+0.1</f>
        <v>1.0022846000000001</v>
      </c>
      <c r="M102" s="206" t="s">
        <v>2486</v>
      </c>
    </row>
    <row r="103" spans="1:15" x14ac:dyDescent="0.25">
      <c r="A103" s="219" t="s">
        <v>1794</v>
      </c>
      <c r="B103" s="118" t="s">
        <v>52</v>
      </c>
      <c r="C103" s="118">
        <v>1594</v>
      </c>
      <c r="D103" s="118" t="s">
        <v>2357</v>
      </c>
      <c r="E103" s="118">
        <v>0</v>
      </c>
      <c r="F103" s="293">
        <v>3</v>
      </c>
      <c r="G103" s="120">
        <f>0.000005-0.00001</f>
        <v>-5.0000000000000004E-6</v>
      </c>
      <c r="H103" s="122">
        <f>0.9965665</f>
        <v>0.99656650000000002</v>
      </c>
      <c r="I103" s="122" t="s">
        <v>2486</v>
      </c>
      <c r="J103" s="118" t="s">
        <v>43</v>
      </c>
      <c r="K103" s="120">
        <f>0.000008-0.00001</f>
        <v>-2.0000000000000012E-6</v>
      </c>
      <c r="L103" s="122">
        <f>0.9034253+0.1</f>
        <v>1.0034253</v>
      </c>
      <c r="M103" s="206" t="s">
        <v>2487</v>
      </c>
    </row>
    <row r="104" spans="1:15" x14ac:dyDescent="0.25">
      <c r="A104" s="219" t="s">
        <v>1795</v>
      </c>
      <c r="B104" s="118" t="s">
        <v>52</v>
      </c>
      <c r="C104" s="118">
        <v>1594</v>
      </c>
      <c r="D104" s="118" t="s">
        <v>2358</v>
      </c>
      <c r="E104" s="118">
        <v>0</v>
      </c>
      <c r="F104" s="294"/>
      <c r="G104" s="120">
        <f>0.000003-0.00001</f>
        <v>-7.0000000000000007E-6</v>
      </c>
      <c r="H104" s="122">
        <v>0.99693050000000005</v>
      </c>
      <c r="I104" s="122" t="s">
        <v>2488</v>
      </c>
      <c r="J104" s="118" t="s">
        <v>43</v>
      </c>
      <c r="K104" s="120">
        <f>0.000009-0.00001</f>
        <v>-1.0000000000000006E-6</v>
      </c>
      <c r="L104" s="122">
        <f>0.903067+0.1</f>
        <v>1.0030669999999999</v>
      </c>
      <c r="M104" s="206" t="s">
        <v>2489</v>
      </c>
    </row>
    <row r="105" spans="1:15" x14ac:dyDescent="0.25">
      <c r="A105" s="276"/>
      <c r="B105" s="263"/>
      <c r="C105" s="263"/>
      <c r="D105" s="263"/>
      <c r="E105" s="263"/>
      <c r="F105" s="263"/>
      <c r="G105" s="263"/>
      <c r="H105" s="263"/>
      <c r="I105" s="263"/>
      <c r="J105" s="263"/>
      <c r="K105" s="263"/>
      <c r="L105" s="263"/>
      <c r="M105" s="206"/>
      <c r="N105" s="6"/>
    </row>
    <row r="108" spans="1:15" x14ac:dyDescent="0.25">
      <c r="A108" s="9"/>
      <c r="B108" s="9"/>
      <c r="C108" s="9" t="s">
        <v>97</v>
      </c>
      <c r="D108" s="9"/>
      <c r="E108" s="27"/>
      <c r="F108" s="27" t="s">
        <v>98</v>
      </c>
      <c r="G108" s="27"/>
      <c r="H108" s="27" t="s">
        <v>99</v>
      </c>
    </row>
    <row r="109" spans="1:15" x14ac:dyDescent="0.25">
      <c r="A109" s="9" t="s">
        <v>38</v>
      </c>
      <c r="B109" s="9" t="s">
        <v>59</v>
      </c>
      <c r="C109" s="9" t="s">
        <v>60</v>
      </c>
      <c r="D109" s="9" t="s">
        <v>61</v>
      </c>
      <c r="E109" s="27" t="s">
        <v>71</v>
      </c>
      <c r="F109" s="27" t="s">
        <v>60</v>
      </c>
      <c r="G109" s="27" t="s">
        <v>61</v>
      </c>
      <c r="H109" s="27" t="s">
        <v>100</v>
      </c>
    </row>
    <row r="110" spans="1:15" x14ac:dyDescent="0.25">
      <c r="A110" s="290">
        <v>6</v>
      </c>
      <c r="B110" s="9">
        <v>1000</v>
      </c>
      <c r="C110" s="37">
        <f t="shared" ref="C110:C117" si="16">B110*G97-E97</f>
        <v>4.6999999999999993E-3</v>
      </c>
      <c r="D110" s="51">
        <f t="shared" ref="D110:D117" si="17">B110*K97+E97</f>
        <v>-1.7700000000000004E-2</v>
      </c>
      <c r="E110" s="27">
        <f>C97</f>
        <v>1594</v>
      </c>
      <c r="F110" s="28">
        <f>1000000*C110/B110</f>
        <v>4.6999999999999993</v>
      </c>
      <c r="G110" s="28">
        <f>1000000*D110/B110</f>
        <v>-17.700000000000003</v>
      </c>
      <c r="H110" s="28">
        <f t="shared" ref="H110:H117" si="18">(F110+G110)/2</f>
        <v>-6.5000000000000018</v>
      </c>
      <c r="M110" s="6"/>
      <c r="N110" s="6"/>
    </row>
    <row r="111" spans="1:15" x14ac:dyDescent="0.25">
      <c r="A111" s="291"/>
      <c r="B111" s="9">
        <v>1000</v>
      </c>
      <c r="C111" s="37">
        <f t="shared" si="16"/>
        <v>6.9999999999999975E-3</v>
      </c>
      <c r="D111" s="51">
        <f t="shared" si="17"/>
        <v>-1.7000000000000008E-2</v>
      </c>
      <c r="E111" s="27">
        <f t="shared" ref="E111:E117" si="19">C98</f>
        <v>1594</v>
      </c>
      <c r="F111" s="28">
        <f t="shared" ref="F111:F117" si="20">1000000*C111/B111</f>
        <v>6.9999999999999973</v>
      </c>
      <c r="G111" s="28">
        <f t="shared" ref="G111:G117" si="21">1000000*D111/B111</f>
        <v>-17.000000000000007</v>
      </c>
      <c r="H111" s="28">
        <f t="shared" si="18"/>
        <v>-5.0000000000000053</v>
      </c>
      <c r="M111" s="6"/>
      <c r="N111" s="6"/>
    </row>
    <row r="112" spans="1:15" x14ac:dyDescent="0.25">
      <c r="A112" s="290">
        <v>5</v>
      </c>
      <c r="B112" s="9">
        <v>10000</v>
      </c>
      <c r="C112" s="51">
        <f t="shared" si="16"/>
        <v>-0.1410000000000001</v>
      </c>
      <c r="D112" s="52">
        <f t="shared" si="17"/>
        <v>6.0999999999999999E-2</v>
      </c>
      <c r="E112" s="27">
        <f t="shared" si="19"/>
        <v>1594</v>
      </c>
      <c r="F112" s="28">
        <f t="shared" si="20"/>
        <v>-14.100000000000009</v>
      </c>
      <c r="G112" s="28">
        <f t="shared" si="21"/>
        <v>6.1</v>
      </c>
      <c r="H112" s="28">
        <f t="shared" si="18"/>
        <v>-4.0000000000000044</v>
      </c>
      <c r="M112" s="6"/>
      <c r="N112" s="6"/>
    </row>
    <row r="113" spans="1:14" x14ac:dyDescent="0.25">
      <c r="A113" s="291"/>
      <c r="B113" s="9">
        <v>10000</v>
      </c>
      <c r="C113" s="51">
        <f t="shared" si="16"/>
        <v>-0.13800000000000009</v>
      </c>
      <c r="D113" s="52">
        <f t="shared" si="17"/>
        <v>5.8000000000000003E-2</v>
      </c>
      <c r="E113" s="27">
        <f t="shared" si="19"/>
        <v>1594</v>
      </c>
      <c r="F113" s="28">
        <f t="shared" si="20"/>
        <v>-13.80000000000001</v>
      </c>
      <c r="G113" s="28">
        <f t="shared" si="21"/>
        <v>5.8</v>
      </c>
      <c r="H113" s="28">
        <f t="shared" si="18"/>
        <v>-4.0000000000000053</v>
      </c>
      <c r="M113" s="6"/>
      <c r="N113" s="6"/>
    </row>
    <row r="114" spans="1:14" x14ac:dyDescent="0.25">
      <c r="A114" s="290">
        <v>4</v>
      </c>
      <c r="B114" s="9">
        <v>100000</v>
      </c>
      <c r="C114" s="12">
        <f t="shared" si="16"/>
        <v>-1.8000000000000005</v>
      </c>
      <c r="D114" s="53">
        <f t="shared" si="17"/>
        <v>1</v>
      </c>
      <c r="E114" s="27">
        <f t="shared" si="19"/>
        <v>1594</v>
      </c>
      <c r="F114" s="28">
        <f t="shared" si="20"/>
        <v>-18.000000000000004</v>
      </c>
      <c r="G114" s="28">
        <f t="shared" si="21"/>
        <v>10</v>
      </c>
      <c r="H114" s="28">
        <f t="shared" si="18"/>
        <v>-4.0000000000000018</v>
      </c>
    </row>
    <row r="115" spans="1:14" x14ac:dyDescent="0.25">
      <c r="A115" s="291"/>
      <c r="B115" s="9">
        <v>100000</v>
      </c>
      <c r="C115" s="12">
        <f t="shared" si="16"/>
        <v>0.89</v>
      </c>
      <c r="D115" s="53">
        <f t="shared" si="17"/>
        <v>-1.090000000000001</v>
      </c>
      <c r="E115" s="27">
        <f t="shared" si="19"/>
        <v>1594</v>
      </c>
      <c r="F115" s="28">
        <f t="shared" si="20"/>
        <v>8.9</v>
      </c>
      <c r="G115" s="28">
        <f t="shared" si="21"/>
        <v>-10.900000000000009</v>
      </c>
      <c r="H115" s="28">
        <f t="shared" si="18"/>
        <v>-1.0000000000000044</v>
      </c>
    </row>
    <row r="116" spans="1:14" x14ac:dyDescent="0.25">
      <c r="A116" s="290">
        <v>3</v>
      </c>
      <c r="B116" s="9">
        <v>1000000</v>
      </c>
      <c r="C116" s="53">
        <f t="shared" si="16"/>
        <v>-5</v>
      </c>
      <c r="D116" s="53">
        <f t="shared" si="17"/>
        <v>-2.0000000000000013</v>
      </c>
      <c r="E116" s="27">
        <f t="shared" si="19"/>
        <v>1594</v>
      </c>
      <c r="F116" s="28">
        <f t="shared" si="20"/>
        <v>-5</v>
      </c>
      <c r="G116" s="28">
        <f t="shared" si="21"/>
        <v>-2.0000000000000013</v>
      </c>
      <c r="H116" s="28">
        <f t="shared" si="18"/>
        <v>-3.5000000000000009</v>
      </c>
    </row>
    <row r="117" spans="1:14" x14ac:dyDescent="0.25">
      <c r="A117" s="291"/>
      <c r="B117" s="9">
        <v>1000000</v>
      </c>
      <c r="C117" s="53">
        <f t="shared" si="16"/>
        <v>-7.0000000000000009</v>
      </c>
      <c r="D117" s="53">
        <f t="shared" si="17"/>
        <v>-1.0000000000000007</v>
      </c>
      <c r="E117" s="27">
        <f t="shared" si="19"/>
        <v>1594</v>
      </c>
      <c r="F117" s="28">
        <f t="shared" si="20"/>
        <v>-7.0000000000000009</v>
      </c>
      <c r="G117" s="28">
        <f t="shared" si="21"/>
        <v>-1.0000000000000007</v>
      </c>
      <c r="H117" s="28">
        <f t="shared" si="18"/>
        <v>-4.0000000000000009</v>
      </c>
    </row>
    <row r="118" spans="1:14" x14ac:dyDescent="0.25">
      <c r="E118" s="56" t="s">
        <v>145</v>
      </c>
      <c r="F118" s="55">
        <f>AVERAGE(F110:F117)</f>
        <v>-4.6625000000000041</v>
      </c>
      <c r="G118" s="55">
        <f>AVERAGE(G110:G117)</f>
        <v>-3.3375000000000021</v>
      </c>
      <c r="H118" s="55">
        <f>AVERAGE(H110:H117)</f>
        <v>-4.0000000000000027</v>
      </c>
    </row>
    <row r="119" spans="1:14" x14ac:dyDescent="0.25">
      <c r="E119" s="56" t="s">
        <v>146</v>
      </c>
      <c r="F119" s="55">
        <f>STDEV(F110:F117)</f>
        <v>10.444675677109368</v>
      </c>
      <c r="G119" s="55">
        <f>STDEV(G110:G117)</f>
        <v>10.742696854807258</v>
      </c>
      <c r="H119" s="55">
        <f>STDEV(H110:H117)</f>
        <v>1.5352989471574783</v>
      </c>
    </row>
  </sheetData>
  <mergeCells count="26">
    <mergeCell ref="K26:L26"/>
    <mergeCell ref="F28:F29"/>
    <mergeCell ref="F30:F31"/>
    <mergeCell ref="F32:F33"/>
    <mergeCell ref="F34:F35"/>
    <mergeCell ref="G26:H26"/>
    <mergeCell ref="K62:L62"/>
    <mergeCell ref="G95:H95"/>
    <mergeCell ref="K95:L95"/>
    <mergeCell ref="F101:F102"/>
    <mergeCell ref="F103:F104"/>
    <mergeCell ref="F64:F65"/>
    <mergeCell ref="F66:F67"/>
    <mergeCell ref="F68:F69"/>
    <mergeCell ref="F70:F71"/>
    <mergeCell ref="F97:F98"/>
    <mergeCell ref="F99:F100"/>
    <mergeCell ref="A110:A111"/>
    <mergeCell ref="A112:A113"/>
    <mergeCell ref="A114:A115"/>
    <mergeCell ref="A116:A117"/>
    <mergeCell ref="G62:H62"/>
    <mergeCell ref="A77:A78"/>
    <mergeCell ref="A79:A80"/>
    <mergeCell ref="A81:A82"/>
    <mergeCell ref="A83:A84"/>
  </mergeCells>
  <phoneticPr fontId="12" type="noConversion"/>
  <pageMargins left="0.75" right="0.75" top="1" bottom="1" header="0.5" footer="0.5"/>
  <pageSetup paperSize="9" scale="45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Y123"/>
  <sheetViews>
    <sheetView topLeftCell="A53" zoomScaleNormal="100" workbookViewId="0">
      <selection activeCell="E59" sqref="E59:E72"/>
    </sheetView>
  </sheetViews>
  <sheetFormatPr defaultRowHeight="12.5" x14ac:dyDescent="0.25"/>
  <cols>
    <col min="1" max="1" width="17.7265625" customWidth="1"/>
    <col min="2" max="2" width="32" bestFit="1" customWidth="1"/>
    <col min="3" max="3" width="12.453125" customWidth="1"/>
    <col min="4" max="4" width="12" customWidth="1"/>
    <col min="5" max="5" width="34.453125" bestFit="1" customWidth="1"/>
    <col min="6" max="6" width="11.1796875" customWidth="1"/>
    <col min="7" max="7" width="10.7265625" customWidth="1"/>
    <col min="8" max="8" width="13.1796875" customWidth="1"/>
    <col min="9" max="9" width="12.1796875" customWidth="1"/>
    <col min="10" max="11" width="10.54296875" customWidth="1"/>
    <col min="12" max="12" width="11.7265625" customWidth="1"/>
    <col min="13" max="13" width="11.453125" bestFit="1" customWidth="1"/>
    <col min="14" max="14" width="11.26953125" customWidth="1"/>
    <col min="15" max="15" width="15.81640625" customWidth="1"/>
    <col min="16" max="16" width="11.81640625" customWidth="1"/>
    <col min="17" max="17" width="9.1796875" customWidth="1"/>
    <col min="20" max="20" width="10" bestFit="1" customWidth="1"/>
    <col min="21" max="21" width="10.453125" bestFit="1" customWidth="1"/>
    <col min="27" max="27" width="14.453125" customWidth="1"/>
  </cols>
  <sheetData>
    <row r="1" spans="1:12" ht="13" x14ac:dyDescent="0.3">
      <c r="A1" s="1" t="s">
        <v>0</v>
      </c>
      <c r="B1" s="1"/>
      <c r="C1" s="1"/>
    </row>
    <row r="2" spans="1:12" ht="13" x14ac:dyDescent="0.3">
      <c r="A2" s="14" t="s">
        <v>112</v>
      </c>
      <c r="B2" s="14"/>
      <c r="C2" s="14"/>
    </row>
    <row r="3" spans="1:12" ht="13" x14ac:dyDescent="0.3">
      <c r="A3" s="9" t="s">
        <v>1</v>
      </c>
      <c r="B3" s="131">
        <v>44977</v>
      </c>
      <c r="C3" s="116"/>
      <c r="E3" s="1" t="s">
        <v>93</v>
      </c>
    </row>
    <row r="4" spans="1:12" x14ac:dyDescent="0.25">
      <c r="A4" s="9" t="s">
        <v>3</v>
      </c>
      <c r="B4" s="137"/>
      <c r="C4" s="121"/>
      <c r="E4" s="205" t="s">
        <v>1804</v>
      </c>
    </row>
    <row r="5" spans="1:12" x14ac:dyDescent="0.25">
      <c r="A5" s="9" t="s">
        <v>4</v>
      </c>
      <c r="B5" s="226" t="s">
        <v>276</v>
      </c>
      <c r="C5" s="126"/>
      <c r="H5" s="205" t="s">
        <v>1827</v>
      </c>
    </row>
    <row r="6" spans="1:12" x14ac:dyDescent="0.25">
      <c r="A6" s="9"/>
      <c r="H6" s="205" t="s">
        <v>2492</v>
      </c>
    </row>
    <row r="7" spans="1:12" x14ac:dyDescent="0.25">
      <c r="A7" s="9" t="s">
        <v>133</v>
      </c>
      <c r="B7" s="9" t="s">
        <v>6</v>
      </c>
      <c r="C7" s="9" t="s">
        <v>7</v>
      </c>
      <c r="D7" s="9" t="s">
        <v>8</v>
      </c>
      <c r="E7" s="9" t="s">
        <v>246</v>
      </c>
      <c r="F7" s="9" t="s">
        <v>247</v>
      </c>
      <c r="G7" s="9" t="s">
        <v>255</v>
      </c>
      <c r="H7" s="9" t="s">
        <v>17</v>
      </c>
    </row>
    <row r="8" spans="1:12" x14ac:dyDescent="0.25">
      <c r="A8" s="113" t="s">
        <v>1796</v>
      </c>
      <c r="B8" s="115" t="str">
        <f xml:space="preserve"> docx!D2114</f>
        <v>SR104 StdsR SN:109006</v>
      </c>
      <c r="C8" s="115" t="s">
        <v>13</v>
      </c>
      <c r="D8" s="115"/>
      <c r="E8" s="114">
        <f>docx!B2117</f>
        <v>10000.0148145</v>
      </c>
      <c r="F8" s="271">
        <f>docx!B2118</f>
        <v>1.86717924517395E-3</v>
      </c>
      <c r="G8" s="185">
        <f>F8/E8*1000000</f>
        <v>0.18671764790453552</v>
      </c>
      <c r="H8" s="238">
        <v>21.4</v>
      </c>
      <c r="I8" t="s">
        <v>2377</v>
      </c>
      <c r="J8" t="s">
        <v>2378</v>
      </c>
      <c r="K8" s="111" t="s">
        <v>2322</v>
      </c>
    </row>
    <row r="9" spans="1:12" x14ac:dyDescent="0.25">
      <c r="A9" s="117" t="s">
        <v>1797</v>
      </c>
      <c r="B9" s="115" t="str">
        <f xml:space="preserve"> docx!D2124</f>
        <v>SR104 Temp_sensor SN109006</v>
      </c>
      <c r="C9" s="119"/>
      <c r="D9" s="119"/>
      <c r="E9" s="114">
        <f>docx!B2127</f>
        <v>9984.9603241700006</v>
      </c>
      <c r="F9" s="271">
        <f>docx!B2128</f>
        <v>2.1670077776521301E-3</v>
      </c>
      <c r="G9" s="185">
        <f t="shared" ref="G9:G17" si="0">F9/E9*1000000</f>
        <v>0.2170271796079733</v>
      </c>
      <c r="H9" s="239">
        <v>21.4</v>
      </c>
      <c r="K9" s="118"/>
    </row>
    <row r="10" spans="1:12" x14ac:dyDescent="0.25">
      <c r="A10" s="113" t="s">
        <v>2493</v>
      </c>
      <c r="B10" s="115" t="str">
        <f xml:space="preserve"> docx!D2134</f>
        <v>ESI 1k S NetworkBars</v>
      </c>
      <c r="C10" s="119" t="s">
        <v>13</v>
      </c>
      <c r="D10" s="119"/>
      <c r="E10" s="114">
        <f>docx!B2137</f>
        <v>9999.6176042900006</v>
      </c>
      <c r="F10" s="271">
        <f>docx!B2138</f>
        <v>2.5389564717559201E-3</v>
      </c>
      <c r="G10" s="185">
        <f t="shared" si="0"/>
        <v>0.25390535640749562</v>
      </c>
      <c r="H10" s="239">
        <v>21.38</v>
      </c>
      <c r="I10" t="s">
        <v>2449</v>
      </c>
    </row>
    <row r="11" spans="1:12" x14ac:dyDescent="0.25">
      <c r="A11" s="117" t="s">
        <v>2494</v>
      </c>
      <c r="B11" s="115" t="str">
        <f xml:space="preserve"> docx!D2154</f>
        <v>ESI 1k S//P NetworkBars</v>
      </c>
      <c r="C11" s="119" t="s">
        <v>13</v>
      </c>
      <c r="D11" s="119"/>
      <c r="E11" s="114">
        <f>docx!B2157</f>
        <v>999.95993125699999</v>
      </c>
      <c r="F11" s="271">
        <f>docx!B2158</f>
        <v>3.4004300893945697E-4</v>
      </c>
      <c r="G11" s="185">
        <f t="shared" si="0"/>
        <v>0.34005663458135343</v>
      </c>
      <c r="H11" s="239">
        <v>21.35</v>
      </c>
    </row>
    <row r="12" spans="1:12" x14ac:dyDescent="0.25">
      <c r="A12" s="113" t="s">
        <v>2495</v>
      </c>
      <c r="B12" s="115" t="str">
        <f xml:space="preserve"> docx!D2164</f>
        <v>ESI R10 only</v>
      </c>
      <c r="C12" s="119" t="s">
        <v>13</v>
      </c>
      <c r="D12" s="119"/>
      <c r="E12" s="114">
        <f>docx!B2167</f>
        <v>999.97203598399994</v>
      </c>
      <c r="F12" s="271">
        <f>docx!B2168</f>
        <v>2.6674448209693401E-4</v>
      </c>
      <c r="G12" s="185">
        <f t="shared" si="0"/>
        <v>0.26675194155249565</v>
      </c>
      <c r="H12" s="239">
        <v>21.59</v>
      </c>
      <c r="L12">
        <f>docx!B2167</f>
        <v>999.97203598399994</v>
      </c>
    </row>
    <row r="13" spans="1:12" x14ac:dyDescent="0.25">
      <c r="A13" s="117" t="s">
        <v>2496</v>
      </c>
      <c r="B13" s="115" t="str">
        <f xml:space="preserve"> docx!D2174</f>
        <v>ESI 1k R1 only</v>
      </c>
      <c r="C13" s="119" t="s">
        <v>13</v>
      </c>
      <c r="D13" s="119"/>
      <c r="E13" s="114">
        <f>docx!B2177</f>
        <v>999.96035695600006</v>
      </c>
      <c r="F13" s="271">
        <f>docx!B2178</f>
        <v>2.6334460862850799E-4</v>
      </c>
      <c r="G13" s="185">
        <f t="shared" si="0"/>
        <v>0.26335504882429611</v>
      </c>
      <c r="H13" s="239">
        <v>21.75</v>
      </c>
    </row>
    <row r="14" spans="1:12" x14ac:dyDescent="0.25">
      <c r="A14" s="113" t="s">
        <v>2497</v>
      </c>
      <c r="B14" s="115" t="str">
        <f xml:space="preserve"> docx!D2184</f>
        <v>ESI 1k P// only</v>
      </c>
      <c r="C14" s="119" t="s">
        <v>13</v>
      </c>
      <c r="D14" s="119"/>
      <c r="E14" s="114">
        <f>docx!B2187</f>
        <v>99.995983096199893</v>
      </c>
      <c r="F14" s="271">
        <f>docx!B2188</f>
        <v>1.9027274116886601E-4</v>
      </c>
      <c r="G14" s="185">
        <f t="shared" si="0"/>
        <v>1.9028038454886382</v>
      </c>
      <c r="H14" s="239">
        <v>21.77</v>
      </c>
    </row>
    <row r="15" spans="1:12" x14ac:dyDescent="0.25">
      <c r="A15" s="117" t="s">
        <v>2498</v>
      </c>
      <c r="B15" s="115" t="str">
        <f xml:space="preserve"> docx!D2194</f>
        <v xml:space="preserve">ESI 100 Ohm S network bars  SN:123009 </v>
      </c>
      <c r="C15" s="119" t="s">
        <v>13</v>
      </c>
      <c r="D15" s="119"/>
      <c r="E15" s="114">
        <f>docx!B2197</f>
        <v>999.96633857100005</v>
      </c>
      <c r="F15" s="271">
        <f>docx!B2198</f>
        <v>2.2752113688991E-4</v>
      </c>
      <c r="G15" s="185">
        <f t="shared" si="0"/>
        <v>0.2275287958343164</v>
      </c>
      <c r="H15" s="239">
        <v>21.58</v>
      </c>
    </row>
    <row r="16" spans="1:12" x14ac:dyDescent="0.25">
      <c r="A16" s="113" t="s">
        <v>2499</v>
      </c>
      <c r="B16" s="115" t="str">
        <f xml:space="preserve"> docx!D2214</f>
        <v>ESI 100 Ohm R1 only</v>
      </c>
      <c r="C16" s="119" t="s">
        <v>13</v>
      </c>
      <c r="D16" s="119"/>
      <c r="E16" s="114">
        <f>docx!B2217</f>
        <v>99.997733086899999</v>
      </c>
      <c r="F16" s="271">
        <f>docx!B2218</f>
        <v>1.56447815372602E-4</v>
      </c>
      <c r="G16" s="185">
        <f t="shared" si="0"/>
        <v>1.5645136198902205</v>
      </c>
      <c r="H16" s="239">
        <v>21.5</v>
      </c>
    </row>
    <row r="17" spans="1:17" x14ac:dyDescent="0.25">
      <c r="A17" s="117" t="s">
        <v>2500</v>
      </c>
      <c r="B17" s="115" t="str">
        <f xml:space="preserve"> docx!D2224</f>
        <v>eSI 100 Ohm P// network bars</v>
      </c>
      <c r="C17" s="119" t="s">
        <v>13</v>
      </c>
      <c r="D17" s="119"/>
      <c r="E17" s="114">
        <f>docx!B2227</f>
        <v>9.9996417850500006</v>
      </c>
      <c r="F17" s="271">
        <f>docx!B2228</f>
        <v>1.8982922093372298E-5</v>
      </c>
      <c r="G17" s="185">
        <f t="shared" si="0"/>
        <v>1.898360211438052</v>
      </c>
      <c r="H17" s="239">
        <v>21.58</v>
      </c>
    </row>
    <row r="18" spans="1:17" x14ac:dyDescent="0.25">
      <c r="A18" s="113" t="s">
        <v>2501</v>
      </c>
      <c r="B18" s="115" t="str">
        <f xml:space="preserve"> docx!D2234</f>
        <v>ESI 10 Ohm R1 only SN:A1-1752030</v>
      </c>
      <c r="C18" s="119" t="s">
        <v>13</v>
      </c>
      <c r="D18" s="119"/>
      <c r="E18" s="114">
        <f>docx!B2237</f>
        <v>10.0000845213</v>
      </c>
      <c r="F18" s="271">
        <f>docx!B2238</f>
        <v>1.69182482709258E-5</v>
      </c>
      <c r="G18" s="185">
        <f t="shared" ref="G18" si="1">F18/E18*1000000</f>
        <v>1.6918105276900646</v>
      </c>
      <c r="H18" s="239">
        <v>21.49</v>
      </c>
    </row>
    <row r="19" spans="1:17" x14ac:dyDescent="0.25">
      <c r="A19" s="117" t="s">
        <v>2502</v>
      </c>
      <c r="B19" s="115" t="str">
        <f xml:space="preserve"> docx!D2244</f>
        <v>ESI 10 Ohm S network bars</v>
      </c>
      <c r="C19" s="119" t="s">
        <v>13</v>
      </c>
      <c r="D19" s="119"/>
      <c r="E19" s="114">
        <f>docx!B2247</f>
        <v>100.00091660299999</v>
      </c>
      <c r="F19" s="271">
        <f>docx!B2248</f>
        <v>1.5355676241661501E-4</v>
      </c>
      <c r="G19" s="185">
        <f t="shared" ref="G19:G24" si="2">F19/E19*1000000</f>
        <v>1.5355535492362513</v>
      </c>
      <c r="H19" s="239">
        <v>21.68</v>
      </c>
    </row>
    <row r="20" spans="1:17" x14ac:dyDescent="0.25">
      <c r="A20" s="117"/>
      <c r="B20" s="117" t="s">
        <v>2532</v>
      </c>
      <c r="C20" s="119" t="s">
        <v>13</v>
      </c>
      <c r="D20" s="117"/>
      <c r="E20" s="117">
        <f>docx!B2327</f>
        <v>1.0000021826779999</v>
      </c>
      <c r="F20" s="277">
        <f>docx!B2328</f>
        <v>1.01872688658301E-5</v>
      </c>
      <c r="G20" s="185">
        <f t="shared" si="2"/>
        <v>10.187246630351</v>
      </c>
      <c r="H20" s="117">
        <v>21.04</v>
      </c>
    </row>
    <row r="21" spans="1:17" x14ac:dyDescent="0.25">
      <c r="A21" s="113" t="s">
        <v>2503</v>
      </c>
      <c r="B21" s="115" t="str">
        <f xml:space="preserve"> docx!D2264</f>
        <v>100k Vishay</v>
      </c>
      <c r="C21" s="119" t="s">
        <v>13</v>
      </c>
      <c r="D21" s="119"/>
      <c r="E21" s="114">
        <f>docx!B2267</f>
        <v>100003.319945</v>
      </c>
      <c r="F21" s="271">
        <f>docx!B2268</f>
        <v>4.2297747808129497E-2</v>
      </c>
      <c r="G21" s="185">
        <f t="shared" si="2"/>
        <v>0.42296343592785207</v>
      </c>
      <c r="H21" s="239">
        <v>21.5</v>
      </c>
    </row>
    <row r="22" spans="1:17" x14ac:dyDescent="0.25">
      <c r="A22" s="117" t="s">
        <v>2504</v>
      </c>
      <c r="B22" s="115" t="str">
        <f xml:space="preserve"> docx!D2274</f>
        <v>10k Vishay</v>
      </c>
      <c r="C22" s="119" t="s">
        <v>13</v>
      </c>
      <c r="D22" s="119"/>
      <c r="E22" s="114">
        <f>docx!B2277</f>
        <v>10000.3233009</v>
      </c>
      <c r="F22" s="271">
        <f>docx!B2278</f>
        <v>8.1506895161202898E-3</v>
      </c>
      <c r="G22" s="185">
        <f t="shared" si="2"/>
        <v>0.81504260121137806</v>
      </c>
      <c r="H22" s="239">
        <v>21.37</v>
      </c>
    </row>
    <row r="23" spans="1:17" x14ac:dyDescent="0.25">
      <c r="A23" s="113" t="s">
        <v>2505</v>
      </c>
      <c r="B23" s="115" t="str">
        <f xml:space="preserve"> docx!D2284</f>
        <v>100 Vishay</v>
      </c>
      <c r="C23" s="119" t="s">
        <v>13</v>
      </c>
      <c r="D23" s="119"/>
      <c r="E23" s="114">
        <f>docx!B2287</f>
        <v>100.01475664</v>
      </c>
      <c r="F23" s="271">
        <f>docx!B2288</f>
        <v>1.9899247282827401E-4</v>
      </c>
      <c r="G23" s="185">
        <f t="shared" si="2"/>
        <v>1.9896311255802102</v>
      </c>
      <c r="H23" s="239">
        <v>21.46</v>
      </c>
      <c r="O23" s="9" t="s">
        <v>241</v>
      </c>
      <c r="P23" s="9" t="s">
        <v>242</v>
      </c>
      <c r="Q23" s="9" t="s">
        <v>243</v>
      </c>
    </row>
    <row r="24" spans="1:17" x14ac:dyDescent="0.25">
      <c r="A24" s="113"/>
      <c r="B24" s="115" t="s">
        <v>1815</v>
      </c>
      <c r="C24" s="119" t="s">
        <v>2533</v>
      </c>
      <c r="D24" s="119"/>
      <c r="E24" s="117">
        <f>docx!B2388</f>
        <v>1000001.71749</v>
      </c>
      <c r="F24" s="277">
        <f>docx!B2389</f>
        <v>0.45496099277267599</v>
      </c>
      <c r="G24" s="185">
        <f t="shared" si="2"/>
        <v>0.45496021138306258</v>
      </c>
      <c r="H24" s="117">
        <v>21.3</v>
      </c>
    </row>
    <row r="25" spans="1:17" x14ac:dyDescent="0.25">
      <c r="A25" s="117"/>
      <c r="B25" s="115"/>
      <c r="C25" s="119"/>
      <c r="D25" s="119"/>
      <c r="E25" s="114"/>
      <c r="F25" s="271"/>
      <c r="G25" s="185"/>
      <c r="H25" s="239"/>
    </row>
    <row r="26" spans="1:17" x14ac:dyDescent="0.25">
      <c r="A26" s="113"/>
      <c r="B26" s="115"/>
      <c r="C26" s="119"/>
      <c r="D26" s="119"/>
      <c r="E26" s="114"/>
      <c r="F26" s="271"/>
      <c r="G26" s="185"/>
      <c r="H26" s="239"/>
      <c r="O26" s="9" t="s">
        <v>241</v>
      </c>
      <c r="P26" s="9" t="s">
        <v>242</v>
      </c>
      <c r="Q26" s="9" t="s">
        <v>243</v>
      </c>
    </row>
    <row r="27" spans="1:17" s="272" customFormat="1" x14ac:dyDescent="0.25">
      <c r="O27" s="273">
        <f>docx!A1191</f>
        <v>9971.4967338999995</v>
      </c>
      <c r="P27" s="274">
        <f>O27*9.99999228000003*0.01-977</f>
        <v>20.148903590455006</v>
      </c>
      <c r="Q27" s="272">
        <f>10000*(0.342*(P27-20)-0.027*(P27-20)^2)*0.000001</f>
        <v>5.0326376395851624E-4</v>
      </c>
    </row>
    <row r="28" spans="1:17" ht="13" x14ac:dyDescent="0.3">
      <c r="A28" s="1" t="s">
        <v>19</v>
      </c>
      <c r="B28" s="4"/>
      <c r="J28" s="4"/>
    </row>
    <row r="29" spans="1:17" ht="37.5" x14ac:dyDescent="0.25">
      <c r="A29" s="9" t="s">
        <v>24</v>
      </c>
      <c r="B29" s="10" t="s">
        <v>27</v>
      </c>
      <c r="C29" s="10" t="s">
        <v>28</v>
      </c>
      <c r="D29" s="10" t="s">
        <v>29</v>
      </c>
      <c r="E29" s="10" t="s">
        <v>21</v>
      </c>
      <c r="F29" s="10" t="s">
        <v>22</v>
      </c>
      <c r="G29" s="10" t="s">
        <v>23</v>
      </c>
      <c r="H29" s="10" t="s">
        <v>25</v>
      </c>
      <c r="I29" s="13" t="s">
        <v>92</v>
      </c>
      <c r="J29" s="11" t="s">
        <v>20</v>
      </c>
      <c r="K29" s="9"/>
      <c r="L29" s="9"/>
      <c r="M29" s="9"/>
      <c r="N29" s="145" t="s">
        <v>256</v>
      </c>
    </row>
    <row r="30" spans="1:17" x14ac:dyDescent="0.25">
      <c r="A30" s="9" t="s">
        <v>5</v>
      </c>
      <c r="B30" s="190">
        <f>ROUND(E30,0)</f>
        <v>10000</v>
      </c>
      <c r="C30" s="9"/>
      <c r="D30" s="9"/>
      <c r="E30" s="34">
        <f>E8</f>
        <v>10000.0148145</v>
      </c>
      <c r="F30" s="34">
        <f>F8</f>
        <v>1.86717924517395E-3</v>
      </c>
      <c r="G30" s="52">
        <f>H30-E30</f>
        <v>-1.5391236236609984E-2</v>
      </c>
      <c r="H30" s="127">
        <f>10000*(1-0.000000108)+Q27</f>
        <v>9999.9994232637637</v>
      </c>
      <c r="I30" s="128">
        <f>Calibration!I21</f>
        <v>44294</v>
      </c>
      <c r="J30" s="129" t="str">
        <f>Calibration!J21</f>
        <v xml:space="preserve">...\Electricity\Ongoing\OHM\Buildup2021_MDE.xls, </v>
      </c>
      <c r="K30" s="129"/>
      <c r="L30" s="129"/>
      <c r="M30" s="130"/>
      <c r="N30" s="228">
        <f>G30/E30*1000000</f>
        <v>-1.539121343529684</v>
      </c>
    </row>
    <row r="31" spans="1:17" x14ac:dyDescent="0.25">
      <c r="A31" s="9"/>
      <c r="B31" s="190">
        <v>100000</v>
      </c>
      <c r="C31" s="9"/>
      <c r="D31" s="9"/>
      <c r="E31" s="9"/>
      <c r="F31" s="9"/>
      <c r="G31" s="52">
        <f>Calibration!G23</f>
        <v>0.21170123871706892</v>
      </c>
      <c r="H31" s="9" t="s">
        <v>120</v>
      </c>
      <c r="I31" s="38"/>
      <c r="J31" s="9"/>
      <c r="K31" s="9"/>
      <c r="L31" s="9"/>
      <c r="M31" s="9"/>
      <c r="N31" s="228">
        <f>G31/B31*1000000</f>
        <v>2.1170123871706892</v>
      </c>
      <c r="O31" t="s">
        <v>252</v>
      </c>
    </row>
    <row r="32" spans="1:17" x14ac:dyDescent="0.25">
      <c r="A32" s="9" t="s">
        <v>103</v>
      </c>
      <c r="B32" s="190">
        <v>10000</v>
      </c>
      <c r="C32" s="12">
        <f>1000000*(H32/B32-1)</f>
        <v>-39.778694623571198</v>
      </c>
      <c r="D32" s="9"/>
      <c r="E32" s="34">
        <f t="shared" ref="E32:F35" si="3">E10</f>
        <v>9999.6176042900006</v>
      </c>
      <c r="F32" s="34">
        <f t="shared" si="3"/>
        <v>2.5389564717559201E-3</v>
      </c>
      <c r="G32" s="9"/>
      <c r="H32" s="9">
        <f>E32+G30</f>
        <v>9999.602213053764</v>
      </c>
      <c r="I32" s="9"/>
      <c r="J32" s="11"/>
      <c r="K32" s="9"/>
      <c r="L32" s="9"/>
      <c r="M32" s="9"/>
      <c r="N32" s="4"/>
      <c r="O32">
        <v>9999.7443199999998</v>
      </c>
      <c r="P32" s="6">
        <f>1000000*(H32/O32-1)</f>
        <v>-14.211057971946772</v>
      </c>
    </row>
    <row r="33" spans="1:16" x14ac:dyDescent="0.25">
      <c r="A33" s="9" t="s">
        <v>104</v>
      </c>
      <c r="B33" s="190">
        <v>1000</v>
      </c>
      <c r="C33" s="12">
        <f t="shared" ref="C33:C40" si="4">1000000*(H33/B33-1)</f>
        <v>-40.989167323535192</v>
      </c>
      <c r="D33" s="9"/>
      <c r="E33" s="48">
        <f t="shared" si="3"/>
        <v>999.95993125699999</v>
      </c>
      <c r="F33" s="48">
        <f t="shared" si="3"/>
        <v>3.4004300893945697E-4</v>
      </c>
      <c r="G33" s="227">
        <f>H33-E33</f>
        <v>-9.2042432356720383E-4</v>
      </c>
      <c r="H33" s="9">
        <f>0.1*H32+0.1*(E33-E34)</f>
        <v>999.95901083267643</v>
      </c>
      <c r="I33" s="9" t="s">
        <v>31</v>
      </c>
      <c r="J33" s="11"/>
      <c r="K33" s="9"/>
      <c r="L33" s="9"/>
      <c r="M33" s="9"/>
      <c r="N33" s="228">
        <f>G33/E33*1000000</f>
        <v>-0.9204612052906801</v>
      </c>
      <c r="O33">
        <v>999.97451933999992</v>
      </c>
      <c r="P33" s="6">
        <f>1000000*(H33/O33-1)</f>
        <v>-15.508902500571686</v>
      </c>
    </row>
    <row r="34" spans="1:16" x14ac:dyDescent="0.25">
      <c r="A34" s="9" t="s">
        <v>105</v>
      </c>
      <c r="B34" s="190">
        <v>1000</v>
      </c>
      <c r="C34" s="12"/>
      <c r="D34" s="9"/>
      <c r="E34" s="48">
        <f t="shared" si="3"/>
        <v>999.97203598399994</v>
      </c>
      <c r="F34" s="48">
        <f t="shared" si="3"/>
        <v>2.6674448209693401E-4</v>
      </c>
      <c r="G34" s="9"/>
      <c r="H34" s="9"/>
      <c r="I34" s="9"/>
      <c r="J34" s="11"/>
      <c r="K34" s="9"/>
      <c r="L34" s="9"/>
      <c r="M34" s="9"/>
      <c r="N34" s="4"/>
      <c r="P34" s="6"/>
    </row>
    <row r="35" spans="1:16" x14ac:dyDescent="0.25">
      <c r="A35" s="9" t="s">
        <v>106</v>
      </c>
      <c r="B35" s="190">
        <v>1000</v>
      </c>
      <c r="C35" s="12">
        <f t="shared" si="4"/>
        <v>-40.563468323484564</v>
      </c>
      <c r="D35" s="9"/>
      <c r="E35" s="48">
        <f t="shared" si="3"/>
        <v>999.96035695600006</v>
      </c>
      <c r="F35" s="48">
        <f t="shared" si="3"/>
        <v>2.6334460862850799E-4</v>
      </c>
      <c r="G35" s="9"/>
      <c r="H35" s="9">
        <f>E35+G33</f>
        <v>999.95943653167649</v>
      </c>
      <c r="I35" s="12"/>
      <c r="J35" s="9"/>
      <c r="K35" s="9"/>
      <c r="L35" s="9"/>
      <c r="M35" s="9"/>
      <c r="N35" s="4"/>
      <c r="O35">
        <v>999.97609934000013</v>
      </c>
      <c r="P35" s="6">
        <f t="shared" ref="P35:P45" si="5">1000000*(H35/O35-1)</f>
        <v>-16.663206585332269</v>
      </c>
    </row>
    <row r="36" spans="1:16" x14ac:dyDescent="0.25">
      <c r="A36" s="9" t="s">
        <v>109</v>
      </c>
      <c r="B36" s="190">
        <v>1000</v>
      </c>
      <c r="C36" s="12">
        <f t="shared" si="4"/>
        <v>-34.581853323500944</v>
      </c>
      <c r="D36" s="12"/>
      <c r="E36" s="48">
        <f>E15</f>
        <v>999.96633857100005</v>
      </c>
      <c r="F36" s="48">
        <f>F15</f>
        <v>2.2752113688991E-4</v>
      </c>
      <c r="G36" s="9"/>
      <c r="H36" s="9">
        <f>E36+G33</f>
        <v>999.96541814667648</v>
      </c>
      <c r="I36" s="12"/>
      <c r="J36" s="9"/>
      <c r="K36" s="9"/>
      <c r="L36" s="9"/>
      <c r="M36" s="9"/>
      <c r="N36" s="4"/>
      <c r="O36">
        <v>999.97229933999995</v>
      </c>
      <c r="P36" s="6">
        <f t="shared" si="5"/>
        <v>-6.8813839423365053</v>
      </c>
    </row>
    <row r="37" spans="1:16" x14ac:dyDescent="0.25">
      <c r="A37" s="9" t="s">
        <v>107</v>
      </c>
      <c r="B37" s="190">
        <f>ROUND(E37,0)</f>
        <v>100</v>
      </c>
      <c r="C37" s="9"/>
      <c r="D37" s="12"/>
      <c r="E37" s="48">
        <f>E14</f>
        <v>99.995983096199893</v>
      </c>
      <c r="F37" s="48">
        <f>F14</f>
        <v>1.9027274116886601E-4</v>
      </c>
      <c r="G37" s="9">
        <f>H37-E37</f>
        <v>3.903433774610221E-5</v>
      </c>
      <c r="H37" s="9">
        <f>H32/100</f>
        <v>99.996022130537639</v>
      </c>
      <c r="I37" s="12"/>
      <c r="J37" s="9"/>
      <c r="K37" s="9"/>
      <c r="L37" s="9"/>
      <c r="M37" s="9"/>
      <c r="N37" s="228">
        <f>G37/E37*1000000</f>
        <v>0.39035905780884927</v>
      </c>
      <c r="O37">
        <v>99.997443199999992</v>
      </c>
      <c r="P37" s="6">
        <f t="shared" si="5"/>
        <v>-14.21105797183575</v>
      </c>
    </row>
    <row r="38" spans="1:16" x14ac:dyDescent="0.25">
      <c r="A38" s="9" t="s">
        <v>108</v>
      </c>
      <c r="B38" s="190">
        <f>ROUND(E38,0)</f>
        <v>100</v>
      </c>
      <c r="C38" s="12">
        <f t="shared" si="4"/>
        <v>-22.278787622509455</v>
      </c>
      <c r="D38" s="9"/>
      <c r="E38" s="48">
        <f t="shared" ref="E38:F41" si="6">E16</f>
        <v>99.997733086899999</v>
      </c>
      <c r="F38" s="48">
        <f t="shared" si="6"/>
        <v>1.56447815372602E-4</v>
      </c>
      <c r="G38" s="9"/>
      <c r="H38" s="9">
        <f>E38+G37</f>
        <v>99.997772121237745</v>
      </c>
      <c r="I38" s="12"/>
      <c r="J38" s="9"/>
      <c r="K38" s="9"/>
      <c r="L38" s="9"/>
      <c r="M38" s="9"/>
      <c r="N38" s="4"/>
      <c r="O38">
        <v>99.99752119999998</v>
      </c>
      <c r="P38" s="6">
        <f t="shared" si="5"/>
        <v>2.5092745774557557</v>
      </c>
    </row>
    <row r="39" spans="1:16" x14ac:dyDescent="0.25">
      <c r="A39" s="9" t="s">
        <v>110</v>
      </c>
      <c r="B39" s="190">
        <f>ROUND(E39,0)</f>
        <v>10</v>
      </c>
      <c r="C39" s="12">
        <f t="shared" si="4"/>
        <v>-34.581853323500944</v>
      </c>
      <c r="D39" s="9"/>
      <c r="E39" s="48">
        <f t="shared" si="6"/>
        <v>9.9996417850500006</v>
      </c>
      <c r="F39" s="48">
        <f t="shared" si="6"/>
        <v>1.8982922093372298E-5</v>
      </c>
      <c r="G39" s="9">
        <f>H39-E39</f>
        <v>1.2396416764204332E-5</v>
      </c>
      <c r="H39" s="9">
        <f>H36/100</f>
        <v>9.9996541814667648</v>
      </c>
      <c r="I39" s="12"/>
      <c r="J39" s="9"/>
      <c r="K39" s="9"/>
      <c r="L39" s="9"/>
      <c r="M39" s="9"/>
      <c r="N39" s="228">
        <f>G39/E39*1000000</f>
        <v>1.2396860838292865</v>
      </c>
      <c r="O39">
        <v>9.9997229933999989</v>
      </c>
      <c r="P39" s="6">
        <f t="shared" si="5"/>
        <v>-6.8813839423365053</v>
      </c>
    </row>
    <row r="40" spans="1:16" x14ac:dyDescent="0.25">
      <c r="A40" s="9" t="s">
        <v>111</v>
      </c>
      <c r="B40" s="190">
        <f>ROUND(E40,0)</f>
        <v>10</v>
      </c>
      <c r="C40" s="12">
        <f t="shared" si="4"/>
        <v>9.6917716763122996</v>
      </c>
      <c r="D40" s="9"/>
      <c r="E40" s="48">
        <f t="shared" si="6"/>
        <v>10.0000845213</v>
      </c>
      <c r="F40" s="48">
        <f t="shared" si="6"/>
        <v>1.69182482709258E-5</v>
      </c>
      <c r="G40" s="9"/>
      <c r="H40" s="9">
        <f>E40+G39</f>
        <v>10.000096917716764</v>
      </c>
      <c r="I40" s="12"/>
      <c r="J40" s="9"/>
      <c r="K40" s="9"/>
      <c r="L40" s="9"/>
      <c r="M40" s="9"/>
      <c r="N40" s="4"/>
      <c r="O40">
        <v>10.000072993399998</v>
      </c>
      <c r="P40" s="6">
        <f t="shared" si="5"/>
        <v>2.3924142136255711</v>
      </c>
    </row>
    <row r="41" spans="1:16" x14ac:dyDescent="0.25">
      <c r="A41" s="9" t="s">
        <v>128</v>
      </c>
      <c r="B41" s="190">
        <v>100</v>
      </c>
      <c r="C41" s="12"/>
      <c r="D41" s="9"/>
      <c r="E41" s="48">
        <f t="shared" si="6"/>
        <v>100.00091660299999</v>
      </c>
      <c r="F41" s="48">
        <f t="shared" si="6"/>
        <v>1.5355676241661501E-4</v>
      </c>
      <c r="G41" s="9"/>
      <c r="H41" s="9">
        <f>E41+G37</f>
        <v>100.00095563733774</v>
      </c>
      <c r="I41" s="12"/>
      <c r="J41" s="9"/>
      <c r="K41" s="9"/>
      <c r="L41" s="9"/>
      <c r="M41" s="9"/>
      <c r="N41" s="4"/>
      <c r="O41">
        <v>99.999261200000007</v>
      </c>
      <c r="P41" s="6">
        <f t="shared" si="5"/>
        <v>16.944498563375987</v>
      </c>
    </row>
    <row r="42" spans="1:16" x14ac:dyDescent="0.25">
      <c r="A42" s="9" t="s">
        <v>130</v>
      </c>
      <c r="B42" s="190">
        <v>1</v>
      </c>
      <c r="C42" s="12"/>
      <c r="D42" s="9"/>
      <c r="E42" s="48">
        <f>E21/100000</f>
        <v>1.00003319945</v>
      </c>
      <c r="F42" s="48">
        <f>F21/100000</f>
        <v>4.22977478081295E-7</v>
      </c>
      <c r="G42" s="9"/>
      <c r="H42" s="48">
        <f>H41/100</f>
        <v>1.0000095563733773</v>
      </c>
      <c r="I42" s="12"/>
      <c r="J42" s="9"/>
      <c r="K42" s="9"/>
      <c r="L42" s="9"/>
      <c r="M42" s="9"/>
      <c r="N42" s="4"/>
      <c r="O42">
        <v>0.99999261200000011</v>
      </c>
      <c r="P42" s="6">
        <f t="shared" si="5"/>
        <v>16.944498563153942</v>
      </c>
    </row>
    <row r="43" spans="1:16" x14ac:dyDescent="0.25">
      <c r="A43" s="9" t="s">
        <v>119</v>
      </c>
      <c r="B43" s="190">
        <v>100000</v>
      </c>
      <c r="C43" s="12"/>
      <c r="D43" s="9"/>
      <c r="E43" s="9">
        <f>E21</f>
        <v>100003.319945</v>
      </c>
      <c r="F43" s="256">
        <f>F21</f>
        <v>4.2297747808129497E-2</v>
      </c>
      <c r="G43" s="9"/>
      <c r="H43" s="37">
        <f>E43+G31</f>
        <v>100003.53164623871</v>
      </c>
      <c r="I43" s="12"/>
      <c r="J43" s="9"/>
      <c r="K43" s="9"/>
      <c r="L43" s="9"/>
      <c r="M43" s="9"/>
      <c r="N43" s="4"/>
      <c r="O43">
        <v>100002.93800000008</v>
      </c>
      <c r="P43" s="6">
        <f t="shared" si="5"/>
        <v>5.9362879780699984</v>
      </c>
    </row>
    <row r="44" spans="1:16" x14ac:dyDescent="0.25">
      <c r="A44" s="9" t="s">
        <v>113</v>
      </c>
      <c r="B44" s="190">
        <f>ROUND(E44,0)</f>
        <v>10000</v>
      </c>
      <c r="C44" s="12"/>
      <c r="D44" s="9"/>
      <c r="E44" s="9">
        <f t="shared" ref="E44:F45" si="7">E22</f>
        <v>10000.3233009</v>
      </c>
      <c r="F44" s="256">
        <f t="shared" si="7"/>
        <v>8.1506895161202898E-3</v>
      </c>
      <c r="G44" s="9"/>
      <c r="H44" s="37">
        <f>E44+G30</f>
        <v>10000.307909663763</v>
      </c>
      <c r="I44" s="12"/>
      <c r="J44" s="9"/>
      <c r="K44" s="9"/>
      <c r="L44" s="9"/>
      <c r="M44" s="9"/>
      <c r="N44" s="4"/>
      <c r="O44">
        <v>10000.319600000001</v>
      </c>
      <c r="P44" s="6">
        <f t="shared" si="5"/>
        <v>-1.1689962626793005</v>
      </c>
    </row>
    <row r="45" spans="1:16" x14ac:dyDescent="0.25">
      <c r="A45" s="9" t="s">
        <v>114</v>
      </c>
      <c r="B45" s="190">
        <f>ROUND(E46,0)</f>
        <v>0</v>
      </c>
      <c r="C45" s="9"/>
      <c r="D45" s="9"/>
      <c r="E45" s="48">
        <f>E23</f>
        <v>100.01475664</v>
      </c>
      <c r="F45" s="256">
        <f t="shared" si="7"/>
        <v>1.9899247282827401E-4</v>
      </c>
      <c r="G45" s="9"/>
      <c r="H45" s="48">
        <f>E45+G37</f>
        <v>100.01479567433775</v>
      </c>
      <c r="I45" s="9"/>
      <c r="J45" s="9"/>
      <c r="K45" s="9"/>
      <c r="L45" s="9"/>
      <c r="M45" s="9"/>
      <c r="N45" s="4"/>
      <c r="O45">
        <v>100.01202119999998</v>
      </c>
      <c r="P45" s="6">
        <f t="shared" si="5"/>
        <v>27.741408527459654</v>
      </c>
    </row>
    <row r="46" spans="1:16" x14ac:dyDescent="0.25">
      <c r="A46" s="213" t="s">
        <v>1816</v>
      </c>
      <c r="B46" s="190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4"/>
      <c r="P46" s="6"/>
    </row>
    <row r="47" spans="1:16" x14ac:dyDescent="0.25">
      <c r="A47" s="213" t="s">
        <v>5</v>
      </c>
      <c r="B47" s="190">
        <v>10000</v>
      </c>
      <c r="C47" s="9"/>
      <c r="D47" s="9"/>
      <c r="E47" s="9">
        <f>docx!B2358</f>
        <v>10000.012335699999</v>
      </c>
      <c r="F47" s="9">
        <f>docx!B2359</f>
        <v>2.5696854562042202E-3</v>
      </c>
      <c r="G47" s="52">
        <f>H47-E47</f>
        <v>-1.3697863594643422E-2</v>
      </c>
      <c r="H47" s="127">
        <f>10000*(1-0.000000108)+Q51</f>
        <v>9999.9986378364047</v>
      </c>
      <c r="I47" s="128" t="str">
        <f>docx!B2357</f>
        <v>Wed Mar 15 09:54:32 2023</v>
      </c>
      <c r="J47" s="129" t="str">
        <f>Calibration!J21</f>
        <v xml:space="preserve">...\Electricity\Ongoing\OHM\Buildup2021_MDE.xls, </v>
      </c>
      <c r="K47" s="129"/>
      <c r="L47" s="129"/>
      <c r="M47" s="130"/>
      <c r="N47" s="4"/>
      <c r="P47" s="6"/>
    </row>
    <row r="48" spans="1:16" x14ac:dyDescent="0.25">
      <c r="A48" s="9" t="s">
        <v>9</v>
      </c>
      <c r="B48" s="190">
        <v>10000</v>
      </c>
      <c r="C48" s="9"/>
      <c r="D48" s="9"/>
      <c r="E48" s="9">
        <f>docx!B2337</f>
        <v>10000.134140599999</v>
      </c>
      <c r="F48" s="9">
        <f>docx!B2338</f>
        <v>1.83793682097717E-3</v>
      </c>
      <c r="G48" s="52">
        <f>H48-E48</f>
        <v>-1.3697863594643422E-2</v>
      </c>
      <c r="H48" s="52">
        <f>E48+G47</f>
        <v>10000.120442736405</v>
      </c>
      <c r="I48" s="9"/>
      <c r="J48" s="9"/>
      <c r="K48" s="9"/>
      <c r="L48" s="9"/>
      <c r="M48" s="9"/>
      <c r="N48" s="4"/>
      <c r="P48" s="6"/>
    </row>
    <row r="49" spans="1:25" x14ac:dyDescent="0.25">
      <c r="A49" s="213" t="s">
        <v>12</v>
      </c>
      <c r="B49" s="190">
        <v>1000000</v>
      </c>
      <c r="C49" s="9"/>
      <c r="D49" s="9"/>
      <c r="E49" s="9">
        <f>docx!B2378</f>
        <v>1000015.8202899999</v>
      </c>
      <c r="F49" s="9">
        <f>docx!B2379</f>
        <v>0.54195156694088498</v>
      </c>
      <c r="G49" s="52">
        <f>H49-E49</f>
        <v>-3.7760163594502956</v>
      </c>
      <c r="H49" s="9">
        <f>100*H48</f>
        <v>1000012.0442736405</v>
      </c>
      <c r="I49" s="9"/>
      <c r="J49" s="9"/>
      <c r="K49" s="9"/>
      <c r="L49" s="9"/>
      <c r="M49" s="9"/>
      <c r="N49" s="4"/>
      <c r="P49" s="6"/>
    </row>
    <row r="50" spans="1:25" x14ac:dyDescent="0.25">
      <c r="A50" s="213" t="s">
        <v>1815</v>
      </c>
      <c r="B50" s="190">
        <v>1000000</v>
      </c>
      <c r="C50" s="9"/>
      <c r="D50" s="9"/>
      <c r="E50" s="9">
        <f>docx!B2388</f>
        <v>1000001.71749</v>
      </c>
      <c r="F50" s="9">
        <f>docx!B2389</f>
        <v>0.45496099277267599</v>
      </c>
      <c r="G50" s="9"/>
      <c r="H50" s="52">
        <f>E50+G49</f>
        <v>999997.9414736405</v>
      </c>
      <c r="I50" s="9"/>
      <c r="J50" s="9"/>
      <c r="K50" s="9"/>
      <c r="L50" s="9"/>
      <c r="M50" s="9"/>
      <c r="N50" s="4"/>
      <c r="O50" s="9" t="s">
        <v>241</v>
      </c>
      <c r="P50" s="9" t="s">
        <v>242</v>
      </c>
      <c r="Q50" s="9" t="s">
        <v>243</v>
      </c>
    </row>
    <row r="51" spans="1:25" x14ac:dyDescent="0.25">
      <c r="A51" s="206"/>
      <c r="B51" s="278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4"/>
      <c r="O51" s="174">
        <f>docx!A1934</f>
        <v>9969.1879614499994</v>
      </c>
      <c r="P51" s="35">
        <f>O51*9.99999228000003*0.01-977</f>
        <v>19.91802652369222</v>
      </c>
      <c r="Q51">
        <f>10000*(0.342*(P51-20)-0.027*(P51-20)^2)*0.000001</f>
        <v>-2.8216359469346417E-4</v>
      </c>
    </row>
    <row r="52" spans="1:25" x14ac:dyDescent="0.25">
      <c r="A52" s="9"/>
      <c r="B52" s="190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4">
        <f>E48/E49</f>
        <v>9.9999759380806665E-3</v>
      </c>
      <c r="P52" s="6"/>
    </row>
    <row r="53" spans="1:25" x14ac:dyDescent="0.25">
      <c r="A53" s="9"/>
      <c r="B53" s="190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4"/>
      <c r="P53" s="6"/>
    </row>
    <row r="54" spans="1:25" x14ac:dyDescent="0.25">
      <c r="A54" s="9"/>
      <c r="B54" s="11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4"/>
    </row>
    <row r="56" spans="1:25" x14ac:dyDescent="0.25">
      <c r="A56" s="9" t="s">
        <v>1</v>
      </c>
      <c r="B56" s="133">
        <v>41842</v>
      </c>
      <c r="I56">
        <f>I59*100</f>
        <v>-2.1200000000000007E-2</v>
      </c>
    </row>
    <row r="57" spans="1:25" x14ac:dyDescent="0.25">
      <c r="A57" s="9"/>
      <c r="B57" s="279"/>
      <c r="F57" s="292" t="s">
        <v>2453</v>
      </c>
      <c r="G57" s="292"/>
      <c r="I57" s="292" t="s">
        <v>2454</v>
      </c>
      <c r="J57" s="292"/>
    </row>
    <row r="58" spans="1:25" ht="37.5" x14ac:dyDescent="0.25">
      <c r="A58" s="11" t="s">
        <v>133</v>
      </c>
      <c r="B58" s="11" t="s">
        <v>38</v>
      </c>
      <c r="C58" s="10" t="s">
        <v>95</v>
      </c>
      <c r="D58" s="10" t="s">
        <v>24</v>
      </c>
      <c r="E58" s="11" t="s">
        <v>71</v>
      </c>
      <c r="F58" s="11" t="s">
        <v>55</v>
      </c>
      <c r="G58" s="11" t="s">
        <v>56</v>
      </c>
      <c r="H58" s="11" t="s">
        <v>38</v>
      </c>
      <c r="I58" s="11" t="s">
        <v>45</v>
      </c>
      <c r="J58" s="11" t="s">
        <v>46</v>
      </c>
      <c r="K58" s="11" t="s">
        <v>17</v>
      </c>
      <c r="L58" s="11" t="s">
        <v>123</v>
      </c>
      <c r="M58" s="10" t="s">
        <v>121</v>
      </c>
      <c r="N58" s="10" t="s">
        <v>122</v>
      </c>
      <c r="O58" s="223" t="s">
        <v>102</v>
      </c>
      <c r="P58" s="223" t="s">
        <v>101</v>
      </c>
      <c r="R58" s="50" t="s">
        <v>124</v>
      </c>
      <c r="S58" s="50" t="s">
        <v>125</v>
      </c>
    </row>
    <row r="59" spans="1:25" x14ac:dyDescent="0.25">
      <c r="A59" s="225" t="s">
        <v>2546</v>
      </c>
      <c r="B59" s="293">
        <v>7</v>
      </c>
      <c r="C59" s="139">
        <v>1000000</v>
      </c>
      <c r="D59" s="231" t="s">
        <v>115</v>
      </c>
      <c r="E59" s="139">
        <v>1592</v>
      </c>
      <c r="F59" s="157">
        <v>2.0799999999999999E-4</v>
      </c>
      <c r="G59" s="178">
        <v>1.0000530000000001</v>
      </c>
      <c r="H59" s="229">
        <v>21.23</v>
      </c>
      <c r="I59" s="157">
        <f>0.000788-0.001</f>
        <v>-2.1200000000000006E-4</v>
      </c>
      <c r="J59" s="178">
        <f>1.000922-0.001</f>
        <v>0.99992200000000009</v>
      </c>
      <c r="K59" s="238">
        <v>21.12</v>
      </c>
      <c r="L59" s="11">
        <f>H50/C59</f>
        <v>0.99999794147364052</v>
      </c>
      <c r="M59" s="10" t="e">
        <f t="shared" ref="M59:M72" si="8">G59+VLOOKUP($B59,$A$82:$D$95,4,FALSE)*0.000001</f>
        <v>#N/A</v>
      </c>
      <c r="N59" s="10" t="e">
        <f t="shared" ref="N59:N72" si="9">J59+VLOOKUP($H59,$A$82:$D$95,4,FALSE)*0.000001</f>
        <v>#N/A</v>
      </c>
      <c r="O59" s="232" t="e">
        <f t="shared" ref="O59:O60" si="10">1000000*(M59-1/L59)</f>
        <v>#N/A</v>
      </c>
      <c r="P59" s="232" t="e">
        <f t="shared" ref="P59:P60" si="11">1000000*(N59-L59)</f>
        <v>#N/A</v>
      </c>
      <c r="R59" s="233" t="e">
        <f t="shared" ref="R59:R60" si="12">1000000*(SQRT(M59*N59)-1)</f>
        <v>#N/A</v>
      </c>
      <c r="S59" s="233">
        <f t="shared" ref="S59:S72" si="13">1000000*(F59+I59)/2</f>
        <v>-2.0000000000000351</v>
      </c>
    </row>
    <row r="60" spans="1:25" x14ac:dyDescent="0.25">
      <c r="A60" s="224" t="s">
        <v>2545</v>
      </c>
      <c r="B60" s="294"/>
      <c r="C60" s="118">
        <v>1000000</v>
      </c>
      <c r="D60" s="136" t="s">
        <v>115</v>
      </c>
      <c r="E60" s="140">
        <v>160</v>
      </c>
      <c r="F60" s="120">
        <v>8.3999999999999995E-5</v>
      </c>
      <c r="G60" s="122">
        <v>1.0000359999999999</v>
      </c>
      <c r="H60" s="230">
        <v>21.23</v>
      </c>
      <c r="I60" s="120">
        <f>0.000928-0.001</f>
        <v>-7.2000000000000015E-5</v>
      </c>
      <c r="J60" s="122">
        <f>1.000945-0.001</f>
        <v>0.99994499999999997</v>
      </c>
      <c r="K60" s="239">
        <v>21.12</v>
      </c>
      <c r="L60" s="11">
        <f>H50/C60</f>
        <v>0.99999794147364052</v>
      </c>
      <c r="M60" s="10" t="e">
        <f t="shared" si="8"/>
        <v>#N/A</v>
      </c>
      <c r="N60" s="10" t="e">
        <f t="shared" si="9"/>
        <v>#N/A</v>
      </c>
      <c r="O60" s="232" t="e">
        <f t="shared" si="10"/>
        <v>#N/A</v>
      </c>
      <c r="P60" s="232" t="e">
        <f t="shared" si="11"/>
        <v>#N/A</v>
      </c>
      <c r="R60" s="233" t="e">
        <f t="shared" si="12"/>
        <v>#N/A</v>
      </c>
      <c r="S60" s="233">
        <f t="shared" si="13"/>
        <v>5.9999999999999902</v>
      </c>
    </row>
    <row r="61" spans="1:25" x14ac:dyDescent="0.25">
      <c r="A61" s="224" t="s">
        <v>2544</v>
      </c>
      <c r="B61" s="293">
        <v>6</v>
      </c>
      <c r="C61" s="118">
        <v>100000</v>
      </c>
      <c r="D61" s="118" t="s">
        <v>115</v>
      </c>
      <c r="E61" s="140">
        <v>1592</v>
      </c>
      <c r="F61" s="120">
        <v>6.2500000000000001E-4</v>
      </c>
      <c r="G61" s="122">
        <f>1.0009746-0.001</f>
        <v>0.99997459999999994</v>
      </c>
      <c r="H61" s="119">
        <v>21.29</v>
      </c>
      <c r="I61" s="120">
        <f>0.000364-0.001</f>
        <v>-6.3600000000000006E-4</v>
      </c>
      <c r="J61" s="122">
        <f>1.0000096</f>
        <v>1.0000096000000001</v>
      </c>
      <c r="K61" s="239">
        <v>21.16</v>
      </c>
      <c r="L61" s="9">
        <f>H43/B43</f>
        <v>1.0000353164623872</v>
      </c>
      <c r="M61" s="48" t="e">
        <f t="shared" si="8"/>
        <v>#N/A</v>
      </c>
      <c r="N61" s="48" t="e">
        <f t="shared" si="9"/>
        <v>#N/A</v>
      </c>
      <c r="O61" s="28" t="e">
        <f t="shared" ref="O61:O72" si="14">1000000*(M61-1/L61)</f>
        <v>#N/A</v>
      </c>
      <c r="P61" s="28" t="e">
        <f t="shared" ref="P61:P72" si="15">1000000*(N61-L61)</f>
        <v>#N/A</v>
      </c>
      <c r="R61" s="28" t="e">
        <f>1000000*(SQRT(M61*N61)-1)</f>
        <v>#N/A</v>
      </c>
      <c r="S61" s="28">
        <f t="shared" si="13"/>
        <v>-5.5000000000000249</v>
      </c>
      <c r="U61" s="5"/>
      <c r="V61" s="6"/>
      <c r="X61" s="6"/>
      <c r="Y61" s="6"/>
    </row>
    <row r="62" spans="1:25" x14ac:dyDescent="0.25">
      <c r="A62" s="224" t="s">
        <v>2543</v>
      </c>
      <c r="B62" s="294"/>
      <c r="C62" s="118">
        <v>100000</v>
      </c>
      <c r="D62" s="118" t="s">
        <v>115</v>
      </c>
      <c r="E62" s="140">
        <v>160</v>
      </c>
      <c r="F62" s="120">
        <v>6.2500000000000001E-4</v>
      </c>
      <c r="G62" s="122">
        <f>1.0009646-0.001</f>
        <v>0.99996460000000009</v>
      </c>
      <c r="H62" s="119">
        <v>21.29</v>
      </c>
      <c r="I62" s="120">
        <f>0.000334-0.001</f>
        <v>-6.6600000000000003E-4</v>
      </c>
      <c r="J62" s="122">
        <f>1.0000266</f>
        <v>1.0000266</v>
      </c>
      <c r="K62" s="239">
        <v>21.16</v>
      </c>
      <c r="L62" s="49">
        <f>H43/B43</f>
        <v>1.0000353164623872</v>
      </c>
      <c r="M62" s="48" t="e">
        <f t="shared" si="8"/>
        <v>#N/A</v>
      </c>
      <c r="N62" s="48" t="e">
        <f t="shared" si="9"/>
        <v>#N/A</v>
      </c>
      <c r="O62" s="28" t="e">
        <f t="shared" si="14"/>
        <v>#N/A</v>
      </c>
      <c r="P62" s="28" t="e">
        <f t="shared" si="15"/>
        <v>#N/A</v>
      </c>
      <c r="R62" s="28" t="e">
        <f t="shared" ref="R62:R70" si="16">1000000*(SQRT(M62*N62)-1)</f>
        <v>#N/A</v>
      </c>
      <c r="S62" s="28">
        <f t="shared" si="13"/>
        <v>-20.500000000000011</v>
      </c>
      <c r="U62" s="5"/>
      <c r="V62" s="6"/>
      <c r="X62" s="6"/>
      <c r="Y62" s="6"/>
    </row>
    <row r="63" spans="1:25" x14ac:dyDescent="0.25">
      <c r="A63" s="224" t="s">
        <v>2542</v>
      </c>
      <c r="B63" s="293">
        <v>5</v>
      </c>
      <c r="C63" s="118">
        <v>10000</v>
      </c>
      <c r="D63" s="118" t="s">
        <v>115</v>
      </c>
      <c r="E63" s="140">
        <v>1592</v>
      </c>
      <c r="F63" s="120">
        <v>5.1E-5</v>
      </c>
      <c r="G63" s="122">
        <v>1.0000178</v>
      </c>
      <c r="H63" s="119">
        <v>21.61</v>
      </c>
      <c r="I63" s="120">
        <f>0.000038-0.0001</f>
        <v>-6.2000000000000003E-5</v>
      </c>
      <c r="J63" s="289">
        <v>0.99996669999999999</v>
      </c>
      <c r="K63" s="239">
        <v>21.5</v>
      </c>
      <c r="L63" s="49">
        <f>H$44/C63</f>
        <v>1.0000307909663764</v>
      </c>
      <c r="M63" s="48" t="e">
        <f t="shared" si="8"/>
        <v>#N/A</v>
      </c>
      <c r="N63" s="48" t="e">
        <f t="shared" si="9"/>
        <v>#N/A</v>
      </c>
      <c r="O63" s="28" t="e">
        <f t="shared" si="14"/>
        <v>#N/A</v>
      </c>
      <c r="P63" s="28" t="e">
        <f t="shared" si="15"/>
        <v>#N/A</v>
      </c>
      <c r="R63" s="28" t="e">
        <f t="shared" si="16"/>
        <v>#N/A</v>
      </c>
      <c r="S63" s="28">
        <f t="shared" si="13"/>
        <v>-5.5000000000000018</v>
      </c>
      <c r="U63" s="5"/>
      <c r="V63" s="6"/>
      <c r="X63" s="6"/>
      <c r="Y63" s="6"/>
    </row>
    <row r="64" spans="1:25" x14ac:dyDescent="0.25">
      <c r="A64" s="224" t="s">
        <v>2541</v>
      </c>
      <c r="B64" s="294"/>
      <c r="C64" s="118">
        <v>10000</v>
      </c>
      <c r="D64" s="118" t="s">
        <v>115</v>
      </c>
      <c r="E64" s="140">
        <v>160</v>
      </c>
      <c r="F64" s="120">
        <v>5.1E-5</v>
      </c>
      <c r="G64" s="122">
        <v>1.0000191</v>
      </c>
      <c r="H64" s="119">
        <v>21.61</v>
      </c>
      <c r="I64" s="120">
        <f>0.000041-0.0001</f>
        <v>-5.9000000000000004E-5</v>
      </c>
      <c r="J64" s="122">
        <f>1.0000683-0.0001</f>
        <v>0.99996829999999992</v>
      </c>
      <c r="K64" s="239">
        <v>21.5</v>
      </c>
      <c r="L64" s="49">
        <f>H$44/C64</f>
        <v>1.0000307909663764</v>
      </c>
      <c r="M64" s="48" t="e">
        <f t="shared" si="8"/>
        <v>#N/A</v>
      </c>
      <c r="N64" s="48" t="e">
        <f t="shared" si="9"/>
        <v>#N/A</v>
      </c>
      <c r="O64" s="28" t="e">
        <f t="shared" si="14"/>
        <v>#N/A</v>
      </c>
      <c r="P64" s="28" t="e">
        <f t="shared" si="15"/>
        <v>#N/A</v>
      </c>
      <c r="R64" s="28" t="e">
        <f t="shared" si="16"/>
        <v>#N/A</v>
      </c>
      <c r="S64" s="28">
        <f t="shared" si="13"/>
        <v>-4.0000000000000027</v>
      </c>
      <c r="U64" s="5"/>
      <c r="V64" s="6"/>
      <c r="X64" s="6"/>
      <c r="Y64" s="6"/>
    </row>
    <row r="65" spans="1:25" x14ac:dyDescent="0.25">
      <c r="A65" s="224" t="s">
        <v>2540</v>
      </c>
      <c r="B65" s="293">
        <v>4</v>
      </c>
      <c r="C65" s="118">
        <v>1000</v>
      </c>
      <c r="D65" s="118" t="s">
        <v>117</v>
      </c>
      <c r="E65" s="140">
        <v>1592</v>
      </c>
      <c r="F65" s="120">
        <f>0.000799-0.001</f>
        <v>-2.0100000000000001E-4</v>
      </c>
      <c r="G65" s="122">
        <f>1.0001007</f>
        <v>1.0001007</v>
      </c>
      <c r="H65" s="119">
        <v>21.36</v>
      </c>
      <c r="I65" s="120">
        <v>1.9100000000000001E-4</v>
      </c>
      <c r="J65" s="122">
        <f>1.0008857-0.001</f>
        <v>0.99988569999999999</v>
      </c>
      <c r="K65" s="239">
        <v>21.35</v>
      </c>
      <c r="L65" s="9">
        <f>H35/C65</f>
        <v>0.99995943653167652</v>
      </c>
      <c r="M65" s="48" t="e">
        <f t="shared" si="8"/>
        <v>#N/A</v>
      </c>
      <c r="N65" s="48" t="e">
        <f t="shared" si="9"/>
        <v>#N/A</v>
      </c>
      <c r="O65" s="28" t="e">
        <f t="shared" si="14"/>
        <v>#N/A</v>
      </c>
      <c r="P65" s="28" t="e">
        <f t="shared" si="15"/>
        <v>#N/A</v>
      </c>
      <c r="R65" s="28" t="e">
        <f t="shared" si="16"/>
        <v>#N/A</v>
      </c>
      <c r="S65" s="28">
        <f t="shared" si="13"/>
        <v>-5</v>
      </c>
      <c r="U65" s="5"/>
      <c r="V65" s="6"/>
      <c r="X65" s="6"/>
      <c r="Y65" s="6"/>
    </row>
    <row r="66" spans="1:25" x14ac:dyDescent="0.25">
      <c r="A66" s="224" t="s">
        <v>2539</v>
      </c>
      <c r="B66" s="294"/>
      <c r="C66" s="118">
        <v>1000</v>
      </c>
      <c r="D66" s="118" t="s">
        <v>117</v>
      </c>
      <c r="E66" s="140">
        <v>160</v>
      </c>
      <c r="F66" s="120">
        <f>0.000797-0.001</f>
        <v>-2.0300000000000006E-4</v>
      </c>
      <c r="G66" s="122">
        <v>1.0000969</v>
      </c>
      <c r="H66" s="119">
        <v>21.36</v>
      </c>
      <c r="I66" s="120">
        <f>0.000206-0.00001</f>
        <v>1.9599999999999999E-4</v>
      </c>
      <c r="J66" s="122">
        <f>1.0008955-0.001</f>
        <v>0.99989549999999994</v>
      </c>
      <c r="K66" s="239">
        <v>21.35</v>
      </c>
      <c r="L66" s="9">
        <f>H35/C66</f>
        <v>0.99995943653167652</v>
      </c>
      <c r="M66" s="48" t="e">
        <f t="shared" si="8"/>
        <v>#N/A</v>
      </c>
      <c r="N66" s="48" t="e">
        <f t="shared" si="9"/>
        <v>#N/A</v>
      </c>
      <c r="O66" s="28" t="e">
        <f t="shared" si="14"/>
        <v>#N/A</v>
      </c>
      <c r="P66" s="28" t="e">
        <f t="shared" si="15"/>
        <v>#N/A</v>
      </c>
      <c r="R66" s="28" t="e">
        <f t="shared" si="16"/>
        <v>#N/A</v>
      </c>
      <c r="S66" s="28">
        <f t="shared" si="13"/>
        <v>-3.5000000000000311</v>
      </c>
      <c r="U66" s="5"/>
      <c r="V66" s="6"/>
      <c r="X66" s="6"/>
      <c r="Y66" s="6"/>
    </row>
    <row r="67" spans="1:25" x14ac:dyDescent="0.25">
      <c r="A67" s="224" t="s">
        <v>1801</v>
      </c>
      <c r="B67" s="293">
        <v>3</v>
      </c>
      <c r="C67" s="118">
        <v>100</v>
      </c>
      <c r="D67" s="118" t="s">
        <v>116</v>
      </c>
      <c r="E67" s="140">
        <v>1592</v>
      </c>
      <c r="F67" s="120">
        <f>0.00754-0.010001</f>
        <v>-2.4609999999999996E-3</v>
      </c>
      <c r="G67" s="122">
        <v>1.0000342</v>
      </c>
      <c r="H67" s="119">
        <v>21.32</v>
      </c>
      <c r="I67" s="120">
        <v>2.4550000000000002E-3</v>
      </c>
      <c r="J67" s="122">
        <f>1.0000495-0.0001</f>
        <v>0.99994950000000005</v>
      </c>
      <c r="K67" s="239">
        <v>21.29</v>
      </c>
      <c r="L67" s="9">
        <f>H38/C67</f>
        <v>0.99997772121237749</v>
      </c>
      <c r="M67" s="48" t="e">
        <f t="shared" si="8"/>
        <v>#N/A</v>
      </c>
      <c r="N67" s="48" t="e">
        <f t="shared" si="9"/>
        <v>#N/A</v>
      </c>
      <c r="O67" s="28" t="e">
        <f t="shared" si="14"/>
        <v>#N/A</v>
      </c>
      <c r="P67" s="28" t="e">
        <f t="shared" si="15"/>
        <v>#N/A</v>
      </c>
      <c r="R67" s="28" t="e">
        <f t="shared" si="16"/>
        <v>#N/A</v>
      </c>
      <c r="S67" s="28">
        <f t="shared" si="13"/>
        <v>-2.9999999999997478</v>
      </c>
      <c r="U67" s="5"/>
      <c r="V67" s="6"/>
      <c r="X67" s="6"/>
      <c r="Y67" s="6"/>
    </row>
    <row r="68" spans="1:25" x14ac:dyDescent="0.25">
      <c r="A68" s="224" t="s">
        <v>2538</v>
      </c>
      <c r="B68" s="294"/>
      <c r="C68" s="118">
        <v>100</v>
      </c>
      <c r="D68" s="118" t="s">
        <v>116</v>
      </c>
      <c r="E68" s="140">
        <v>160</v>
      </c>
      <c r="F68" s="120">
        <f>0.007511-0.01</f>
        <v>-2.4889999999999999E-3</v>
      </c>
      <c r="G68" s="122">
        <v>1.0000534999999999</v>
      </c>
      <c r="H68" s="119">
        <v>21.32</v>
      </c>
      <c r="I68" s="120">
        <v>2.4819999999999998E-3</v>
      </c>
      <c r="J68" s="122">
        <f>1.0000349-0.0001</f>
        <v>0.99993489999999996</v>
      </c>
      <c r="K68" s="239">
        <v>21.29</v>
      </c>
      <c r="L68" s="9">
        <f>H38/C68</f>
        <v>0.99997772121237749</v>
      </c>
      <c r="M68" s="48" t="e">
        <f t="shared" si="8"/>
        <v>#N/A</v>
      </c>
      <c r="N68" s="48" t="e">
        <f t="shared" si="9"/>
        <v>#N/A</v>
      </c>
      <c r="O68" s="28" t="e">
        <f t="shared" si="14"/>
        <v>#N/A</v>
      </c>
      <c r="P68" s="28" t="e">
        <f t="shared" si="15"/>
        <v>#N/A</v>
      </c>
      <c r="R68" s="28" t="e">
        <f t="shared" si="16"/>
        <v>#N/A</v>
      </c>
      <c r="S68" s="28">
        <f t="shared" si="13"/>
        <v>-3.5000000000000311</v>
      </c>
      <c r="U68" s="5"/>
      <c r="V68" s="6"/>
      <c r="X68" s="6"/>
      <c r="Y68" s="6"/>
    </row>
    <row r="69" spans="1:25" x14ac:dyDescent="0.25">
      <c r="A69" s="224" t="s">
        <v>2537</v>
      </c>
      <c r="B69" s="293">
        <v>2</v>
      </c>
      <c r="C69" s="118">
        <v>10</v>
      </c>
      <c r="D69" s="118" t="s">
        <v>118</v>
      </c>
      <c r="E69" s="140">
        <v>1592</v>
      </c>
      <c r="F69" s="120">
        <f>0.000694-0.001</f>
        <v>-3.0600000000000007E-4</v>
      </c>
      <c r="G69" s="122">
        <v>1.0000461</v>
      </c>
      <c r="H69" s="119">
        <v>21.34</v>
      </c>
      <c r="I69" s="120">
        <v>3.1199999999999999E-4</v>
      </c>
      <c r="J69" s="122">
        <f>1.0000789-0.0001</f>
        <v>0.99997890000000011</v>
      </c>
      <c r="K69" s="239">
        <v>21.12</v>
      </c>
      <c r="L69" s="9">
        <f>H40/C69</f>
        <v>1.0000096917716763</v>
      </c>
      <c r="M69" s="48" t="e">
        <f t="shared" si="8"/>
        <v>#N/A</v>
      </c>
      <c r="N69" s="48" t="e">
        <f t="shared" si="9"/>
        <v>#N/A</v>
      </c>
      <c r="O69" s="28" t="e">
        <f t="shared" si="14"/>
        <v>#N/A</v>
      </c>
      <c r="P69" s="28" t="e">
        <f t="shared" si="15"/>
        <v>#N/A</v>
      </c>
      <c r="R69" s="28" t="e">
        <f t="shared" si="16"/>
        <v>#N/A</v>
      </c>
      <c r="S69" s="28">
        <f t="shared" si="13"/>
        <v>2.9999999999999645</v>
      </c>
      <c r="U69" s="5"/>
      <c r="V69" s="6"/>
      <c r="X69" s="6"/>
      <c r="Y69" s="6"/>
    </row>
    <row r="70" spans="1:25" x14ac:dyDescent="0.25">
      <c r="A70" s="224" t="s">
        <v>2536</v>
      </c>
      <c r="B70" s="294"/>
      <c r="C70" s="118">
        <v>10</v>
      </c>
      <c r="D70" s="118" t="s">
        <v>118</v>
      </c>
      <c r="E70" s="140">
        <v>160</v>
      </c>
      <c r="F70" s="120">
        <f>0.000067-0.0001</f>
        <v>-3.3000000000000003E-5</v>
      </c>
      <c r="G70" s="122">
        <v>1.0000422</v>
      </c>
      <c r="H70" s="119">
        <v>21.34</v>
      </c>
      <c r="I70" s="120">
        <v>2.8200000000000002E-4</v>
      </c>
      <c r="J70" s="122">
        <f>1.0000999-0.0001</f>
        <v>0.99999989999999994</v>
      </c>
      <c r="K70" s="239">
        <v>21.12</v>
      </c>
      <c r="L70" s="9">
        <f>H40/C70</f>
        <v>1.0000096917716763</v>
      </c>
      <c r="M70" s="48" t="e">
        <f t="shared" si="8"/>
        <v>#N/A</v>
      </c>
      <c r="N70" s="48" t="e">
        <f t="shared" si="9"/>
        <v>#N/A</v>
      </c>
      <c r="O70" s="28" t="e">
        <f t="shared" si="14"/>
        <v>#N/A</v>
      </c>
      <c r="P70" s="28" t="e">
        <f t="shared" si="15"/>
        <v>#N/A</v>
      </c>
      <c r="R70" s="28" t="e">
        <f t="shared" si="16"/>
        <v>#N/A</v>
      </c>
      <c r="S70" s="28">
        <f t="shared" si="13"/>
        <v>124.50000000000001</v>
      </c>
      <c r="U70" s="5"/>
      <c r="V70" s="6"/>
      <c r="X70" s="6"/>
      <c r="Y70" s="6"/>
    </row>
    <row r="71" spans="1:25" x14ac:dyDescent="0.25">
      <c r="A71" s="221" t="s">
        <v>2535</v>
      </c>
      <c r="B71" s="293">
        <v>1</v>
      </c>
      <c r="C71" s="118">
        <v>1</v>
      </c>
      <c r="D71" s="118" t="s">
        <v>129</v>
      </c>
      <c r="E71" s="140">
        <v>1592</v>
      </c>
      <c r="F71" s="120">
        <f>0.000985-0.001</f>
        <v>-1.5000000000000039E-5</v>
      </c>
      <c r="G71" s="122">
        <v>1.0000830000000001</v>
      </c>
      <c r="H71" s="119">
        <v>21.35</v>
      </c>
      <c r="I71" s="120">
        <v>3.9500000000000001E-4</v>
      </c>
      <c r="J71" s="122">
        <f>1.0000731-0.0001</f>
        <v>0.99997310000000006</v>
      </c>
      <c r="K71" s="239">
        <v>21.25</v>
      </c>
      <c r="L71" s="48">
        <f>H42</f>
        <v>1.0000095563733773</v>
      </c>
      <c r="M71" s="48" t="e">
        <f t="shared" si="8"/>
        <v>#N/A</v>
      </c>
      <c r="N71" s="48" t="e">
        <f t="shared" si="9"/>
        <v>#N/A</v>
      </c>
      <c r="O71" s="28" t="e">
        <f t="shared" si="14"/>
        <v>#N/A</v>
      </c>
      <c r="P71" s="28" t="e">
        <f t="shared" si="15"/>
        <v>#N/A</v>
      </c>
      <c r="R71" s="28" t="e">
        <f>1000000*(SQRT(M71*N71)-1)</f>
        <v>#N/A</v>
      </c>
      <c r="S71" s="28">
        <f t="shared" si="13"/>
        <v>189.99999999999997</v>
      </c>
      <c r="U71" s="5"/>
      <c r="V71" s="6"/>
      <c r="X71" s="6"/>
      <c r="Y71" s="6"/>
    </row>
    <row r="72" spans="1:25" x14ac:dyDescent="0.25">
      <c r="A72" s="222" t="s">
        <v>2534</v>
      </c>
      <c r="B72" s="294"/>
      <c r="C72" s="124">
        <v>1</v>
      </c>
      <c r="D72" s="124" t="s">
        <v>129</v>
      </c>
      <c r="E72" s="141">
        <v>160</v>
      </c>
      <c r="F72" s="135">
        <f>0.000019</f>
        <v>1.9000000000000001E-5</v>
      </c>
      <c r="G72" s="179">
        <v>1.0000311</v>
      </c>
      <c r="H72" s="125">
        <v>21.3</v>
      </c>
      <c r="I72" s="135">
        <v>3.5E-4</v>
      </c>
      <c r="J72" s="179">
        <f>1.000053-0.0001001</f>
        <v>0.99995290000000003</v>
      </c>
      <c r="K72" s="240">
        <v>21.26</v>
      </c>
      <c r="L72" s="48">
        <f>H42</f>
        <v>1.0000095563733773</v>
      </c>
      <c r="M72" s="48" t="e">
        <f t="shared" si="8"/>
        <v>#N/A</v>
      </c>
      <c r="N72" s="48" t="e">
        <f t="shared" si="9"/>
        <v>#N/A</v>
      </c>
      <c r="O72" s="28" t="e">
        <f t="shared" si="14"/>
        <v>#N/A</v>
      </c>
      <c r="P72" s="28" t="e">
        <f t="shared" si="15"/>
        <v>#N/A</v>
      </c>
      <c r="R72" s="28" t="e">
        <f>1000000*(SQRT(M72*N72)-1)</f>
        <v>#N/A</v>
      </c>
      <c r="S72" s="28">
        <f t="shared" si="13"/>
        <v>184.49999999999997</v>
      </c>
      <c r="U72" s="5"/>
      <c r="V72" s="6"/>
      <c r="X72" s="6"/>
      <c r="Y72" s="6"/>
    </row>
    <row r="73" spans="1:25" x14ac:dyDescent="0.25">
      <c r="A73" s="206"/>
      <c r="B73" s="206"/>
      <c r="C73" s="206"/>
      <c r="D73" s="206"/>
      <c r="E73" s="206"/>
      <c r="F73" s="206"/>
      <c r="G73" s="206"/>
      <c r="H73" s="206"/>
      <c r="I73" s="206"/>
      <c r="J73" s="206"/>
      <c r="K73" s="206"/>
    </row>
    <row r="74" spans="1:25" x14ac:dyDescent="0.25">
      <c r="K74" s="5"/>
      <c r="M74" s="35"/>
      <c r="N74" s="78" t="s">
        <v>182</v>
      </c>
      <c r="O74" s="28" t="e">
        <f>AVERAGE(O61:O72)</f>
        <v>#N/A</v>
      </c>
      <c r="P74" s="28" t="e">
        <f>AVERAGE(P61:P72)</f>
        <v>#N/A</v>
      </c>
      <c r="Q74" s="78" t="s">
        <v>182</v>
      </c>
      <c r="R74" s="28" t="e">
        <f>AVERAGE(R61:R72)</f>
        <v>#N/A</v>
      </c>
      <c r="S74" s="28">
        <f>AVERAGE(S61:S72)</f>
        <v>37.625000000000007</v>
      </c>
      <c r="T74" s="118"/>
      <c r="U74" s="118"/>
      <c r="V74" s="118"/>
    </row>
    <row r="75" spans="1:25" ht="18.25" customHeight="1" x14ac:dyDescent="0.25">
      <c r="K75" s="5"/>
      <c r="N75" s="78" t="s">
        <v>183</v>
      </c>
      <c r="O75" s="79" t="e">
        <f>STDEV(O61:O72)</f>
        <v>#N/A</v>
      </c>
      <c r="P75" s="79" t="e">
        <f>STDEV(P61:P72)</f>
        <v>#N/A</v>
      </c>
      <c r="Q75" s="78" t="s">
        <v>183</v>
      </c>
      <c r="R75" s="79" t="e">
        <f>STDEV(R61:R72)</f>
        <v>#N/A</v>
      </c>
      <c r="S75" s="79">
        <f>STDEV(S61:S72)</f>
        <v>79.325029008962403</v>
      </c>
      <c r="T75" s="118"/>
      <c r="U75" s="118"/>
      <c r="V75" s="118"/>
    </row>
    <row r="76" spans="1:25" x14ac:dyDescent="0.25">
      <c r="B76" s="205" t="s">
        <v>1805</v>
      </c>
      <c r="C76" s="206">
        <v>10.97</v>
      </c>
      <c r="N76" s="118"/>
      <c r="O76" s="118"/>
      <c r="P76" s="118"/>
      <c r="Q76" s="118"/>
      <c r="R76" s="118"/>
      <c r="S76" s="118"/>
      <c r="T76" s="118"/>
      <c r="U76" s="118"/>
      <c r="V76" s="118"/>
    </row>
    <row r="77" spans="1:25" x14ac:dyDescent="0.25">
      <c r="O77" s="234" t="e">
        <f>(O74-P74)/2</f>
        <v>#N/A</v>
      </c>
      <c r="P77" t="s">
        <v>249</v>
      </c>
    </row>
    <row r="78" spans="1:25" ht="13" x14ac:dyDescent="0.3">
      <c r="A78" s="95" t="s">
        <v>1806</v>
      </c>
      <c r="B78" s="80"/>
      <c r="C78" s="153" t="s">
        <v>188</v>
      </c>
      <c r="D78" s="154" t="s">
        <v>188</v>
      </c>
    </row>
    <row r="79" spans="1:25" x14ac:dyDescent="0.25">
      <c r="A79" s="144"/>
      <c r="C79" s="145" t="s">
        <v>189</v>
      </c>
      <c r="D79" s="146" t="s">
        <v>190</v>
      </c>
    </row>
    <row r="80" spans="1:25" ht="13" x14ac:dyDescent="0.3">
      <c r="A80" s="144" t="s">
        <v>38</v>
      </c>
      <c r="D80" s="7"/>
      <c r="N80" s="142" t="s">
        <v>1807</v>
      </c>
      <c r="O80" s="118"/>
      <c r="P80" s="118"/>
      <c r="Q80" s="118"/>
      <c r="R80" s="118"/>
      <c r="S80" s="118"/>
      <c r="T80" s="118"/>
      <c r="U80" s="118"/>
      <c r="V80" s="118"/>
      <c r="W80" s="118"/>
      <c r="X80" s="118"/>
    </row>
    <row r="81" spans="1:24" x14ac:dyDescent="0.25">
      <c r="A81" s="144"/>
      <c r="C81" t="s">
        <v>76</v>
      </c>
      <c r="D81" s="7" t="s">
        <v>76</v>
      </c>
      <c r="N81" s="118" t="s">
        <v>1817</v>
      </c>
      <c r="O81" s="118"/>
      <c r="P81" s="118"/>
      <c r="Q81" s="118"/>
      <c r="R81" s="118"/>
      <c r="S81" s="118"/>
      <c r="T81" s="118"/>
      <c r="U81" s="118"/>
      <c r="V81" s="118"/>
      <c r="W81" s="118"/>
      <c r="X81" s="118"/>
    </row>
    <row r="82" spans="1:24" ht="13" x14ac:dyDescent="0.3">
      <c r="A82" s="144" t="s">
        <v>66</v>
      </c>
      <c r="C82" s="6">
        <f>Corrections!D26+test_c</f>
        <v>225.53672477382364</v>
      </c>
      <c r="D82" s="147">
        <f>Corrections!E26+test_c</f>
        <v>70.754837386556162</v>
      </c>
      <c r="N82" s="236" t="s">
        <v>1824</v>
      </c>
      <c r="O82" s="158"/>
      <c r="P82" s="158"/>
      <c r="Q82" s="158"/>
      <c r="R82" s="158"/>
      <c r="S82" s="158"/>
      <c r="T82" s="158"/>
      <c r="U82" s="158"/>
      <c r="V82" s="158"/>
      <c r="W82" s="158"/>
      <c r="X82" s="158"/>
    </row>
    <row r="83" spans="1:24" x14ac:dyDescent="0.25">
      <c r="A83" s="144" t="s">
        <v>44</v>
      </c>
      <c r="C83" s="6">
        <f>Corrections!D27+test_c</f>
        <v>225.53672477382364</v>
      </c>
      <c r="D83" s="147">
        <f>Corrections!E27+test_c</f>
        <v>70.754837386556162</v>
      </c>
      <c r="N83" s="118" t="s">
        <v>1818</v>
      </c>
      <c r="O83" s="118"/>
      <c r="P83" s="118"/>
      <c r="Q83" s="118"/>
      <c r="R83" s="118"/>
      <c r="S83" s="118"/>
      <c r="T83" s="118"/>
      <c r="U83" s="118"/>
      <c r="V83" s="118"/>
      <c r="W83" s="118"/>
      <c r="X83" s="118"/>
    </row>
    <row r="84" spans="1:24" x14ac:dyDescent="0.25">
      <c r="A84" s="144" t="s">
        <v>43</v>
      </c>
      <c r="C84" s="6">
        <f>Corrections!D28+test_c</f>
        <v>225.53672477382364</v>
      </c>
      <c r="D84" s="147">
        <f>Corrections!E28+test_c</f>
        <v>70.754837386556162</v>
      </c>
      <c r="N84" s="118" t="s">
        <v>1819</v>
      </c>
      <c r="O84" s="118"/>
      <c r="P84" s="118"/>
      <c r="Q84" s="118"/>
      <c r="R84" s="118"/>
      <c r="S84" s="118"/>
      <c r="T84" s="118"/>
      <c r="U84" s="118"/>
      <c r="V84" s="118"/>
      <c r="W84" s="118"/>
      <c r="X84" s="118"/>
    </row>
    <row r="85" spans="1:24" x14ac:dyDescent="0.25">
      <c r="A85" s="144" t="s">
        <v>42</v>
      </c>
      <c r="C85" s="6">
        <f>Corrections!D29+test_c</f>
        <v>225.53672477382364</v>
      </c>
      <c r="D85" s="147">
        <f>Corrections!E29+test_c</f>
        <v>70.754837386556162</v>
      </c>
      <c r="N85" s="118" t="s">
        <v>1820</v>
      </c>
      <c r="O85" s="118"/>
      <c r="P85" s="118"/>
      <c r="Q85" s="118"/>
      <c r="R85" s="118"/>
      <c r="S85" s="118"/>
      <c r="T85" s="118"/>
      <c r="U85" s="118"/>
      <c r="V85" s="118"/>
      <c r="W85" s="118"/>
      <c r="X85" s="118"/>
    </row>
    <row r="86" spans="1:24" x14ac:dyDescent="0.25">
      <c r="A86" s="144" t="s">
        <v>41</v>
      </c>
      <c r="C86" s="6">
        <f>Corrections!D30+test_c</f>
        <v>225.53672477382364</v>
      </c>
      <c r="D86" s="147">
        <f>Corrections!E30+test_c</f>
        <v>70.754837386556162</v>
      </c>
      <c r="N86" s="118" t="s">
        <v>1822</v>
      </c>
      <c r="O86" s="118"/>
      <c r="P86" s="118"/>
      <c r="Q86" s="118"/>
      <c r="R86" s="118"/>
      <c r="S86" s="118"/>
      <c r="T86" s="118"/>
      <c r="U86" s="118"/>
      <c r="V86" s="118"/>
      <c r="W86" s="118"/>
      <c r="X86" s="118"/>
    </row>
    <row r="87" spans="1:24" ht="13" x14ac:dyDescent="0.3">
      <c r="A87" s="144" t="s">
        <v>40</v>
      </c>
      <c r="C87" s="6">
        <f>Corrections!D31+test_c</f>
        <v>166.23124977460751</v>
      </c>
      <c r="D87" s="147">
        <f>Corrections!E31+test_c</f>
        <v>11.449362387340033</v>
      </c>
      <c r="N87" s="235" t="s">
        <v>1823</v>
      </c>
      <c r="O87" s="158"/>
      <c r="P87" s="158"/>
      <c r="Q87" s="158"/>
      <c r="R87" s="158"/>
      <c r="S87" s="158"/>
      <c r="T87" s="158"/>
      <c r="U87" s="158"/>
      <c r="V87" s="158"/>
      <c r="W87" s="158"/>
      <c r="X87" s="158"/>
    </row>
    <row r="88" spans="1:24" x14ac:dyDescent="0.25">
      <c r="A88" s="144" t="s">
        <v>39</v>
      </c>
      <c r="C88" s="6">
        <f>Corrections!D32+test_c</f>
        <v>245.27072478369811</v>
      </c>
      <c r="D88" s="147">
        <f>Corrections!E32+test_c</f>
        <v>90.488837396430625</v>
      </c>
    </row>
    <row r="89" spans="1:24" ht="13" x14ac:dyDescent="0.3">
      <c r="A89" s="144" t="s">
        <v>54</v>
      </c>
      <c r="C89" s="6">
        <f>Corrections!D33-test_c</f>
        <v>96.043830000890466</v>
      </c>
      <c r="D89" s="147">
        <f>Corrections!E33-test_c</f>
        <v>-58.738057386377015</v>
      </c>
      <c r="N89" s="142" t="s">
        <v>248</v>
      </c>
      <c r="O89" s="118"/>
      <c r="P89" s="118"/>
      <c r="Q89" s="118"/>
      <c r="R89" s="118"/>
      <c r="S89" s="118"/>
      <c r="T89" s="118"/>
      <c r="U89" s="118"/>
      <c r="V89" s="118"/>
    </row>
    <row r="90" spans="1:24" x14ac:dyDescent="0.25">
      <c r="A90" s="144" t="s">
        <v>53</v>
      </c>
      <c r="C90" s="6">
        <f>Corrections!D34-test_c</f>
        <v>96.043830000890466</v>
      </c>
      <c r="D90" s="147">
        <f>Corrections!E34-test_c</f>
        <v>-58.738057386377015</v>
      </c>
      <c r="N90" s="118" t="s">
        <v>191</v>
      </c>
      <c r="O90" s="118"/>
      <c r="P90" s="118"/>
      <c r="Q90" s="118"/>
      <c r="R90" s="118"/>
      <c r="S90" s="118"/>
      <c r="T90" s="118"/>
      <c r="U90" s="118"/>
      <c r="V90" s="118"/>
    </row>
    <row r="91" spans="1:24" x14ac:dyDescent="0.25">
      <c r="A91" s="144" t="s">
        <v>52</v>
      </c>
      <c r="C91" s="6">
        <f>Corrections!D35-test_c</f>
        <v>96.043830000890466</v>
      </c>
      <c r="D91" s="147">
        <f>Corrections!E35-test_c</f>
        <v>-58.738057386377015</v>
      </c>
      <c r="N91" s="118" t="s">
        <v>218</v>
      </c>
      <c r="O91" s="118"/>
      <c r="P91" s="118"/>
      <c r="Q91" s="118"/>
      <c r="R91" s="118"/>
      <c r="S91" s="118"/>
      <c r="T91" s="118"/>
      <c r="U91" s="118"/>
      <c r="V91" s="118"/>
    </row>
    <row r="92" spans="1:24" x14ac:dyDescent="0.25">
      <c r="A92" s="144" t="s">
        <v>51</v>
      </c>
      <c r="C92" s="6">
        <f>Corrections!D36-test_c</f>
        <v>96.043830000890466</v>
      </c>
      <c r="D92" s="147">
        <f>Corrections!E36-test_c</f>
        <v>-58.738057386377015</v>
      </c>
      <c r="N92" s="158" t="s">
        <v>257</v>
      </c>
      <c r="O92" s="158"/>
      <c r="P92" s="158"/>
      <c r="Q92" s="158"/>
      <c r="R92" s="158"/>
      <c r="S92" s="158"/>
      <c r="T92" s="158"/>
      <c r="U92" s="158"/>
      <c r="V92" s="158"/>
    </row>
    <row r="93" spans="1:24" x14ac:dyDescent="0.25">
      <c r="A93" s="144" t="s">
        <v>50</v>
      </c>
      <c r="C93" s="6">
        <f>Corrections!D37-test_c</f>
        <v>96.043830000890466</v>
      </c>
      <c r="D93" s="147">
        <f>Corrections!E37-test_c</f>
        <v>-58.738057386377015</v>
      </c>
      <c r="N93" s="118" t="s">
        <v>192</v>
      </c>
      <c r="O93" s="118"/>
      <c r="P93" s="118"/>
      <c r="Q93" s="118"/>
      <c r="R93" s="118"/>
      <c r="S93" s="118"/>
      <c r="T93" s="118"/>
      <c r="U93" s="118"/>
      <c r="V93" s="118"/>
    </row>
    <row r="94" spans="1:24" x14ac:dyDescent="0.25">
      <c r="A94" s="144" t="s">
        <v>49</v>
      </c>
      <c r="C94" s="6">
        <f>Corrections!D38-test_c</f>
        <v>155.3493050001066</v>
      </c>
      <c r="D94" s="147">
        <f>Corrections!E38-test_c</f>
        <v>0.56741761283910641</v>
      </c>
      <c r="N94" s="118" t="s">
        <v>210</v>
      </c>
      <c r="O94" s="118"/>
      <c r="P94" s="118"/>
      <c r="Q94" s="118"/>
      <c r="R94" s="118"/>
      <c r="S94" s="118"/>
      <c r="T94" s="118"/>
      <c r="U94" s="118"/>
      <c r="V94" s="118"/>
    </row>
    <row r="95" spans="1:24" x14ac:dyDescent="0.25">
      <c r="A95" s="148" t="s">
        <v>48</v>
      </c>
      <c r="B95" s="149"/>
      <c r="C95" s="150">
        <f>Corrections!D39-test_c</f>
        <v>76.309829991016016</v>
      </c>
      <c r="D95" s="151">
        <f>Corrections!E39-test_c</f>
        <v>-78.472057396251472</v>
      </c>
      <c r="N95" s="118" t="s">
        <v>211</v>
      </c>
      <c r="O95" s="118"/>
      <c r="P95" s="118"/>
      <c r="Q95" s="118"/>
      <c r="R95" s="118"/>
      <c r="S95" s="118"/>
      <c r="T95" s="118"/>
      <c r="U95" s="118"/>
      <c r="V95" s="118"/>
    </row>
    <row r="96" spans="1:24" ht="13" x14ac:dyDescent="0.3">
      <c r="N96" s="158" t="s">
        <v>258</v>
      </c>
      <c r="O96" s="158"/>
      <c r="P96" s="158"/>
      <c r="Q96" s="158"/>
      <c r="R96" s="158"/>
      <c r="S96" s="158"/>
      <c r="T96" s="158"/>
      <c r="U96" s="158"/>
      <c r="V96" s="158"/>
    </row>
    <row r="97" spans="14:22" x14ac:dyDescent="0.25">
      <c r="N97" s="118" t="s">
        <v>219</v>
      </c>
      <c r="O97" s="118"/>
      <c r="P97" s="118"/>
      <c r="Q97" s="118"/>
      <c r="R97" s="118"/>
      <c r="S97" s="118"/>
      <c r="T97" s="118"/>
      <c r="U97" s="118"/>
      <c r="V97" s="118"/>
    </row>
    <row r="98" spans="14:22" x14ac:dyDescent="0.25">
      <c r="N98" s="158" t="s">
        <v>221</v>
      </c>
      <c r="O98" s="158"/>
      <c r="P98" s="158"/>
      <c r="Q98" s="158"/>
      <c r="R98" s="159">
        <v>17.5</v>
      </c>
      <c r="S98" s="158"/>
      <c r="T98" s="158"/>
      <c r="U98" s="158"/>
      <c r="V98" s="158"/>
    </row>
    <row r="99" spans="14:22" ht="13" x14ac:dyDescent="0.3">
      <c r="N99" s="158" t="s">
        <v>260</v>
      </c>
      <c r="O99" s="158"/>
      <c r="P99" s="158"/>
      <c r="Q99" s="158"/>
      <c r="R99" s="158"/>
      <c r="S99" s="158"/>
      <c r="T99" s="158"/>
      <c r="U99" s="158"/>
      <c r="V99" s="158"/>
    </row>
    <row r="101" spans="14:22" ht="13" x14ac:dyDescent="0.3">
      <c r="N101" s="142" t="s">
        <v>230</v>
      </c>
      <c r="O101" s="118"/>
      <c r="P101" s="118"/>
      <c r="Q101" s="118"/>
      <c r="R101" s="118"/>
      <c r="S101" s="118"/>
      <c r="T101" s="118"/>
      <c r="U101" s="118"/>
      <c r="V101" s="118"/>
    </row>
    <row r="102" spans="14:22" x14ac:dyDescent="0.25">
      <c r="N102" s="118" t="s">
        <v>191</v>
      </c>
      <c r="O102" s="118"/>
      <c r="P102" s="118"/>
      <c r="Q102" s="118"/>
      <c r="R102" s="118"/>
      <c r="S102" s="118"/>
      <c r="T102" s="118"/>
      <c r="U102" s="118"/>
      <c r="V102" s="118"/>
    </row>
    <row r="103" spans="14:22" x14ac:dyDescent="0.25">
      <c r="N103" s="118" t="s">
        <v>218</v>
      </c>
      <c r="O103" s="118"/>
      <c r="P103" s="118"/>
      <c r="Q103" s="118"/>
      <c r="R103" s="118"/>
      <c r="S103" s="118"/>
      <c r="T103" s="118"/>
      <c r="U103" s="118"/>
      <c r="V103" s="118"/>
    </row>
    <row r="104" spans="14:22" x14ac:dyDescent="0.25">
      <c r="N104" s="158" t="s">
        <v>231</v>
      </c>
      <c r="O104" s="158"/>
      <c r="P104" s="158"/>
      <c r="Q104" s="158"/>
      <c r="R104" s="158"/>
      <c r="S104" s="158"/>
      <c r="T104" s="158"/>
      <c r="U104" s="158"/>
      <c r="V104" s="158"/>
    </row>
    <row r="105" spans="14:22" x14ac:dyDescent="0.25">
      <c r="N105" s="118" t="s">
        <v>192</v>
      </c>
      <c r="O105" s="118"/>
      <c r="P105" s="118"/>
      <c r="Q105" s="118"/>
      <c r="R105" s="118"/>
      <c r="S105" s="118"/>
      <c r="T105" s="118"/>
      <c r="U105" s="118"/>
      <c r="V105" s="118"/>
    </row>
    <row r="106" spans="14:22" x14ac:dyDescent="0.25">
      <c r="N106" s="118" t="s">
        <v>210</v>
      </c>
      <c r="O106" s="118"/>
      <c r="P106" s="118"/>
      <c r="Q106" s="118"/>
      <c r="R106" s="118"/>
      <c r="S106" s="118"/>
      <c r="T106" s="118"/>
      <c r="U106" s="118"/>
      <c r="V106" s="118"/>
    </row>
    <row r="107" spans="14:22" x14ac:dyDescent="0.25">
      <c r="N107" s="118" t="s">
        <v>211</v>
      </c>
      <c r="O107" s="118"/>
      <c r="P107" s="118"/>
      <c r="Q107" s="118"/>
      <c r="R107" s="118"/>
      <c r="S107" s="118"/>
      <c r="T107" s="118"/>
      <c r="U107" s="118"/>
      <c r="V107" s="118"/>
    </row>
    <row r="108" spans="14:22" ht="13" x14ac:dyDescent="0.3">
      <c r="N108" s="158" t="s">
        <v>232</v>
      </c>
      <c r="O108" s="158"/>
      <c r="P108" s="158"/>
      <c r="Q108" s="158"/>
      <c r="R108" s="158"/>
      <c r="S108" s="158"/>
      <c r="T108" s="158"/>
      <c r="U108" s="158"/>
      <c r="V108" s="158"/>
    </row>
    <row r="109" spans="14:22" x14ac:dyDescent="0.25">
      <c r="N109" s="118" t="s">
        <v>219</v>
      </c>
      <c r="O109" s="118"/>
      <c r="P109" s="118"/>
      <c r="Q109" s="118"/>
      <c r="R109" s="118"/>
      <c r="S109" s="118"/>
      <c r="T109" s="118"/>
      <c r="U109" s="118"/>
      <c r="V109" s="118"/>
    </row>
    <row r="110" spans="14:22" x14ac:dyDescent="0.25">
      <c r="N110" s="158" t="s">
        <v>221</v>
      </c>
      <c r="O110" s="158"/>
      <c r="P110" s="158"/>
      <c r="Q110" s="158"/>
      <c r="R110" s="159">
        <f>SQRT(SUMSQ(2.1,13.8))</f>
        <v>13.95886814895821</v>
      </c>
      <c r="S110" s="158"/>
      <c r="T110" s="158"/>
      <c r="U110" s="158"/>
      <c r="V110" s="158"/>
    </row>
    <row r="111" spans="14:22" ht="13" x14ac:dyDescent="0.3">
      <c r="N111" s="158" t="s">
        <v>235</v>
      </c>
      <c r="O111" s="158"/>
      <c r="P111" s="158"/>
      <c r="Q111" s="158"/>
      <c r="R111" s="158"/>
      <c r="S111" s="158"/>
      <c r="T111" s="158"/>
      <c r="U111" s="158"/>
      <c r="V111" s="158"/>
    </row>
    <row r="112" spans="14:22" x14ac:dyDescent="0.25">
      <c r="N112" s="118"/>
      <c r="O112" s="118"/>
      <c r="P112" s="118"/>
      <c r="Q112" s="118"/>
      <c r="R112" s="118"/>
      <c r="S112" s="118"/>
      <c r="T112" s="118"/>
      <c r="U112" s="118"/>
      <c r="V112" s="118"/>
    </row>
    <row r="113" spans="14:22" ht="13" x14ac:dyDescent="0.3">
      <c r="N113" s="142" t="s">
        <v>229</v>
      </c>
      <c r="O113" s="118"/>
      <c r="P113" s="118"/>
      <c r="Q113" s="118"/>
      <c r="R113" s="118"/>
      <c r="S113" s="118"/>
      <c r="T113" s="118"/>
      <c r="U113" s="118"/>
      <c r="V113" s="118"/>
    </row>
    <row r="114" spans="14:22" x14ac:dyDescent="0.25">
      <c r="N114" s="118" t="s">
        <v>191</v>
      </c>
      <c r="O114" s="118"/>
      <c r="P114" s="118"/>
      <c r="Q114" s="118"/>
      <c r="R114" s="118"/>
      <c r="S114" s="118"/>
      <c r="T114" s="118"/>
      <c r="U114" s="118"/>
      <c r="V114" s="118"/>
    </row>
    <row r="115" spans="14:22" x14ac:dyDescent="0.25">
      <c r="N115" s="118" t="s">
        <v>218</v>
      </c>
      <c r="O115" s="118"/>
      <c r="P115" s="118"/>
      <c r="Q115" s="118"/>
      <c r="R115" s="118"/>
      <c r="S115" s="118"/>
      <c r="T115" s="118"/>
      <c r="U115" s="118"/>
      <c r="V115" s="118"/>
    </row>
    <row r="116" spans="14:22" x14ac:dyDescent="0.25">
      <c r="N116" s="118" t="s">
        <v>225</v>
      </c>
      <c r="O116" s="118"/>
      <c r="P116" s="118"/>
      <c r="Q116" s="118"/>
      <c r="R116" s="118"/>
      <c r="S116" s="118"/>
      <c r="T116" s="118"/>
      <c r="U116" s="118"/>
      <c r="V116" s="118"/>
    </row>
    <row r="117" spans="14:22" x14ac:dyDescent="0.25">
      <c r="N117" s="118" t="s">
        <v>192</v>
      </c>
      <c r="O117" s="118"/>
      <c r="P117" s="118"/>
      <c r="Q117" s="118"/>
      <c r="R117" s="118"/>
      <c r="S117" s="118"/>
      <c r="T117" s="118"/>
      <c r="U117" s="118"/>
      <c r="V117" s="118"/>
    </row>
    <row r="118" spans="14:22" x14ac:dyDescent="0.25">
      <c r="N118" s="118" t="s">
        <v>210</v>
      </c>
      <c r="O118" s="118"/>
      <c r="P118" s="118"/>
      <c r="Q118" s="118"/>
      <c r="R118" s="118"/>
      <c r="S118" s="118"/>
      <c r="T118" s="118"/>
      <c r="U118" s="118"/>
      <c r="V118" s="118"/>
    </row>
    <row r="119" spans="14:22" x14ac:dyDescent="0.25">
      <c r="N119" s="118" t="s">
        <v>211</v>
      </c>
      <c r="O119" s="118"/>
      <c r="P119" s="118"/>
      <c r="Q119" s="118"/>
      <c r="R119" s="118"/>
      <c r="S119" s="118"/>
      <c r="T119" s="118"/>
      <c r="U119" s="118"/>
      <c r="V119" s="118"/>
    </row>
    <row r="120" spans="14:22" ht="13" x14ac:dyDescent="0.3">
      <c r="N120" s="118" t="s">
        <v>224</v>
      </c>
      <c r="O120" s="118"/>
      <c r="P120" s="118"/>
      <c r="Q120" s="118"/>
      <c r="R120" s="118"/>
      <c r="S120" s="118"/>
      <c r="T120" s="118"/>
      <c r="U120" s="118"/>
      <c r="V120" s="118"/>
    </row>
    <row r="121" spans="14:22" x14ac:dyDescent="0.25">
      <c r="N121" s="118" t="s">
        <v>219</v>
      </c>
      <c r="O121" s="118"/>
      <c r="P121" s="118"/>
      <c r="Q121" s="118"/>
      <c r="R121" s="118"/>
      <c r="S121" s="118"/>
      <c r="T121" s="118"/>
      <c r="U121" s="118"/>
      <c r="V121" s="118"/>
    </row>
    <row r="122" spans="14:22" x14ac:dyDescent="0.25">
      <c r="N122" s="118" t="s">
        <v>221</v>
      </c>
      <c r="O122" s="118"/>
      <c r="P122" s="118"/>
      <c r="Q122" s="118"/>
      <c r="R122" s="143">
        <f>SQRT(SUMSQ(1.8,6))</f>
        <v>6.2641839053463304</v>
      </c>
      <c r="S122" s="118"/>
      <c r="T122" s="118"/>
      <c r="U122" s="118"/>
      <c r="V122" s="118"/>
    </row>
    <row r="123" spans="14:22" ht="13" x14ac:dyDescent="0.3">
      <c r="N123" s="118" t="s">
        <v>220</v>
      </c>
      <c r="O123" s="118"/>
      <c r="P123" s="118"/>
      <c r="Q123" s="118"/>
      <c r="R123" s="118"/>
      <c r="S123" s="118"/>
      <c r="T123" s="118"/>
      <c r="U123" s="118"/>
      <c r="V123" s="118"/>
    </row>
  </sheetData>
  <mergeCells count="9">
    <mergeCell ref="B67:B68"/>
    <mergeCell ref="B69:B70"/>
    <mergeCell ref="B71:B72"/>
    <mergeCell ref="F57:G57"/>
    <mergeCell ref="I57:J57"/>
    <mergeCell ref="B59:B60"/>
    <mergeCell ref="B61:B62"/>
    <mergeCell ref="B63:B64"/>
    <mergeCell ref="B65:B66"/>
  </mergeCells>
  <phoneticPr fontId="12" type="noConversion"/>
  <pageMargins left="0.74803149606299213" right="0.74803149606299213" top="0.98425196850393704" bottom="0.98425196850393704" header="0.51181102362204722" footer="0.51181102362204722"/>
  <pageSetup paperSize="8" fitToHeight="0" orientation="landscape" r:id="rId1"/>
  <headerFooter alignWithMargins="0"/>
  <ignoredErrors>
    <ignoredError sqref="B12" unlockedFormula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D2392"/>
  <sheetViews>
    <sheetView topLeftCell="A2353" workbookViewId="0">
      <selection activeCell="B2378" sqref="B2378"/>
    </sheetView>
  </sheetViews>
  <sheetFormatPr defaultRowHeight="12.5" x14ac:dyDescent="0.25"/>
  <cols>
    <col min="1" max="1" width="60.1796875" customWidth="1"/>
    <col min="2" max="2" width="42.453125" bestFit="1" customWidth="1"/>
  </cols>
  <sheetData>
    <row r="1" spans="1:3" ht="17.5" x14ac:dyDescent="0.25">
      <c r="A1" s="201" t="s">
        <v>278</v>
      </c>
    </row>
    <row r="2" spans="1:3" ht="49.5" customHeight="1" x14ac:dyDescent="0.25">
      <c r="A2" s="212" t="s">
        <v>279</v>
      </c>
      <c r="B2" s="270" t="s">
        <v>2379</v>
      </c>
    </row>
    <row r="3" spans="1:3" ht="17.5" x14ac:dyDescent="0.25">
      <c r="A3" s="201" t="s">
        <v>280</v>
      </c>
    </row>
    <row r="4" spans="1:3" ht="14.5" x14ac:dyDescent="0.25">
      <c r="A4" s="202" t="s">
        <v>281</v>
      </c>
    </row>
    <row r="5" spans="1:3" ht="14.5" x14ac:dyDescent="0.25">
      <c r="A5" s="202" t="s">
        <v>282</v>
      </c>
    </row>
    <row r="6" spans="1:3" ht="14.5" x14ac:dyDescent="0.25">
      <c r="A6" s="202" t="s">
        <v>283</v>
      </c>
    </row>
    <row r="7" spans="1:3" ht="14.5" x14ac:dyDescent="0.25">
      <c r="A7" s="202" t="s">
        <v>284</v>
      </c>
    </row>
    <row r="8" spans="1:3" ht="14.5" x14ac:dyDescent="0.25">
      <c r="A8" s="202" t="s">
        <v>285</v>
      </c>
    </row>
    <row r="9" spans="1:3" ht="14.5" x14ac:dyDescent="0.25">
      <c r="A9" s="202" t="s">
        <v>286</v>
      </c>
    </row>
    <row r="10" spans="1:3" ht="14.5" x14ac:dyDescent="0.25">
      <c r="A10" s="202" t="s">
        <v>287</v>
      </c>
      <c r="C10" s="205" t="s">
        <v>1112</v>
      </c>
    </row>
    <row r="11" spans="1:3" ht="14.5" x14ac:dyDescent="0.25">
      <c r="A11" s="202" t="s">
        <v>288</v>
      </c>
    </row>
    <row r="12" spans="1:3" ht="14.5" x14ac:dyDescent="0.25">
      <c r="A12" s="202" t="s">
        <v>289</v>
      </c>
    </row>
    <row r="13" spans="1:3" ht="14.5" x14ac:dyDescent="0.25">
      <c r="A13" s="202" t="s">
        <v>290</v>
      </c>
    </row>
    <row r="14" spans="1:3" ht="14.5" x14ac:dyDescent="0.25">
      <c r="A14" s="202" t="s">
        <v>291</v>
      </c>
    </row>
    <row r="15" spans="1:3" ht="14.5" x14ac:dyDescent="0.25">
      <c r="A15" s="202" t="s">
        <v>292</v>
      </c>
    </row>
    <row r="16" spans="1:3" ht="17.5" x14ac:dyDescent="0.25">
      <c r="A16" s="201" t="s">
        <v>293</v>
      </c>
    </row>
    <row r="17" spans="1:1" ht="14.5" x14ac:dyDescent="0.25">
      <c r="A17" s="202" t="s">
        <v>294</v>
      </c>
    </row>
    <row r="18" spans="1:1" ht="14.5" hidden="1" x14ac:dyDescent="0.25">
      <c r="A18" s="202" t="s">
        <v>295</v>
      </c>
    </row>
    <row r="19" spans="1:1" ht="14.5" hidden="1" x14ac:dyDescent="0.25">
      <c r="A19" s="202" t="s">
        <v>296</v>
      </c>
    </row>
    <row r="20" spans="1:1" ht="14.5" hidden="1" x14ac:dyDescent="0.25">
      <c r="A20" s="202" t="s">
        <v>283</v>
      </c>
    </row>
    <row r="21" spans="1:1" ht="14.5" x14ac:dyDescent="0.25">
      <c r="A21" s="202" t="s">
        <v>297</v>
      </c>
    </row>
    <row r="22" spans="1:1" ht="14.5" x14ac:dyDescent="0.25">
      <c r="A22" s="202" t="s">
        <v>298</v>
      </c>
    </row>
    <row r="23" spans="1:1" ht="14.5" x14ac:dyDescent="0.25">
      <c r="A23" s="202" t="s">
        <v>299</v>
      </c>
    </row>
    <row r="24" spans="1:1" ht="14.5" hidden="1" x14ac:dyDescent="0.25">
      <c r="A24" s="202" t="s">
        <v>300</v>
      </c>
    </row>
    <row r="25" spans="1:1" ht="14.5" hidden="1" x14ac:dyDescent="0.25">
      <c r="A25" s="202" t="s">
        <v>301</v>
      </c>
    </row>
    <row r="26" spans="1:1" ht="14.5" hidden="1" x14ac:dyDescent="0.25">
      <c r="A26" s="202" t="s">
        <v>302</v>
      </c>
    </row>
    <row r="27" spans="1:1" ht="14.5" hidden="1" x14ac:dyDescent="0.25">
      <c r="A27" s="202" t="s">
        <v>303</v>
      </c>
    </row>
    <row r="28" spans="1:1" ht="14.5" hidden="1" x14ac:dyDescent="0.25">
      <c r="A28" s="202" t="s">
        <v>304</v>
      </c>
    </row>
    <row r="29" spans="1:1" ht="14.5" hidden="1" x14ac:dyDescent="0.25">
      <c r="A29" s="202" t="s">
        <v>305</v>
      </c>
    </row>
    <row r="30" spans="1:1" ht="14.5" hidden="1" x14ac:dyDescent="0.25">
      <c r="A30" s="202" t="s">
        <v>306</v>
      </c>
    </row>
    <row r="31" spans="1:1" ht="14.5" hidden="1" x14ac:dyDescent="0.25">
      <c r="A31" s="202" t="s">
        <v>307</v>
      </c>
    </row>
    <row r="32" spans="1:1" ht="14.5" hidden="1" x14ac:dyDescent="0.25">
      <c r="A32" s="202" t="s">
        <v>308</v>
      </c>
    </row>
    <row r="33" spans="1:1" ht="14.5" hidden="1" x14ac:dyDescent="0.25">
      <c r="A33" s="202" t="s">
        <v>309</v>
      </c>
    </row>
    <row r="34" spans="1:1" ht="14.5" hidden="1" x14ac:dyDescent="0.25">
      <c r="A34" s="202" t="s">
        <v>310</v>
      </c>
    </row>
    <row r="35" spans="1:1" ht="14.5" hidden="1" x14ac:dyDescent="0.25">
      <c r="A35" s="202" t="s">
        <v>311</v>
      </c>
    </row>
    <row r="36" spans="1:1" ht="14.5" hidden="1" x14ac:dyDescent="0.25">
      <c r="A36" s="202" t="s">
        <v>312</v>
      </c>
    </row>
    <row r="37" spans="1:1" ht="14.5" hidden="1" x14ac:dyDescent="0.25">
      <c r="A37" s="202" t="s">
        <v>313</v>
      </c>
    </row>
    <row r="38" spans="1:1" ht="14.5" hidden="1" x14ac:dyDescent="0.25">
      <c r="A38" s="202" t="s">
        <v>314</v>
      </c>
    </row>
    <row r="39" spans="1:1" ht="14.5" hidden="1" x14ac:dyDescent="0.25">
      <c r="A39" s="202" t="s">
        <v>315</v>
      </c>
    </row>
    <row r="40" spans="1:1" ht="14.5" hidden="1" x14ac:dyDescent="0.25">
      <c r="A40" s="202" t="s">
        <v>316</v>
      </c>
    </row>
    <row r="41" spans="1:1" ht="14.5" hidden="1" x14ac:dyDescent="0.25">
      <c r="A41" s="202" t="s">
        <v>317</v>
      </c>
    </row>
    <row r="42" spans="1:1" ht="14.5" hidden="1" x14ac:dyDescent="0.25">
      <c r="A42" s="202" t="s">
        <v>318</v>
      </c>
    </row>
    <row r="43" spans="1:1" ht="14.5" hidden="1" x14ac:dyDescent="0.25">
      <c r="A43" s="202" t="s">
        <v>319</v>
      </c>
    </row>
    <row r="44" spans="1:1" ht="14.5" hidden="1" x14ac:dyDescent="0.25">
      <c r="A44" s="202" t="s">
        <v>320</v>
      </c>
    </row>
    <row r="45" spans="1:1" ht="14.5" x14ac:dyDescent="0.25">
      <c r="A45" s="202" t="s">
        <v>321</v>
      </c>
    </row>
    <row r="46" spans="1:1" ht="14.5" x14ac:dyDescent="0.25">
      <c r="A46" s="202" t="s">
        <v>322</v>
      </c>
    </row>
    <row r="47" spans="1:1" ht="14.5" x14ac:dyDescent="0.25">
      <c r="A47" s="202">
        <v>9968.8513579499995</v>
      </c>
    </row>
    <row r="48" spans="1:1" ht="14.5" x14ac:dyDescent="0.25">
      <c r="A48" s="202">
        <v>1.6852976771000001E-3</v>
      </c>
    </row>
    <row r="49" spans="1:1" ht="14.5" x14ac:dyDescent="0.25">
      <c r="A49" s="202" t="s">
        <v>292</v>
      </c>
    </row>
    <row r="50" spans="1:1" ht="14.5" x14ac:dyDescent="0.25">
      <c r="A50" s="202"/>
    </row>
    <row r="51" spans="1:1" ht="14.5" hidden="1" x14ac:dyDescent="0.25">
      <c r="A51" s="202" t="s">
        <v>295</v>
      </c>
    </row>
    <row r="52" spans="1:1" ht="14.5" hidden="1" x14ac:dyDescent="0.25">
      <c r="A52" s="202" t="s">
        <v>296</v>
      </c>
    </row>
    <row r="53" spans="1:1" ht="14.5" hidden="1" x14ac:dyDescent="0.25">
      <c r="A53" s="202" t="s">
        <v>283</v>
      </c>
    </row>
    <row r="54" spans="1:1" ht="14.5" x14ac:dyDescent="0.25">
      <c r="A54" s="202" t="s">
        <v>297</v>
      </c>
    </row>
    <row r="55" spans="1:1" ht="14.5" x14ac:dyDescent="0.25">
      <c r="A55" s="202" t="s">
        <v>298</v>
      </c>
    </row>
    <row r="56" spans="1:1" ht="14.5" x14ac:dyDescent="0.25">
      <c r="A56" s="202" t="s">
        <v>323</v>
      </c>
    </row>
    <row r="57" spans="1:1" ht="14.5" hidden="1" x14ac:dyDescent="0.25">
      <c r="A57" s="202" t="s">
        <v>324</v>
      </c>
    </row>
    <row r="58" spans="1:1" ht="14.5" hidden="1" x14ac:dyDescent="0.25">
      <c r="A58" s="202" t="s">
        <v>325</v>
      </c>
    </row>
    <row r="59" spans="1:1" ht="14.5" hidden="1" x14ac:dyDescent="0.25">
      <c r="A59" s="202" t="s">
        <v>326</v>
      </c>
    </row>
    <row r="60" spans="1:1" ht="14.5" hidden="1" x14ac:dyDescent="0.25">
      <c r="A60" s="202" t="s">
        <v>327</v>
      </c>
    </row>
    <row r="61" spans="1:1" ht="14.5" hidden="1" x14ac:dyDescent="0.25">
      <c r="A61" s="202" t="s">
        <v>328</v>
      </c>
    </row>
    <row r="62" spans="1:1" ht="14.5" hidden="1" x14ac:dyDescent="0.25">
      <c r="A62" s="202" t="s">
        <v>329</v>
      </c>
    </row>
    <row r="63" spans="1:1" ht="14.5" hidden="1" x14ac:dyDescent="0.25">
      <c r="A63" s="202" t="s">
        <v>330</v>
      </c>
    </row>
    <row r="64" spans="1:1" ht="14.5" hidden="1" x14ac:dyDescent="0.25">
      <c r="A64" s="202" t="s">
        <v>331</v>
      </c>
    </row>
    <row r="65" spans="1:1" ht="14.5" hidden="1" x14ac:dyDescent="0.25">
      <c r="A65" s="202" t="s">
        <v>332</v>
      </c>
    </row>
    <row r="66" spans="1:1" ht="14.5" hidden="1" x14ac:dyDescent="0.25">
      <c r="A66" s="202" t="s">
        <v>333</v>
      </c>
    </row>
    <row r="67" spans="1:1" ht="14.5" hidden="1" x14ac:dyDescent="0.25">
      <c r="A67" s="202" t="s">
        <v>334</v>
      </c>
    </row>
    <row r="68" spans="1:1" ht="14.5" hidden="1" x14ac:dyDescent="0.25">
      <c r="A68" s="202" t="s">
        <v>335</v>
      </c>
    </row>
    <row r="69" spans="1:1" ht="14.5" hidden="1" x14ac:dyDescent="0.25">
      <c r="A69" s="202" t="s">
        <v>336</v>
      </c>
    </row>
    <row r="70" spans="1:1" ht="14.5" hidden="1" x14ac:dyDescent="0.25">
      <c r="A70" s="202" t="s">
        <v>337</v>
      </c>
    </row>
    <row r="71" spans="1:1" ht="14.5" hidden="1" x14ac:dyDescent="0.25">
      <c r="A71" s="202" t="s">
        <v>338</v>
      </c>
    </row>
    <row r="72" spans="1:1" ht="14.5" hidden="1" x14ac:dyDescent="0.25">
      <c r="A72" s="202" t="s">
        <v>339</v>
      </c>
    </row>
    <row r="73" spans="1:1" ht="14.5" hidden="1" x14ac:dyDescent="0.25">
      <c r="A73" s="202" t="s">
        <v>340</v>
      </c>
    </row>
    <row r="74" spans="1:1" ht="14.5" hidden="1" x14ac:dyDescent="0.25">
      <c r="A74" s="202" t="s">
        <v>341</v>
      </c>
    </row>
    <row r="75" spans="1:1" ht="14.5" hidden="1" x14ac:dyDescent="0.25">
      <c r="A75" s="202" t="s">
        <v>342</v>
      </c>
    </row>
    <row r="76" spans="1:1" ht="14.5" hidden="1" x14ac:dyDescent="0.25">
      <c r="A76" s="202" t="s">
        <v>343</v>
      </c>
    </row>
    <row r="77" spans="1:1" ht="14.5" hidden="1" x14ac:dyDescent="0.25">
      <c r="A77" s="202" t="s">
        <v>344</v>
      </c>
    </row>
    <row r="78" spans="1:1" ht="14.5" x14ac:dyDescent="0.25">
      <c r="A78" s="202" t="s">
        <v>321</v>
      </c>
    </row>
    <row r="79" spans="1:1" ht="14.5" x14ac:dyDescent="0.25">
      <c r="A79" s="202" t="s">
        <v>345</v>
      </c>
    </row>
    <row r="80" spans="1:1" ht="14.5" x14ac:dyDescent="0.25">
      <c r="A80" s="202">
        <v>9999.9735758999996</v>
      </c>
    </row>
    <row r="81" spans="1:1" ht="14.5" x14ac:dyDescent="0.25">
      <c r="A81" s="202">
        <v>1.2059573571899999E-3</v>
      </c>
    </row>
    <row r="82" spans="1:1" ht="14.5" x14ac:dyDescent="0.25">
      <c r="A82" s="202" t="s">
        <v>292</v>
      </c>
    </row>
    <row r="83" spans="1:1" ht="14.5" hidden="1" x14ac:dyDescent="0.25">
      <c r="A83" s="202" t="s">
        <v>295</v>
      </c>
    </row>
    <row r="84" spans="1:1" ht="14.5" hidden="1" x14ac:dyDescent="0.25">
      <c r="A84" s="202" t="s">
        <v>296</v>
      </c>
    </row>
    <row r="85" spans="1:1" ht="14.5" hidden="1" x14ac:dyDescent="0.25">
      <c r="A85" s="202" t="s">
        <v>283</v>
      </c>
    </row>
    <row r="86" spans="1:1" ht="14.5" x14ac:dyDescent="0.25">
      <c r="A86" s="202" t="s">
        <v>297</v>
      </c>
    </row>
    <row r="87" spans="1:1" ht="14.5" x14ac:dyDescent="0.25">
      <c r="A87" s="202" t="s">
        <v>298</v>
      </c>
    </row>
    <row r="88" spans="1:1" ht="14.5" x14ac:dyDescent="0.25">
      <c r="A88" s="202" t="s">
        <v>346</v>
      </c>
    </row>
    <row r="89" spans="1:1" ht="14.5" hidden="1" x14ac:dyDescent="0.25">
      <c r="A89" s="202" t="s">
        <v>347</v>
      </c>
    </row>
    <row r="90" spans="1:1" ht="14.5" hidden="1" x14ac:dyDescent="0.25">
      <c r="A90" s="202" t="s">
        <v>348</v>
      </c>
    </row>
    <row r="91" spans="1:1" ht="14.5" hidden="1" x14ac:dyDescent="0.25">
      <c r="A91" s="202" t="s">
        <v>349</v>
      </c>
    </row>
    <row r="92" spans="1:1" ht="14.5" hidden="1" x14ac:dyDescent="0.25">
      <c r="A92" s="202" t="s">
        <v>350</v>
      </c>
    </row>
    <row r="93" spans="1:1" ht="14.5" hidden="1" x14ac:dyDescent="0.25">
      <c r="A93" s="202" t="s">
        <v>351</v>
      </c>
    </row>
    <row r="94" spans="1:1" ht="14.5" hidden="1" x14ac:dyDescent="0.25">
      <c r="A94" s="202" t="s">
        <v>352</v>
      </c>
    </row>
    <row r="95" spans="1:1" ht="14.5" hidden="1" x14ac:dyDescent="0.25">
      <c r="A95" s="202" t="s">
        <v>353</v>
      </c>
    </row>
    <row r="96" spans="1:1" ht="14.5" hidden="1" x14ac:dyDescent="0.25">
      <c r="A96" s="202" t="s">
        <v>354</v>
      </c>
    </row>
    <row r="97" spans="1:1" ht="14.5" hidden="1" x14ac:dyDescent="0.25">
      <c r="A97" s="202" t="s">
        <v>355</v>
      </c>
    </row>
    <row r="98" spans="1:1" ht="14.5" hidden="1" x14ac:dyDescent="0.25">
      <c r="A98" s="202" t="s">
        <v>356</v>
      </c>
    </row>
    <row r="99" spans="1:1" ht="14.5" hidden="1" x14ac:dyDescent="0.25">
      <c r="A99" s="202" t="s">
        <v>357</v>
      </c>
    </row>
    <row r="100" spans="1:1" ht="14.5" hidden="1" x14ac:dyDescent="0.25">
      <c r="A100" s="202" t="s">
        <v>358</v>
      </c>
    </row>
    <row r="101" spans="1:1" ht="14.5" hidden="1" x14ac:dyDescent="0.25">
      <c r="A101" s="202" t="s">
        <v>359</v>
      </c>
    </row>
    <row r="102" spans="1:1" ht="14.5" hidden="1" x14ac:dyDescent="0.25">
      <c r="A102" s="202" t="s">
        <v>360</v>
      </c>
    </row>
    <row r="103" spans="1:1" ht="14.5" hidden="1" x14ac:dyDescent="0.25">
      <c r="A103" s="202" t="s">
        <v>361</v>
      </c>
    </row>
    <row r="104" spans="1:1" ht="14.5" hidden="1" x14ac:dyDescent="0.25">
      <c r="A104" s="202" t="s">
        <v>362</v>
      </c>
    </row>
    <row r="105" spans="1:1" ht="14.5" hidden="1" x14ac:dyDescent="0.25">
      <c r="A105" s="202" t="s">
        <v>363</v>
      </c>
    </row>
    <row r="106" spans="1:1" ht="14.5" hidden="1" x14ac:dyDescent="0.25">
      <c r="A106" s="202" t="s">
        <v>364</v>
      </c>
    </row>
    <row r="107" spans="1:1" ht="14.5" hidden="1" x14ac:dyDescent="0.25">
      <c r="A107" s="202" t="s">
        <v>365</v>
      </c>
    </row>
    <row r="108" spans="1:1" ht="14.5" hidden="1" x14ac:dyDescent="0.25">
      <c r="A108" s="202" t="s">
        <v>366</v>
      </c>
    </row>
    <row r="109" spans="1:1" ht="14.5" hidden="1" x14ac:dyDescent="0.25">
      <c r="A109" s="202" t="s">
        <v>367</v>
      </c>
    </row>
    <row r="110" spans="1:1" ht="14.5" hidden="1" x14ac:dyDescent="0.25">
      <c r="A110" s="202" t="s">
        <v>321</v>
      </c>
    </row>
    <row r="111" spans="1:1" ht="14.5" x14ac:dyDescent="0.25">
      <c r="A111" s="202" t="s">
        <v>368</v>
      </c>
    </row>
    <row r="112" spans="1:1" ht="14.5" x14ac:dyDescent="0.25">
      <c r="A112" s="202">
        <v>9999.9735388499994</v>
      </c>
    </row>
    <row r="113" spans="1:1" ht="14.5" x14ac:dyDescent="0.25">
      <c r="A113" s="202">
        <v>1.0110274751300001E-3</v>
      </c>
    </row>
    <row r="114" spans="1:1" ht="14.5" x14ac:dyDescent="0.25">
      <c r="A114" s="202" t="s">
        <v>292</v>
      </c>
    </row>
    <row r="115" spans="1:1" ht="14.5" x14ac:dyDescent="0.25">
      <c r="A115" s="202" t="s">
        <v>369</v>
      </c>
    </row>
    <row r="116" spans="1:1" ht="14.5" x14ac:dyDescent="0.25">
      <c r="A116" s="202"/>
    </row>
    <row r="117" spans="1:1" ht="14.5" hidden="1" x14ac:dyDescent="0.25">
      <c r="A117" s="202" t="s">
        <v>295</v>
      </c>
    </row>
    <row r="118" spans="1:1" ht="14.5" hidden="1" x14ac:dyDescent="0.25">
      <c r="A118" s="202" t="s">
        <v>296</v>
      </c>
    </row>
    <row r="119" spans="1:1" ht="14.5" hidden="1" x14ac:dyDescent="0.25">
      <c r="A119" s="202" t="s">
        <v>283</v>
      </c>
    </row>
    <row r="120" spans="1:1" ht="14.5" x14ac:dyDescent="0.25">
      <c r="A120" s="202" t="s">
        <v>297</v>
      </c>
    </row>
    <row r="121" spans="1:1" ht="14.5" x14ac:dyDescent="0.25">
      <c r="A121" s="202" t="s">
        <v>298</v>
      </c>
    </row>
    <row r="122" spans="1:1" ht="14.5" x14ac:dyDescent="0.25">
      <c r="A122" s="202" t="s">
        <v>370</v>
      </c>
    </row>
    <row r="123" spans="1:1" ht="14.5" hidden="1" x14ac:dyDescent="0.25">
      <c r="A123" s="202" t="s">
        <v>371</v>
      </c>
    </row>
    <row r="124" spans="1:1" ht="14.5" hidden="1" x14ac:dyDescent="0.25">
      <c r="A124" s="202" t="s">
        <v>372</v>
      </c>
    </row>
    <row r="125" spans="1:1" ht="14.5" hidden="1" x14ac:dyDescent="0.25">
      <c r="A125" s="202" t="s">
        <v>373</v>
      </c>
    </row>
    <row r="126" spans="1:1" ht="14.5" hidden="1" x14ac:dyDescent="0.25">
      <c r="A126" s="202" t="s">
        <v>374</v>
      </c>
    </row>
    <row r="127" spans="1:1" ht="14.5" hidden="1" x14ac:dyDescent="0.25">
      <c r="A127" s="202" t="s">
        <v>375</v>
      </c>
    </row>
    <row r="128" spans="1:1" ht="14.5" hidden="1" x14ac:dyDescent="0.25">
      <c r="A128" s="202" t="s">
        <v>376</v>
      </c>
    </row>
    <row r="129" spans="1:1" ht="14.5" hidden="1" x14ac:dyDescent="0.25">
      <c r="A129" s="202" t="s">
        <v>377</v>
      </c>
    </row>
    <row r="130" spans="1:1" ht="14.5" hidden="1" x14ac:dyDescent="0.25">
      <c r="A130" s="202" t="s">
        <v>378</v>
      </c>
    </row>
    <row r="131" spans="1:1" ht="14.5" hidden="1" x14ac:dyDescent="0.25">
      <c r="A131" s="202" t="s">
        <v>379</v>
      </c>
    </row>
    <row r="132" spans="1:1" ht="14.5" hidden="1" x14ac:dyDescent="0.25">
      <c r="A132" s="202" t="s">
        <v>380</v>
      </c>
    </row>
    <row r="133" spans="1:1" ht="14.5" hidden="1" x14ac:dyDescent="0.25">
      <c r="A133" s="202" t="s">
        <v>381</v>
      </c>
    </row>
    <row r="134" spans="1:1" ht="14.5" hidden="1" x14ac:dyDescent="0.25">
      <c r="A134" s="202" t="s">
        <v>382</v>
      </c>
    </row>
    <row r="135" spans="1:1" ht="14.5" hidden="1" x14ac:dyDescent="0.25">
      <c r="A135" s="202" t="s">
        <v>383</v>
      </c>
    </row>
    <row r="136" spans="1:1" ht="14.5" hidden="1" x14ac:dyDescent="0.25">
      <c r="A136" s="202" t="s">
        <v>384</v>
      </c>
    </row>
    <row r="137" spans="1:1" ht="14.5" hidden="1" x14ac:dyDescent="0.25">
      <c r="A137" s="202" t="s">
        <v>385</v>
      </c>
    </row>
    <row r="138" spans="1:1" ht="14.5" hidden="1" x14ac:dyDescent="0.25">
      <c r="A138" s="202" t="s">
        <v>386</v>
      </c>
    </row>
    <row r="139" spans="1:1" ht="14.5" hidden="1" x14ac:dyDescent="0.25">
      <c r="A139" s="202" t="s">
        <v>387</v>
      </c>
    </row>
    <row r="140" spans="1:1" ht="14.5" hidden="1" x14ac:dyDescent="0.25">
      <c r="A140" s="202" t="s">
        <v>388</v>
      </c>
    </row>
    <row r="141" spans="1:1" ht="14.5" hidden="1" x14ac:dyDescent="0.25">
      <c r="A141" s="202" t="s">
        <v>389</v>
      </c>
    </row>
    <row r="142" spans="1:1" ht="14.5" hidden="1" x14ac:dyDescent="0.25">
      <c r="A142" s="202" t="s">
        <v>390</v>
      </c>
    </row>
    <row r="143" spans="1:1" ht="14.5" hidden="1" x14ac:dyDescent="0.25">
      <c r="A143" s="202" t="s">
        <v>391</v>
      </c>
    </row>
    <row r="144" spans="1:1" ht="14.5" x14ac:dyDescent="0.25">
      <c r="A144" s="202" t="s">
        <v>321</v>
      </c>
    </row>
    <row r="145" spans="1:1" ht="14.5" x14ac:dyDescent="0.25">
      <c r="A145" s="202" t="s">
        <v>392</v>
      </c>
    </row>
    <row r="146" spans="1:1" ht="14.5" x14ac:dyDescent="0.25">
      <c r="A146" s="202">
        <v>10000.513859999999</v>
      </c>
    </row>
    <row r="147" spans="1:1" ht="14.5" x14ac:dyDescent="0.25">
      <c r="A147" s="202">
        <v>2.0299286998299998E-3</v>
      </c>
    </row>
    <row r="148" spans="1:1" ht="14.5" x14ac:dyDescent="0.25">
      <c r="A148" s="202" t="s">
        <v>292</v>
      </c>
    </row>
    <row r="149" spans="1:1" ht="14.5" x14ac:dyDescent="0.25">
      <c r="A149" s="202" t="s">
        <v>393</v>
      </c>
    </row>
    <row r="150" spans="1:1" ht="14.5" x14ac:dyDescent="0.25">
      <c r="A150" s="202"/>
    </row>
    <row r="151" spans="1:1" ht="14.5" x14ac:dyDescent="0.25">
      <c r="A151" s="202" t="s">
        <v>394</v>
      </c>
    </row>
    <row r="152" spans="1:1" ht="14.5" hidden="1" x14ac:dyDescent="0.25">
      <c r="A152" s="202" t="s">
        <v>295</v>
      </c>
    </row>
    <row r="153" spans="1:1" ht="14.5" hidden="1" x14ac:dyDescent="0.25">
      <c r="A153" s="202" t="s">
        <v>296</v>
      </c>
    </row>
    <row r="154" spans="1:1" ht="14.5" hidden="1" x14ac:dyDescent="0.25">
      <c r="A154" s="202" t="s">
        <v>283</v>
      </c>
    </row>
    <row r="155" spans="1:1" ht="14.5" x14ac:dyDescent="0.25">
      <c r="A155" s="202" t="s">
        <v>297</v>
      </c>
    </row>
    <row r="156" spans="1:1" ht="14.5" x14ac:dyDescent="0.25">
      <c r="A156" s="202" t="s">
        <v>395</v>
      </c>
    </row>
    <row r="157" spans="1:1" ht="14.5" x14ac:dyDescent="0.25">
      <c r="A157" s="202" t="s">
        <v>396</v>
      </c>
    </row>
    <row r="158" spans="1:1" ht="14.5" hidden="1" x14ac:dyDescent="0.25">
      <c r="A158" s="202" t="s">
        <v>397</v>
      </c>
    </row>
    <row r="159" spans="1:1" ht="14.5" hidden="1" x14ac:dyDescent="0.25">
      <c r="A159" s="202" t="s">
        <v>398</v>
      </c>
    </row>
    <row r="160" spans="1:1" ht="14.5" hidden="1" x14ac:dyDescent="0.25">
      <c r="A160" s="202" t="s">
        <v>399</v>
      </c>
    </row>
    <row r="161" spans="1:1" ht="14.5" hidden="1" x14ac:dyDescent="0.25">
      <c r="A161" s="202" t="s">
        <v>400</v>
      </c>
    </row>
    <row r="162" spans="1:1" ht="14.5" hidden="1" x14ac:dyDescent="0.25">
      <c r="A162" s="202" t="s">
        <v>401</v>
      </c>
    </row>
    <row r="163" spans="1:1" ht="14.5" hidden="1" x14ac:dyDescent="0.25">
      <c r="A163" s="202" t="s">
        <v>402</v>
      </c>
    </row>
    <row r="164" spans="1:1" ht="14.5" hidden="1" x14ac:dyDescent="0.25">
      <c r="A164" s="202" t="s">
        <v>403</v>
      </c>
    </row>
    <row r="165" spans="1:1" ht="14.5" hidden="1" x14ac:dyDescent="0.25">
      <c r="A165" s="202" t="s">
        <v>404</v>
      </c>
    </row>
    <row r="166" spans="1:1" ht="14.5" hidden="1" x14ac:dyDescent="0.25">
      <c r="A166" s="202" t="s">
        <v>405</v>
      </c>
    </row>
    <row r="167" spans="1:1" ht="14.5" hidden="1" x14ac:dyDescent="0.25">
      <c r="A167" s="202" t="s">
        <v>406</v>
      </c>
    </row>
    <row r="168" spans="1:1" ht="14.5" hidden="1" x14ac:dyDescent="0.25">
      <c r="A168" s="202" t="s">
        <v>407</v>
      </c>
    </row>
    <row r="169" spans="1:1" ht="14.5" hidden="1" x14ac:dyDescent="0.25">
      <c r="A169" s="202" t="s">
        <v>408</v>
      </c>
    </row>
    <row r="170" spans="1:1" ht="14.5" hidden="1" x14ac:dyDescent="0.25">
      <c r="A170" s="202" t="s">
        <v>409</v>
      </c>
    </row>
    <row r="171" spans="1:1" ht="14.5" hidden="1" x14ac:dyDescent="0.25">
      <c r="A171" s="202" t="s">
        <v>410</v>
      </c>
    </row>
    <row r="172" spans="1:1" ht="14.5" hidden="1" x14ac:dyDescent="0.25">
      <c r="A172" s="202" t="s">
        <v>411</v>
      </c>
    </row>
    <row r="173" spans="1:1" ht="14.5" hidden="1" x14ac:dyDescent="0.25">
      <c r="A173" s="202" t="s">
        <v>412</v>
      </c>
    </row>
    <row r="174" spans="1:1" ht="14.5" hidden="1" x14ac:dyDescent="0.25">
      <c r="A174" s="202" t="s">
        <v>413</v>
      </c>
    </row>
    <row r="175" spans="1:1" ht="14.5" hidden="1" x14ac:dyDescent="0.25">
      <c r="A175" s="202" t="s">
        <v>414</v>
      </c>
    </row>
    <row r="176" spans="1:1" ht="14.5" hidden="1" x14ac:dyDescent="0.25">
      <c r="A176" s="202" t="s">
        <v>415</v>
      </c>
    </row>
    <row r="177" spans="1:1" ht="14.5" hidden="1" x14ac:dyDescent="0.25">
      <c r="A177" s="202" t="s">
        <v>416</v>
      </c>
    </row>
    <row r="178" spans="1:1" ht="14.5" hidden="1" x14ac:dyDescent="0.25">
      <c r="A178" s="202" t="s">
        <v>417</v>
      </c>
    </row>
    <row r="179" spans="1:1" ht="14.5" x14ac:dyDescent="0.25">
      <c r="A179" s="202" t="s">
        <v>321</v>
      </c>
    </row>
    <row r="180" spans="1:1" ht="14.5" x14ac:dyDescent="0.25">
      <c r="A180" s="202" t="s">
        <v>418</v>
      </c>
    </row>
    <row r="181" spans="1:1" ht="14.5" x14ac:dyDescent="0.25">
      <c r="A181" s="202">
        <v>10000.515171999999</v>
      </c>
    </row>
    <row r="182" spans="1:1" ht="14.5" x14ac:dyDescent="0.25">
      <c r="A182" s="202">
        <v>7.2305133515099998E-2</v>
      </c>
    </row>
    <row r="183" spans="1:1" ht="14.5" x14ac:dyDescent="0.25">
      <c r="A183" s="202" t="s">
        <v>292</v>
      </c>
    </row>
    <row r="184" spans="1:1" ht="14.5" x14ac:dyDescent="0.25">
      <c r="A184" s="202"/>
    </row>
    <row r="185" spans="1:1" ht="14.5" hidden="1" x14ac:dyDescent="0.25">
      <c r="A185" s="202" t="s">
        <v>295</v>
      </c>
    </row>
    <row r="186" spans="1:1" ht="14.5" hidden="1" x14ac:dyDescent="0.25">
      <c r="A186" s="202" t="s">
        <v>296</v>
      </c>
    </row>
    <row r="187" spans="1:1" ht="14.5" hidden="1" x14ac:dyDescent="0.25">
      <c r="A187" s="202" t="s">
        <v>283</v>
      </c>
    </row>
    <row r="188" spans="1:1" ht="14.5" x14ac:dyDescent="0.25">
      <c r="A188" s="202" t="s">
        <v>419</v>
      </c>
    </row>
    <row r="189" spans="1:1" ht="14.5" x14ac:dyDescent="0.25">
      <c r="A189" s="202" t="s">
        <v>420</v>
      </c>
    </row>
    <row r="190" spans="1:1" ht="14.5" x14ac:dyDescent="0.25">
      <c r="A190" s="202" t="s">
        <v>421</v>
      </c>
    </row>
    <row r="191" spans="1:1" ht="14.5" hidden="1" x14ac:dyDescent="0.25">
      <c r="A191" s="202" t="s">
        <v>422</v>
      </c>
    </row>
    <row r="192" spans="1:1" ht="14.5" hidden="1" x14ac:dyDescent="0.25">
      <c r="A192" s="202" t="s">
        <v>423</v>
      </c>
    </row>
    <row r="193" spans="1:1" ht="14.5" hidden="1" x14ac:dyDescent="0.25">
      <c r="A193" s="202" t="s">
        <v>424</v>
      </c>
    </row>
    <row r="194" spans="1:1" ht="14.5" hidden="1" x14ac:dyDescent="0.25">
      <c r="A194" s="202" t="s">
        <v>425</v>
      </c>
    </row>
    <row r="195" spans="1:1" ht="14.5" hidden="1" x14ac:dyDescent="0.25">
      <c r="A195" s="202" t="s">
        <v>426</v>
      </c>
    </row>
    <row r="196" spans="1:1" ht="14.5" hidden="1" x14ac:dyDescent="0.25">
      <c r="A196" s="202" t="s">
        <v>427</v>
      </c>
    </row>
    <row r="197" spans="1:1" ht="14.5" hidden="1" x14ac:dyDescent="0.25">
      <c r="A197" s="202" t="s">
        <v>428</v>
      </c>
    </row>
    <row r="198" spans="1:1" ht="14.5" hidden="1" x14ac:dyDescent="0.25">
      <c r="A198" s="202" t="s">
        <v>429</v>
      </c>
    </row>
    <row r="199" spans="1:1" ht="14.5" hidden="1" x14ac:dyDescent="0.25">
      <c r="A199" s="202" t="s">
        <v>430</v>
      </c>
    </row>
    <row r="200" spans="1:1" ht="14.5" hidden="1" x14ac:dyDescent="0.25">
      <c r="A200" s="202" t="s">
        <v>431</v>
      </c>
    </row>
    <row r="201" spans="1:1" ht="14.5" hidden="1" x14ac:dyDescent="0.25">
      <c r="A201" s="202" t="s">
        <v>432</v>
      </c>
    </row>
    <row r="202" spans="1:1" ht="14.5" hidden="1" x14ac:dyDescent="0.25">
      <c r="A202" s="202" t="s">
        <v>433</v>
      </c>
    </row>
    <row r="203" spans="1:1" ht="14.5" hidden="1" x14ac:dyDescent="0.25">
      <c r="A203" s="202" t="s">
        <v>434</v>
      </c>
    </row>
    <row r="204" spans="1:1" ht="14.5" hidden="1" x14ac:dyDescent="0.25">
      <c r="A204" s="202" t="s">
        <v>435</v>
      </c>
    </row>
    <row r="205" spans="1:1" ht="14.5" hidden="1" x14ac:dyDescent="0.25">
      <c r="A205" s="202" t="s">
        <v>436</v>
      </c>
    </row>
    <row r="206" spans="1:1" ht="14.5" hidden="1" x14ac:dyDescent="0.25">
      <c r="A206" s="202" t="s">
        <v>437</v>
      </c>
    </row>
    <row r="207" spans="1:1" ht="14.5" hidden="1" x14ac:dyDescent="0.25">
      <c r="A207" s="202" t="s">
        <v>438</v>
      </c>
    </row>
    <row r="208" spans="1:1" ht="14.5" hidden="1" x14ac:dyDescent="0.25">
      <c r="A208" s="202" t="s">
        <v>439</v>
      </c>
    </row>
    <row r="209" spans="1:1" ht="14.5" hidden="1" x14ac:dyDescent="0.25">
      <c r="A209" s="202" t="s">
        <v>440</v>
      </c>
    </row>
    <row r="210" spans="1:1" ht="14.5" hidden="1" x14ac:dyDescent="0.25">
      <c r="A210" s="202" t="s">
        <v>441</v>
      </c>
    </row>
    <row r="211" spans="1:1" ht="14.5" hidden="1" x14ac:dyDescent="0.25">
      <c r="A211" s="202" t="s">
        <v>442</v>
      </c>
    </row>
    <row r="212" spans="1:1" ht="14.5" x14ac:dyDescent="0.25">
      <c r="A212" s="202" t="s">
        <v>321</v>
      </c>
    </row>
    <row r="213" spans="1:1" ht="14.5" x14ac:dyDescent="0.25">
      <c r="A213" s="202" t="s">
        <v>443</v>
      </c>
    </row>
    <row r="214" spans="1:1" ht="14.5" x14ac:dyDescent="0.25">
      <c r="A214" s="202">
        <v>10000.51174</v>
      </c>
    </row>
    <row r="215" spans="1:1" ht="14.5" x14ac:dyDescent="0.25">
      <c r="A215" s="202">
        <v>8.4162117995200004E-3</v>
      </c>
    </row>
    <row r="216" spans="1:1" ht="14.5" x14ac:dyDescent="0.25">
      <c r="A216" s="202" t="s">
        <v>292</v>
      </c>
    </row>
    <row r="217" spans="1:1" ht="14.5" hidden="1" x14ac:dyDescent="0.25">
      <c r="A217" s="202" t="s">
        <v>295</v>
      </c>
    </row>
    <row r="218" spans="1:1" ht="14.5" hidden="1" x14ac:dyDescent="0.25">
      <c r="A218" s="202" t="s">
        <v>296</v>
      </c>
    </row>
    <row r="219" spans="1:1" ht="14.5" hidden="1" x14ac:dyDescent="0.25">
      <c r="A219" s="202" t="s">
        <v>283</v>
      </c>
    </row>
    <row r="220" spans="1:1" ht="14.5" x14ac:dyDescent="0.25">
      <c r="A220" s="202" t="s">
        <v>297</v>
      </c>
    </row>
    <row r="221" spans="1:1" ht="14.5" x14ac:dyDescent="0.25">
      <c r="A221" s="202" t="s">
        <v>420</v>
      </c>
    </row>
    <row r="222" spans="1:1" ht="14.5" x14ac:dyDescent="0.25">
      <c r="A222" s="202" t="s">
        <v>444</v>
      </c>
    </row>
    <row r="223" spans="1:1" ht="14.5" hidden="1" x14ac:dyDescent="0.25">
      <c r="A223" s="202" t="s">
        <v>445</v>
      </c>
    </row>
    <row r="224" spans="1:1" ht="14.5" hidden="1" x14ac:dyDescent="0.25">
      <c r="A224" s="202" t="s">
        <v>446</v>
      </c>
    </row>
    <row r="225" spans="1:1" ht="14.5" hidden="1" x14ac:dyDescent="0.25">
      <c r="A225" s="202" t="s">
        <v>447</v>
      </c>
    </row>
    <row r="226" spans="1:1" ht="14.5" hidden="1" x14ac:dyDescent="0.25">
      <c r="A226" s="202" t="s">
        <v>448</v>
      </c>
    </row>
    <row r="227" spans="1:1" ht="14.5" hidden="1" x14ac:dyDescent="0.25">
      <c r="A227" s="202" t="s">
        <v>449</v>
      </c>
    </row>
    <row r="228" spans="1:1" ht="14.5" hidden="1" x14ac:dyDescent="0.25">
      <c r="A228" s="202" t="s">
        <v>450</v>
      </c>
    </row>
    <row r="229" spans="1:1" ht="14.5" hidden="1" x14ac:dyDescent="0.25">
      <c r="A229" s="202" t="s">
        <v>451</v>
      </c>
    </row>
    <row r="230" spans="1:1" ht="14.5" hidden="1" x14ac:dyDescent="0.25">
      <c r="A230" s="202" t="s">
        <v>452</v>
      </c>
    </row>
    <row r="231" spans="1:1" ht="14.5" hidden="1" x14ac:dyDescent="0.25">
      <c r="A231" s="202" t="s">
        <v>453</v>
      </c>
    </row>
    <row r="232" spans="1:1" ht="14.5" hidden="1" x14ac:dyDescent="0.25">
      <c r="A232" s="202" t="s">
        <v>454</v>
      </c>
    </row>
    <row r="233" spans="1:1" ht="14.5" hidden="1" x14ac:dyDescent="0.25">
      <c r="A233" s="202" t="s">
        <v>455</v>
      </c>
    </row>
    <row r="234" spans="1:1" ht="14.5" hidden="1" x14ac:dyDescent="0.25">
      <c r="A234" s="202" t="s">
        <v>456</v>
      </c>
    </row>
    <row r="235" spans="1:1" ht="14.5" hidden="1" x14ac:dyDescent="0.25">
      <c r="A235" s="202" t="s">
        <v>457</v>
      </c>
    </row>
    <row r="236" spans="1:1" ht="14.5" hidden="1" x14ac:dyDescent="0.25">
      <c r="A236" s="202" t="s">
        <v>458</v>
      </c>
    </row>
    <row r="237" spans="1:1" ht="14.5" hidden="1" x14ac:dyDescent="0.25">
      <c r="A237" s="202" t="s">
        <v>459</v>
      </c>
    </row>
    <row r="238" spans="1:1" ht="14.5" hidden="1" x14ac:dyDescent="0.25">
      <c r="A238" s="202" t="s">
        <v>460</v>
      </c>
    </row>
    <row r="239" spans="1:1" ht="14.5" hidden="1" x14ac:dyDescent="0.25">
      <c r="A239" s="202" t="s">
        <v>461</v>
      </c>
    </row>
    <row r="240" spans="1:1" ht="14.5" hidden="1" x14ac:dyDescent="0.25">
      <c r="A240" s="202" t="s">
        <v>462</v>
      </c>
    </row>
    <row r="241" spans="1:1" ht="14.5" hidden="1" x14ac:dyDescent="0.25">
      <c r="A241" s="202" t="s">
        <v>463</v>
      </c>
    </row>
    <row r="242" spans="1:1" ht="14.5" hidden="1" x14ac:dyDescent="0.25">
      <c r="A242" s="202" t="s">
        <v>464</v>
      </c>
    </row>
    <row r="243" spans="1:1" ht="14.5" hidden="1" x14ac:dyDescent="0.25">
      <c r="A243" s="202" t="s">
        <v>465</v>
      </c>
    </row>
    <row r="244" spans="1:1" ht="14.5" x14ac:dyDescent="0.25">
      <c r="A244" s="202" t="s">
        <v>321</v>
      </c>
    </row>
    <row r="245" spans="1:1" ht="14.5" x14ac:dyDescent="0.25">
      <c r="A245" s="202" t="s">
        <v>466</v>
      </c>
    </row>
    <row r="246" spans="1:1" ht="14.5" x14ac:dyDescent="0.25">
      <c r="A246" s="202">
        <v>10000.512912</v>
      </c>
    </row>
    <row r="247" spans="1:1" ht="14.5" x14ac:dyDescent="0.25">
      <c r="A247" s="202">
        <v>2.4254822635399998E-3</v>
      </c>
    </row>
    <row r="248" spans="1:1" ht="14.5" x14ac:dyDescent="0.25">
      <c r="A248" s="202" t="s">
        <v>292</v>
      </c>
    </row>
    <row r="249" spans="1:1" ht="14.5" x14ac:dyDescent="0.25">
      <c r="A249" s="202" t="s">
        <v>467</v>
      </c>
    </row>
    <row r="250" spans="1:1" ht="14.5" x14ac:dyDescent="0.25">
      <c r="A250" s="202"/>
    </row>
    <row r="251" spans="1:1" ht="14.5" hidden="1" x14ac:dyDescent="0.25">
      <c r="A251" s="202" t="s">
        <v>295</v>
      </c>
    </row>
    <row r="252" spans="1:1" ht="14.5" hidden="1" x14ac:dyDescent="0.25">
      <c r="A252" s="202" t="s">
        <v>296</v>
      </c>
    </row>
    <row r="253" spans="1:1" ht="14.5" hidden="1" x14ac:dyDescent="0.25">
      <c r="A253" s="202" t="s">
        <v>283</v>
      </c>
    </row>
    <row r="254" spans="1:1" ht="14.5" x14ac:dyDescent="0.25">
      <c r="A254" s="202" t="s">
        <v>419</v>
      </c>
    </row>
    <row r="255" spans="1:1" ht="14.5" x14ac:dyDescent="0.25">
      <c r="A255" s="202" t="s">
        <v>420</v>
      </c>
    </row>
    <row r="256" spans="1:1" ht="14.5" x14ac:dyDescent="0.25">
      <c r="A256" s="202" t="s">
        <v>468</v>
      </c>
    </row>
    <row r="257" spans="1:1" ht="14.5" hidden="1" x14ac:dyDescent="0.25">
      <c r="A257" s="202" t="s">
        <v>469</v>
      </c>
    </row>
    <row r="258" spans="1:1" ht="14.5" hidden="1" x14ac:dyDescent="0.25">
      <c r="A258" s="202" t="s">
        <v>470</v>
      </c>
    </row>
    <row r="259" spans="1:1" ht="14.5" hidden="1" x14ac:dyDescent="0.25">
      <c r="A259" s="202" t="s">
        <v>471</v>
      </c>
    </row>
    <row r="260" spans="1:1" ht="14.5" hidden="1" x14ac:dyDescent="0.25">
      <c r="A260" s="202" t="s">
        <v>472</v>
      </c>
    </row>
    <row r="261" spans="1:1" ht="14.5" hidden="1" x14ac:dyDescent="0.25">
      <c r="A261" s="202" t="s">
        <v>473</v>
      </c>
    </row>
    <row r="262" spans="1:1" ht="14.5" hidden="1" x14ac:dyDescent="0.25">
      <c r="A262" s="202" t="s">
        <v>474</v>
      </c>
    </row>
    <row r="263" spans="1:1" ht="14.5" hidden="1" x14ac:dyDescent="0.25">
      <c r="A263" s="202" t="s">
        <v>475</v>
      </c>
    </row>
    <row r="264" spans="1:1" ht="14.5" hidden="1" x14ac:dyDescent="0.25">
      <c r="A264" s="202" t="s">
        <v>476</v>
      </c>
    </row>
    <row r="265" spans="1:1" ht="14.5" hidden="1" x14ac:dyDescent="0.25">
      <c r="A265" s="202" t="s">
        <v>477</v>
      </c>
    </row>
    <row r="266" spans="1:1" ht="14.5" hidden="1" x14ac:dyDescent="0.25">
      <c r="A266" s="202" t="s">
        <v>478</v>
      </c>
    </row>
    <row r="267" spans="1:1" ht="14.5" hidden="1" x14ac:dyDescent="0.25">
      <c r="A267" s="202" t="s">
        <v>479</v>
      </c>
    </row>
    <row r="268" spans="1:1" ht="14.5" hidden="1" x14ac:dyDescent="0.25">
      <c r="A268" s="202" t="s">
        <v>480</v>
      </c>
    </row>
    <row r="269" spans="1:1" ht="14.5" hidden="1" x14ac:dyDescent="0.25">
      <c r="A269" s="202" t="s">
        <v>481</v>
      </c>
    </row>
    <row r="270" spans="1:1" ht="14.5" hidden="1" x14ac:dyDescent="0.25">
      <c r="A270" s="202" t="s">
        <v>482</v>
      </c>
    </row>
    <row r="271" spans="1:1" ht="14.5" hidden="1" x14ac:dyDescent="0.25">
      <c r="A271" s="202" t="s">
        <v>483</v>
      </c>
    </row>
    <row r="272" spans="1:1" ht="14.5" hidden="1" x14ac:dyDescent="0.25">
      <c r="A272" s="202" t="s">
        <v>484</v>
      </c>
    </row>
    <row r="273" spans="1:1" ht="14.5" hidden="1" x14ac:dyDescent="0.25">
      <c r="A273" s="202" t="s">
        <v>485</v>
      </c>
    </row>
    <row r="274" spans="1:1" ht="14.5" hidden="1" x14ac:dyDescent="0.25">
      <c r="A274" s="202" t="s">
        <v>486</v>
      </c>
    </row>
    <row r="275" spans="1:1" ht="14.5" hidden="1" x14ac:dyDescent="0.25">
      <c r="A275" s="202" t="s">
        <v>487</v>
      </c>
    </row>
    <row r="276" spans="1:1" ht="14.5" hidden="1" x14ac:dyDescent="0.25">
      <c r="A276" s="202" t="s">
        <v>488</v>
      </c>
    </row>
    <row r="277" spans="1:1" ht="14.5" hidden="1" x14ac:dyDescent="0.25">
      <c r="A277" s="202" t="s">
        <v>489</v>
      </c>
    </row>
    <row r="278" spans="1:1" ht="14.5" x14ac:dyDescent="0.25">
      <c r="A278" s="202" t="s">
        <v>321</v>
      </c>
    </row>
    <row r="279" spans="1:1" ht="14.5" x14ac:dyDescent="0.25">
      <c r="A279" s="202" t="s">
        <v>490</v>
      </c>
    </row>
    <row r="280" spans="1:1" ht="14.5" x14ac:dyDescent="0.25">
      <c r="A280" s="202">
        <v>10000.517315999999</v>
      </c>
    </row>
    <row r="281" spans="1:1" ht="14.5" x14ac:dyDescent="0.25">
      <c r="A281" s="202">
        <v>8.1741617306300002E-3</v>
      </c>
    </row>
    <row r="282" spans="1:1" ht="14.5" x14ac:dyDescent="0.25">
      <c r="A282" s="202" t="s">
        <v>292</v>
      </c>
    </row>
    <row r="283" spans="1:1" ht="14.5" x14ac:dyDescent="0.25">
      <c r="A283" s="202" t="s">
        <v>491</v>
      </c>
    </row>
    <row r="284" spans="1:1" ht="14.5" x14ac:dyDescent="0.25">
      <c r="A284" s="202"/>
    </row>
    <row r="285" spans="1:1" ht="14.5" hidden="1" x14ac:dyDescent="0.25">
      <c r="A285" s="202" t="s">
        <v>295</v>
      </c>
    </row>
    <row r="286" spans="1:1" ht="14.5" hidden="1" x14ac:dyDescent="0.25">
      <c r="A286" s="202" t="s">
        <v>296</v>
      </c>
    </row>
    <row r="287" spans="1:1" ht="14.5" hidden="1" x14ac:dyDescent="0.25">
      <c r="A287" s="202" t="s">
        <v>283</v>
      </c>
    </row>
    <row r="288" spans="1:1" ht="14.5" x14ac:dyDescent="0.25">
      <c r="A288" s="202" t="s">
        <v>492</v>
      </c>
    </row>
    <row r="289" spans="1:1" ht="14.5" x14ac:dyDescent="0.25">
      <c r="A289" s="202" t="s">
        <v>493</v>
      </c>
    </row>
    <row r="290" spans="1:1" ht="14.5" x14ac:dyDescent="0.25">
      <c r="A290" s="202" t="s">
        <v>494</v>
      </c>
    </row>
    <row r="291" spans="1:1" ht="14.5" hidden="1" x14ac:dyDescent="0.25">
      <c r="A291" s="202" t="s">
        <v>495</v>
      </c>
    </row>
    <row r="292" spans="1:1" ht="14.5" hidden="1" x14ac:dyDescent="0.25">
      <c r="A292" s="202" t="s">
        <v>496</v>
      </c>
    </row>
    <row r="293" spans="1:1" ht="14.5" hidden="1" x14ac:dyDescent="0.25">
      <c r="A293" s="202" t="s">
        <v>497</v>
      </c>
    </row>
    <row r="294" spans="1:1" ht="14.5" hidden="1" x14ac:dyDescent="0.25">
      <c r="A294" s="202" t="s">
        <v>498</v>
      </c>
    </row>
    <row r="295" spans="1:1" ht="14.5" hidden="1" x14ac:dyDescent="0.25">
      <c r="A295" s="202" t="s">
        <v>499</v>
      </c>
    </row>
    <row r="296" spans="1:1" ht="14.5" hidden="1" x14ac:dyDescent="0.25">
      <c r="A296" s="202" t="s">
        <v>500</v>
      </c>
    </row>
    <row r="297" spans="1:1" ht="14.5" hidden="1" x14ac:dyDescent="0.25">
      <c r="A297" s="202" t="s">
        <v>501</v>
      </c>
    </row>
    <row r="298" spans="1:1" ht="14.5" hidden="1" x14ac:dyDescent="0.25">
      <c r="A298" s="202" t="s">
        <v>502</v>
      </c>
    </row>
    <row r="299" spans="1:1" ht="14.5" hidden="1" x14ac:dyDescent="0.25">
      <c r="A299" s="202" t="s">
        <v>503</v>
      </c>
    </row>
    <row r="300" spans="1:1" ht="14.5" hidden="1" x14ac:dyDescent="0.25">
      <c r="A300" s="202" t="s">
        <v>504</v>
      </c>
    </row>
    <row r="301" spans="1:1" ht="14.5" hidden="1" x14ac:dyDescent="0.25">
      <c r="A301" s="202" t="s">
        <v>505</v>
      </c>
    </row>
    <row r="302" spans="1:1" ht="14.5" hidden="1" x14ac:dyDescent="0.25">
      <c r="A302" s="202" t="s">
        <v>506</v>
      </c>
    </row>
    <row r="303" spans="1:1" ht="14.5" hidden="1" x14ac:dyDescent="0.25">
      <c r="A303" s="202" t="s">
        <v>507</v>
      </c>
    </row>
    <row r="304" spans="1:1" ht="14.5" hidden="1" x14ac:dyDescent="0.25">
      <c r="A304" s="202" t="s">
        <v>508</v>
      </c>
    </row>
    <row r="305" spans="1:1" ht="14.5" hidden="1" x14ac:dyDescent="0.25">
      <c r="A305" s="202" t="s">
        <v>509</v>
      </c>
    </row>
    <row r="306" spans="1:1" ht="14.5" hidden="1" x14ac:dyDescent="0.25">
      <c r="A306" s="202" t="s">
        <v>510</v>
      </c>
    </row>
    <row r="307" spans="1:1" ht="14.5" hidden="1" x14ac:dyDescent="0.25">
      <c r="A307" s="202" t="s">
        <v>511</v>
      </c>
    </row>
    <row r="308" spans="1:1" ht="14.5" hidden="1" x14ac:dyDescent="0.25">
      <c r="A308" s="202" t="s">
        <v>512</v>
      </c>
    </row>
    <row r="309" spans="1:1" ht="14.5" hidden="1" x14ac:dyDescent="0.25">
      <c r="A309" s="202" t="s">
        <v>513</v>
      </c>
    </row>
    <row r="310" spans="1:1" ht="14.5" hidden="1" x14ac:dyDescent="0.25">
      <c r="A310" s="202" t="s">
        <v>514</v>
      </c>
    </row>
    <row r="311" spans="1:1" ht="14.5" hidden="1" x14ac:dyDescent="0.25">
      <c r="A311" s="202" t="s">
        <v>515</v>
      </c>
    </row>
    <row r="312" spans="1:1" ht="14.5" x14ac:dyDescent="0.25">
      <c r="A312" s="202" t="s">
        <v>321</v>
      </c>
    </row>
    <row r="313" spans="1:1" ht="14.5" x14ac:dyDescent="0.25">
      <c r="A313" s="202" t="s">
        <v>516</v>
      </c>
    </row>
    <row r="314" spans="1:1" ht="14.5" x14ac:dyDescent="0.25">
      <c r="A314" s="202">
        <v>10000.515278000001</v>
      </c>
    </row>
    <row r="315" spans="1:1" ht="14.5" x14ac:dyDescent="0.25">
      <c r="A315" s="202">
        <v>2.9126531150299999E-2</v>
      </c>
    </row>
    <row r="316" spans="1:1" ht="14.5" x14ac:dyDescent="0.25">
      <c r="A316" s="202" t="s">
        <v>292</v>
      </c>
    </row>
    <row r="317" spans="1:1" ht="14.5" hidden="1" x14ac:dyDescent="0.25">
      <c r="A317" s="202" t="s">
        <v>295</v>
      </c>
    </row>
    <row r="318" spans="1:1" ht="14.5" hidden="1" x14ac:dyDescent="0.25">
      <c r="A318" s="202" t="s">
        <v>296</v>
      </c>
    </row>
    <row r="319" spans="1:1" ht="14.5" hidden="1" x14ac:dyDescent="0.25">
      <c r="A319" s="202" t="s">
        <v>283</v>
      </c>
    </row>
    <row r="320" spans="1:1" ht="14.5" x14ac:dyDescent="0.25">
      <c r="A320" s="202" t="s">
        <v>419</v>
      </c>
    </row>
    <row r="321" spans="1:1" ht="14.5" x14ac:dyDescent="0.25">
      <c r="A321" s="202" t="s">
        <v>420</v>
      </c>
    </row>
    <row r="322" spans="1:1" ht="14.5" x14ac:dyDescent="0.25">
      <c r="A322" s="202" t="s">
        <v>517</v>
      </c>
    </row>
    <row r="323" spans="1:1" ht="14.5" hidden="1" x14ac:dyDescent="0.25">
      <c r="A323" s="202" t="s">
        <v>518</v>
      </c>
    </row>
    <row r="324" spans="1:1" ht="14.5" hidden="1" x14ac:dyDescent="0.25">
      <c r="A324" s="202" t="s">
        <v>519</v>
      </c>
    </row>
    <row r="325" spans="1:1" ht="14.5" hidden="1" x14ac:dyDescent="0.25">
      <c r="A325" s="202" t="s">
        <v>520</v>
      </c>
    </row>
    <row r="326" spans="1:1" ht="14.5" hidden="1" x14ac:dyDescent="0.25">
      <c r="A326" s="202" t="s">
        <v>521</v>
      </c>
    </row>
    <row r="327" spans="1:1" ht="14.5" hidden="1" x14ac:dyDescent="0.25">
      <c r="A327" s="202" t="s">
        <v>522</v>
      </c>
    </row>
    <row r="328" spans="1:1" ht="14.5" hidden="1" x14ac:dyDescent="0.25">
      <c r="A328" s="202" t="s">
        <v>523</v>
      </c>
    </row>
    <row r="329" spans="1:1" ht="14.5" hidden="1" x14ac:dyDescent="0.25">
      <c r="A329" s="202" t="s">
        <v>524</v>
      </c>
    </row>
    <row r="330" spans="1:1" ht="14.5" hidden="1" x14ac:dyDescent="0.25">
      <c r="A330" s="202" t="s">
        <v>525</v>
      </c>
    </row>
    <row r="331" spans="1:1" ht="14.5" hidden="1" x14ac:dyDescent="0.25">
      <c r="A331" s="202" t="s">
        <v>526</v>
      </c>
    </row>
    <row r="332" spans="1:1" ht="14.5" hidden="1" x14ac:dyDescent="0.25">
      <c r="A332" s="202" t="s">
        <v>527</v>
      </c>
    </row>
    <row r="333" spans="1:1" ht="14.5" hidden="1" x14ac:dyDescent="0.25">
      <c r="A333" s="202" t="s">
        <v>528</v>
      </c>
    </row>
    <row r="334" spans="1:1" ht="14.5" hidden="1" x14ac:dyDescent="0.25">
      <c r="A334" s="202" t="s">
        <v>529</v>
      </c>
    </row>
    <row r="335" spans="1:1" ht="14.5" hidden="1" x14ac:dyDescent="0.25">
      <c r="A335" s="202" t="s">
        <v>530</v>
      </c>
    </row>
    <row r="336" spans="1:1" ht="14.5" hidden="1" x14ac:dyDescent="0.25">
      <c r="A336" s="202" t="s">
        <v>531</v>
      </c>
    </row>
    <row r="337" spans="1:1" ht="14.5" hidden="1" x14ac:dyDescent="0.25">
      <c r="A337" s="202" t="s">
        <v>532</v>
      </c>
    </row>
    <row r="338" spans="1:1" ht="14.5" hidden="1" x14ac:dyDescent="0.25">
      <c r="A338" s="202" t="s">
        <v>533</v>
      </c>
    </row>
    <row r="339" spans="1:1" ht="14.5" hidden="1" x14ac:dyDescent="0.25">
      <c r="A339" s="202" t="s">
        <v>534</v>
      </c>
    </row>
    <row r="340" spans="1:1" ht="14.5" hidden="1" x14ac:dyDescent="0.25">
      <c r="A340" s="202" t="s">
        <v>535</v>
      </c>
    </row>
    <row r="341" spans="1:1" ht="14.5" hidden="1" x14ac:dyDescent="0.25">
      <c r="A341" s="202" t="s">
        <v>536</v>
      </c>
    </row>
    <row r="342" spans="1:1" ht="14.5" hidden="1" x14ac:dyDescent="0.25">
      <c r="A342" s="202" t="s">
        <v>537</v>
      </c>
    </row>
    <row r="343" spans="1:1" ht="14.5" hidden="1" x14ac:dyDescent="0.25">
      <c r="A343" s="202" t="s">
        <v>538</v>
      </c>
    </row>
    <row r="344" spans="1:1" ht="14.5" x14ac:dyDescent="0.25">
      <c r="A344" s="202" t="s">
        <v>321</v>
      </c>
    </row>
    <row r="345" spans="1:1" ht="14.5" x14ac:dyDescent="0.25">
      <c r="A345" s="202" t="s">
        <v>539</v>
      </c>
    </row>
    <row r="346" spans="1:1" ht="14.5" x14ac:dyDescent="0.25">
      <c r="A346" s="202">
        <v>10000.5185685</v>
      </c>
    </row>
    <row r="347" spans="1:1" ht="14.5" x14ac:dyDescent="0.25">
      <c r="A347" s="202">
        <v>1.19328795108E-2</v>
      </c>
    </row>
    <row r="348" spans="1:1" ht="14.5" x14ac:dyDescent="0.25">
      <c r="A348" s="202" t="s">
        <v>292</v>
      </c>
    </row>
    <row r="349" spans="1:1" ht="14.5" x14ac:dyDescent="0.25">
      <c r="A349" s="202"/>
    </row>
    <row r="350" spans="1:1" ht="29" x14ac:dyDescent="0.25">
      <c r="A350" s="212" t="s">
        <v>540</v>
      </c>
    </row>
    <row r="351" spans="1:1" ht="14.5" x14ac:dyDescent="0.25">
      <c r="A351" s="202"/>
    </row>
    <row r="352" spans="1:1" ht="14.5" hidden="1" x14ac:dyDescent="0.25">
      <c r="A352" s="202" t="s">
        <v>295</v>
      </c>
    </row>
    <row r="353" spans="1:1" ht="14.5" hidden="1" x14ac:dyDescent="0.25">
      <c r="A353" s="202" t="s">
        <v>296</v>
      </c>
    </row>
    <row r="354" spans="1:1" ht="14.5" hidden="1" x14ac:dyDescent="0.25">
      <c r="A354" s="202" t="s">
        <v>283</v>
      </c>
    </row>
    <row r="355" spans="1:1" ht="14.5" x14ac:dyDescent="0.25">
      <c r="A355" s="202" t="s">
        <v>492</v>
      </c>
    </row>
    <row r="356" spans="1:1" ht="14.5" x14ac:dyDescent="0.25">
      <c r="A356" s="202" t="s">
        <v>420</v>
      </c>
    </row>
    <row r="357" spans="1:1" ht="14.5" x14ac:dyDescent="0.25">
      <c r="A357" s="202" t="s">
        <v>541</v>
      </c>
    </row>
    <row r="358" spans="1:1" ht="14.5" hidden="1" x14ac:dyDescent="0.25">
      <c r="A358" s="202" t="s">
        <v>542</v>
      </c>
    </row>
    <row r="359" spans="1:1" ht="14.5" hidden="1" x14ac:dyDescent="0.25">
      <c r="A359" s="202" t="s">
        <v>543</v>
      </c>
    </row>
    <row r="360" spans="1:1" ht="14.5" hidden="1" x14ac:dyDescent="0.25">
      <c r="A360" s="202" t="s">
        <v>471</v>
      </c>
    </row>
    <row r="361" spans="1:1" ht="14.5" hidden="1" x14ac:dyDescent="0.25">
      <c r="A361" s="202" t="s">
        <v>544</v>
      </c>
    </row>
    <row r="362" spans="1:1" ht="14.5" hidden="1" x14ac:dyDescent="0.25">
      <c r="A362" s="202" t="s">
        <v>545</v>
      </c>
    </row>
    <row r="363" spans="1:1" ht="14.5" hidden="1" x14ac:dyDescent="0.25">
      <c r="A363" s="202" t="s">
        <v>546</v>
      </c>
    </row>
    <row r="364" spans="1:1" ht="14.5" hidden="1" x14ac:dyDescent="0.25">
      <c r="A364" s="202" t="s">
        <v>547</v>
      </c>
    </row>
    <row r="365" spans="1:1" ht="14.5" hidden="1" x14ac:dyDescent="0.25">
      <c r="A365" s="202" t="s">
        <v>548</v>
      </c>
    </row>
    <row r="366" spans="1:1" ht="14.5" hidden="1" x14ac:dyDescent="0.25">
      <c r="A366" s="202" t="s">
        <v>549</v>
      </c>
    </row>
    <row r="367" spans="1:1" ht="14.5" hidden="1" x14ac:dyDescent="0.25">
      <c r="A367" s="202" t="s">
        <v>550</v>
      </c>
    </row>
    <row r="368" spans="1:1" ht="14.5" hidden="1" x14ac:dyDescent="0.25">
      <c r="A368" s="202" t="s">
        <v>551</v>
      </c>
    </row>
    <row r="369" spans="1:1" ht="14.5" hidden="1" x14ac:dyDescent="0.25">
      <c r="A369" s="202" t="s">
        <v>552</v>
      </c>
    </row>
    <row r="370" spans="1:1" ht="14.5" hidden="1" x14ac:dyDescent="0.25">
      <c r="A370" s="202" t="s">
        <v>553</v>
      </c>
    </row>
    <row r="371" spans="1:1" ht="14.5" hidden="1" x14ac:dyDescent="0.25">
      <c r="A371" s="202" t="s">
        <v>554</v>
      </c>
    </row>
    <row r="372" spans="1:1" ht="14.5" hidden="1" x14ac:dyDescent="0.25">
      <c r="A372" s="202" t="s">
        <v>555</v>
      </c>
    </row>
    <row r="373" spans="1:1" ht="14.5" hidden="1" x14ac:dyDescent="0.25">
      <c r="A373" s="202" t="s">
        <v>556</v>
      </c>
    </row>
    <row r="374" spans="1:1" ht="14.5" hidden="1" x14ac:dyDescent="0.25">
      <c r="A374" s="202" t="s">
        <v>557</v>
      </c>
    </row>
    <row r="375" spans="1:1" ht="14.5" hidden="1" x14ac:dyDescent="0.25">
      <c r="A375" s="202" t="s">
        <v>558</v>
      </c>
    </row>
    <row r="376" spans="1:1" ht="14.5" hidden="1" x14ac:dyDescent="0.25">
      <c r="A376" s="202" t="s">
        <v>559</v>
      </c>
    </row>
    <row r="377" spans="1:1" ht="14.5" hidden="1" x14ac:dyDescent="0.25">
      <c r="A377" s="202" t="s">
        <v>560</v>
      </c>
    </row>
    <row r="378" spans="1:1" ht="14.5" hidden="1" x14ac:dyDescent="0.25">
      <c r="A378" s="202" t="s">
        <v>561</v>
      </c>
    </row>
    <row r="379" spans="1:1" ht="14.5" x14ac:dyDescent="0.25">
      <c r="A379" s="202" t="s">
        <v>321</v>
      </c>
    </row>
    <row r="380" spans="1:1" ht="14.5" x14ac:dyDescent="0.25">
      <c r="A380" s="202" t="s">
        <v>562</v>
      </c>
    </row>
    <row r="381" spans="1:1" ht="14.5" x14ac:dyDescent="0.25">
      <c r="A381" s="202">
        <v>10000.5145555</v>
      </c>
    </row>
    <row r="382" spans="1:1" ht="14.5" x14ac:dyDescent="0.25">
      <c r="A382" s="202">
        <v>6.6754684242800004E-3</v>
      </c>
    </row>
    <row r="383" spans="1:1" ht="14.5" x14ac:dyDescent="0.25">
      <c r="A383" s="202" t="s">
        <v>292</v>
      </c>
    </row>
    <row r="384" spans="1:1" ht="14.5" x14ac:dyDescent="0.25">
      <c r="A384" s="202"/>
    </row>
    <row r="385" spans="1:1" ht="14.5" hidden="1" x14ac:dyDescent="0.25">
      <c r="A385" s="202" t="s">
        <v>295</v>
      </c>
    </row>
    <row r="386" spans="1:1" ht="14.5" hidden="1" x14ac:dyDescent="0.25">
      <c r="A386" s="202" t="s">
        <v>296</v>
      </c>
    </row>
    <row r="387" spans="1:1" ht="14.5" hidden="1" x14ac:dyDescent="0.25">
      <c r="A387" s="202" t="s">
        <v>283</v>
      </c>
    </row>
    <row r="388" spans="1:1" ht="14.5" x14ac:dyDescent="0.25">
      <c r="A388" s="202" t="s">
        <v>492</v>
      </c>
    </row>
    <row r="389" spans="1:1" ht="14.5" x14ac:dyDescent="0.25">
      <c r="A389" s="202" t="s">
        <v>420</v>
      </c>
    </row>
    <row r="390" spans="1:1" ht="14.5" x14ac:dyDescent="0.25">
      <c r="A390" s="202" t="s">
        <v>563</v>
      </c>
    </row>
    <row r="391" spans="1:1" ht="14.5" hidden="1" x14ac:dyDescent="0.25">
      <c r="A391" s="202" t="s">
        <v>564</v>
      </c>
    </row>
    <row r="392" spans="1:1" ht="14.5" hidden="1" x14ac:dyDescent="0.25">
      <c r="A392" s="202" t="s">
        <v>565</v>
      </c>
    </row>
    <row r="393" spans="1:1" ht="14.5" hidden="1" x14ac:dyDescent="0.25">
      <c r="A393" s="202" t="s">
        <v>566</v>
      </c>
    </row>
    <row r="394" spans="1:1" ht="14.5" hidden="1" x14ac:dyDescent="0.25">
      <c r="A394" s="202" t="s">
        <v>567</v>
      </c>
    </row>
    <row r="395" spans="1:1" ht="14.5" hidden="1" x14ac:dyDescent="0.25">
      <c r="A395" s="202" t="s">
        <v>568</v>
      </c>
    </row>
    <row r="396" spans="1:1" ht="14.5" hidden="1" x14ac:dyDescent="0.25">
      <c r="A396" s="202" t="s">
        <v>569</v>
      </c>
    </row>
    <row r="397" spans="1:1" ht="14.5" hidden="1" x14ac:dyDescent="0.25">
      <c r="A397" s="202" t="s">
        <v>570</v>
      </c>
    </row>
    <row r="398" spans="1:1" ht="14.5" hidden="1" x14ac:dyDescent="0.25">
      <c r="A398" s="202" t="s">
        <v>571</v>
      </c>
    </row>
    <row r="399" spans="1:1" ht="14.5" hidden="1" x14ac:dyDescent="0.25">
      <c r="A399" s="202" t="s">
        <v>572</v>
      </c>
    </row>
    <row r="400" spans="1:1" ht="14.5" hidden="1" x14ac:dyDescent="0.25">
      <c r="A400" s="202" t="s">
        <v>573</v>
      </c>
    </row>
    <row r="401" spans="1:1" ht="14.5" hidden="1" x14ac:dyDescent="0.25">
      <c r="A401" s="202" t="s">
        <v>574</v>
      </c>
    </row>
    <row r="402" spans="1:1" ht="14.5" hidden="1" x14ac:dyDescent="0.25">
      <c r="A402" s="202" t="s">
        <v>575</v>
      </c>
    </row>
    <row r="403" spans="1:1" ht="14.5" hidden="1" x14ac:dyDescent="0.25">
      <c r="A403" s="202" t="s">
        <v>576</v>
      </c>
    </row>
    <row r="404" spans="1:1" ht="14.5" hidden="1" x14ac:dyDescent="0.25">
      <c r="A404" s="202" t="s">
        <v>577</v>
      </c>
    </row>
    <row r="405" spans="1:1" ht="14.5" hidden="1" x14ac:dyDescent="0.25">
      <c r="A405" s="202" t="s">
        <v>578</v>
      </c>
    </row>
    <row r="406" spans="1:1" ht="14.5" hidden="1" x14ac:dyDescent="0.25">
      <c r="A406" s="202" t="s">
        <v>579</v>
      </c>
    </row>
    <row r="407" spans="1:1" ht="14.5" hidden="1" x14ac:dyDescent="0.25">
      <c r="A407" s="202" t="s">
        <v>580</v>
      </c>
    </row>
    <row r="408" spans="1:1" ht="14.5" hidden="1" x14ac:dyDescent="0.25">
      <c r="A408" s="202" t="s">
        <v>581</v>
      </c>
    </row>
    <row r="409" spans="1:1" ht="14.5" hidden="1" x14ac:dyDescent="0.25">
      <c r="A409" s="202" t="s">
        <v>582</v>
      </c>
    </row>
    <row r="410" spans="1:1" ht="14.5" hidden="1" x14ac:dyDescent="0.25">
      <c r="A410" s="202" t="s">
        <v>583</v>
      </c>
    </row>
    <row r="411" spans="1:1" ht="14.5" hidden="1" x14ac:dyDescent="0.25">
      <c r="A411" s="202" t="s">
        <v>584</v>
      </c>
    </row>
    <row r="412" spans="1:1" ht="14.5" hidden="1" x14ac:dyDescent="0.25">
      <c r="A412" s="202" t="s">
        <v>585</v>
      </c>
    </row>
    <row r="413" spans="1:1" ht="14.5" x14ac:dyDescent="0.25">
      <c r="A413" s="202" t="s">
        <v>321</v>
      </c>
    </row>
    <row r="414" spans="1:1" ht="14.5" x14ac:dyDescent="0.25">
      <c r="A414" s="202" t="s">
        <v>586</v>
      </c>
    </row>
    <row r="415" spans="1:1" ht="14.5" x14ac:dyDescent="0.25">
      <c r="A415" s="202">
        <v>10000.5143145</v>
      </c>
    </row>
    <row r="416" spans="1:1" ht="14.5" x14ac:dyDescent="0.25">
      <c r="A416" s="202">
        <v>1.51855705393E-3</v>
      </c>
    </row>
    <row r="417" spans="1:1" ht="14.5" x14ac:dyDescent="0.25">
      <c r="A417" s="202" t="s">
        <v>292</v>
      </c>
    </row>
    <row r="418" spans="1:1" ht="14.5" x14ac:dyDescent="0.25">
      <c r="A418" s="202" t="s">
        <v>587</v>
      </c>
    </row>
    <row r="419" spans="1:1" ht="43.5" x14ac:dyDescent="0.25">
      <c r="A419" s="212" t="s">
        <v>588</v>
      </c>
    </row>
    <row r="420" spans="1:1" ht="14.5" x14ac:dyDescent="0.25">
      <c r="A420" s="202"/>
    </row>
    <row r="421" spans="1:1" ht="14.5" x14ac:dyDescent="0.25">
      <c r="A421" s="202" t="s">
        <v>589</v>
      </c>
    </row>
    <row r="422" spans="1:1" ht="14.5" x14ac:dyDescent="0.25">
      <c r="A422" s="202"/>
    </row>
    <row r="423" spans="1:1" ht="14.5" x14ac:dyDescent="0.25">
      <c r="A423" s="202" t="s">
        <v>590</v>
      </c>
    </row>
    <row r="424" spans="1:1" ht="14.5" x14ac:dyDescent="0.25">
      <c r="A424" s="202" t="s">
        <v>591</v>
      </c>
    </row>
    <row r="425" spans="1:1" ht="14.5" hidden="1" x14ac:dyDescent="0.25">
      <c r="A425" s="202" t="s">
        <v>295</v>
      </c>
    </row>
    <row r="426" spans="1:1" ht="14.5" hidden="1" x14ac:dyDescent="0.25">
      <c r="A426" s="202" t="s">
        <v>296</v>
      </c>
    </row>
    <row r="427" spans="1:1" ht="14.5" hidden="1" x14ac:dyDescent="0.25">
      <c r="A427" s="202" t="s">
        <v>283</v>
      </c>
    </row>
    <row r="428" spans="1:1" ht="14.5" x14ac:dyDescent="0.25">
      <c r="A428" s="202" t="s">
        <v>492</v>
      </c>
    </row>
    <row r="429" spans="1:1" ht="14.5" x14ac:dyDescent="0.25">
      <c r="A429" s="202" t="s">
        <v>420</v>
      </c>
    </row>
    <row r="430" spans="1:1" ht="14.5" x14ac:dyDescent="0.25">
      <c r="A430" s="202" t="s">
        <v>592</v>
      </c>
    </row>
    <row r="431" spans="1:1" ht="14.5" hidden="1" x14ac:dyDescent="0.25">
      <c r="A431" s="202" t="s">
        <v>593</v>
      </c>
    </row>
    <row r="432" spans="1:1" ht="14.5" hidden="1" x14ac:dyDescent="0.25">
      <c r="A432" s="202" t="s">
        <v>594</v>
      </c>
    </row>
    <row r="433" spans="1:1" ht="14.5" hidden="1" x14ac:dyDescent="0.25">
      <c r="A433" s="202" t="s">
        <v>595</v>
      </c>
    </row>
    <row r="434" spans="1:1" ht="14.5" hidden="1" x14ac:dyDescent="0.25">
      <c r="A434" s="202" t="s">
        <v>596</v>
      </c>
    </row>
    <row r="435" spans="1:1" ht="14.5" hidden="1" x14ac:dyDescent="0.25">
      <c r="A435" s="202" t="s">
        <v>597</v>
      </c>
    </row>
    <row r="436" spans="1:1" ht="14.5" hidden="1" x14ac:dyDescent="0.25">
      <c r="A436" s="202" t="s">
        <v>598</v>
      </c>
    </row>
    <row r="437" spans="1:1" ht="14.5" hidden="1" x14ac:dyDescent="0.25">
      <c r="A437" s="202" t="s">
        <v>599</v>
      </c>
    </row>
    <row r="438" spans="1:1" ht="14.5" hidden="1" x14ac:dyDescent="0.25">
      <c r="A438" s="202" t="s">
        <v>600</v>
      </c>
    </row>
    <row r="439" spans="1:1" ht="14.5" hidden="1" x14ac:dyDescent="0.25">
      <c r="A439" s="202" t="s">
        <v>601</v>
      </c>
    </row>
    <row r="440" spans="1:1" ht="14.5" hidden="1" x14ac:dyDescent="0.25">
      <c r="A440" s="202" t="s">
        <v>602</v>
      </c>
    </row>
    <row r="441" spans="1:1" ht="14.5" hidden="1" x14ac:dyDescent="0.25">
      <c r="A441" s="202" t="s">
        <v>603</v>
      </c>
    </row>
    <row r="442" spans="1:1" ht="14.5" hidden="1" x14ac:dyDescent="0.25">
      <c r="A442" s="202" t="s">
        <v>604</v>
      </c>
    </row>
    <row r="443" spans="1:1" ht="14.5" hidden="1" x14ac:dyDescent="0.25">
      <c r="A443" s="202" t="s">
        <v>605</v>
      </c>
    </row>
    <row r="444" spans="1:1" ht="14.5" hidden="1" x14ac:dyDescent="0.25">
      <c r="A444" s="202" t="s">
        <v>606</v>
      </c>
    </row>
    <row r="445" spans="1:1" ht="14.5" hidden="1" x14ac:dyDescent="0.25">
      <c r="A445" s="202" t="s">
        <v>607</v>
      </c>
    </row>
    <row r="446" spans="1:1" ht="14.5" hidden="1" x14ac:dyDescent="0.25">
      <c r="A446" s="202" t="s">
        <v>608</v>
      </c>
    </row>
    <row r="447" spans="1:1" ht="14.5" hidden="1" x14ac:dyDescent="0.25">
      <c r="A447" s="202" t="s">
        <v>609</v>
      </c>
    </row>
    <row r="448" spans="1:1" ht="14.5" hidden="1" x14ac:dyDescent="0.25">
      <c r="A448" s="202" t="s">
        <v>610</v>
      </c>
    </row>
    <row r="449" spans="1:1" ht="14.5" hidden="1" x14ac:dyDescent="0.25">
      <c r="A449" s="202" t="s">
        <v>611</v>
      </c>
    </row>
    <row r="450" spans="1:1" ht="14.5" hidden="1" x14ac:dyDescent="0.25">
      <c r="A450" s="202" t="s">
        <v>612</v>
      </c>
    </row>
    <row r="451" spans="1:1" ht="14.5" hidden="1" x14ac:dyDescent="0.25">
      <c r="A451" s="202" t="s">
        <v>613</v>
      </c>
    </row>
    <row r="452" spans="1:1" ht="14.5" hidden="1" x14ac:dyDescent="0.25">
      <c r="A452" s="202" t="s">
        <v>614</v>
      </c>
    </row>
    <row r="453" spans="1:1" ht="14.5" x14ac:dyDescent="0.25">
      <c r="A453" s="202" t="s">
        <v>321</v>
      </c>
    </row>
    <row r="454" spans="1:1" ht="14.5" x14ac:dyDescent="0.25">
      <c r="A454" s="202" t="s">
        <v>615</v>
      </c>
    </row>
    <row r="455" spans="1:1" ht="14.5" x14ac:dyDescent="0.25">
      <c r="A455" s="202">
        <v>9969.7553396000003</v>
      </c>
    </row>
    <row r="456" spans="1:1" ht="14.5" x14ac:dyDescent="0.25">
      <c r="A456" s="202">
        <v>1.4157809226900001E-3</v>
      </c>
    </row>
    <row r="457" spans="1:1" ht="14.5" x14ac:dyDescent="0.25">
      <c r="A457" s="202" t="s">
        <v>292</v>
      </c>
    </row>
    <row r="458" spans="1:1" ht="14.5" hidden="1" x14ac:dyDescent="0.25">
      <c r="A458" s="202" t="s">
        <v>295</v>
      </c>
    </row>
    <row r="459" spans="1:1" ht="14.5" hidden="1" x14ac:dyDescent="0.25">
      <c r="A459" s="202" t="s">
        <v>296</v>
      </c>
    </row>
    <row r="460" spans="1:1" ht="14.5" hidden="1" x14ac:dyDescent="0.25">
      <c r="A460" s="202" t="s">
        <v>283</v>
      </c>
    </row>
    <row r="461" spans="1:1" ht="14.5" x14ac:dyDescent="0.25">
      <c r="A461" s="202" t="s">
        <v>492</v>
      </c>
    </row>
    <row r="462" spans="1:1" ht="14.5" x14ac:dyDescent="0.25">
      <c r="A462" s="202" t="s">
        <v>616</v>
      </c>
    </row>
    <row r="463" spans="1:1" ht="14.5" x14ac:dyDescent="0.25">
      <c r="A463" s="202" t="s">
        <v>617</v>
      </c>
    </row>
    <row r="464" spans="1:1" ht="14.5" hidden="1" x14ac:dyDescent="0.25">
      <c r="A464" s="202" t="s">
        <v>618</v>
      </c>
    </row>
    <row r="465" spans="1:1" ht="14.5" hidden="1" x14ac:dyDescent="0.25">
      <c r="A465" s="202" t="s">
        <v>619</v>
      </c>
    </row>
    <row r="466" spans="1:1" ht="14.5" hidden="1" x14ac:dyDescent="0.25">
      <c r="A466" s="202" t="s">
        <v>620</v>
      </c>
    </row>
    <row r="467" spans="1:1" ht="14.5" hidden="1" x14ac:dyDescent="0.25">
      <c r="A467" s="202" t="s">
        <v>621</v>
      </c>
    </row>
    <row r="468" spans="1:1" ht="14.5" hidden="1" x14ac:dyDescent="0.25">
      <c r="A468" s="202" t="s">
        <v>622</v>
      </c>
    </row>
    <row r="469" spans="1:1" ht="14.5" hidden="1" x14ac:dyDescent="0.25">
      <c r="A469" s="202" t="s">
        <v>623</v>
      </c>
    </row>
    <row r="470" spans="1:1" ht="14.5" hidden="1" x14ac:dyDescent="0.25">
      <c r="A470" s="202" t="s">
        <v>624</v>
      </c>
    </row>
    <row r="471" spans="1:1" ht="14.5" hidden="1" x14ac:dyDescent="0.25">
      <c r="A471" s="202" t="s">
        <v>625</v>
      </c>
    </row>
    <row r="472" spans="1:1" ht="14.5" hidden="1" x14ac:dyDescent="0.25">
      <c r="A472" s="202" t="s">
        <v>626</v>
      </c>
    </row>
    <row r="473" spans="1:1" ht="14.5" hidden="1" x14ac:dyDescent="0.25">
      <c r="A473" s="202" t="s">
        <v>627</v>
      </c>
    </row>
    <row r="474" spans="1:1" ht="14.5" hidden="1" x14ac:dyDescent="0.25">
      <c r="A474" s="202" t="s">
        <v>628</v>
      </c>
    </row>
    <row r="475" spans="1:1" ht="14.5" hidden="1" x14ac:dyDescent="0.25">
      <c r="A475" s="202" t="s">
        <v>629</v>
      </c>
    </row>
    <row r="476" spans="1:1" ht="14.5" hidden="1" x14ac:dyDescent="0.25">
      <c r="A476" s="202" t="s">
        <v>630</v>
      </c>
    </row>
    <row r="477" spans="1:1" ht="14.5" hidden="1" x14ac:dyDescent="0.25">
      <c r="A477" s="202" t="s">
        <v>631</v>
      </c>
    </row>
    <row r="478" spans="1:1" ht="14.5" hidden="1" x14ac:dyDescent="0.25">
      <c r="A478" s="202" t="s">
        <v>632</v>
      </c>
    </row>
    <row r="479" spans="1:1" ht="14.5" hidden="1" x14ac:dyDescent="0.25">
      <c r="A479" s="202" t="s">
        <v>633</v>
      </c>
    </row>
    <row r="480" spans="1:1" ht="14.5" hidden="1" x14ac:dyDescent="0.25">
      <c r="A480" s="202" t="s">
        <v>634</v>
      </c>
    </row>
    <row r="481" spans="1:1" ht="14.5" hidden="1" x14ac:dyDescent="0.25">
      <c r="A481" s="202" t="s">
        <v>635</v>
      </c>
    </row>
    <row r="482" spans="1:1" ht="14.5" hidden="1" x14ac:dyDescent="0.25">
      <c r="A482" s="202" t="s">
        <v>636</v>
      </c>
    </row>
    <row r="483" spans="1:1" ht="14.5" hidden="1" x14ac:dyDescent="0.25">
      <c r="A483" s="202" t="s">
        <v>637</v>
      </c>
    </row>
    <row r="484" spans="1:1" ht="14.5" hidden="1" x14ac:dyDescent="0.25">
      <c r="A484" s="202" t="s">
        <v>638</v>
      </c>
    </row>
    <row r="485" spans="1:1" ht="14.5" hidden="1" x14ac:dyDescent="0.25">
      <c r="A485" s="202" t="s">
        <v>639</v>
      </c>
    </row>
    <row r="486" spans="1:1" ht="14.5" x14ac:dyDescent="0.25">
      <c r="A486" s="202" t="s">
        <v>321</v>
      </c>
    </row>
    <row r="487" spans="1:1" ht="14.5" x14ac:dyDescent="0.25">
      <c r="A487" s="202" t="s">
        <v>640</v>
      </c>
    </row>
    <row r="488" spans="1:1" ht="14.5" x14ac:dyDescent="0.25">
      <c r="A488" s="202">
        <v>9969.7709249500003</v>
      </c>
    </row>
    <row r="489" spans="1:1" ht="14.5" x14ac:dyDescent="0.25">
      <c r="A489" s="202">
        <v>9.5478369468E-3</v>
      </c>
    </row>
    <row r="490" spans="1:1" ht="14.5" x14ac:dyDescent="0.25">
      <c r="A490" s="202" t="s">
        <v>292</v>
      </c>
    </row>
    <row r="491" spans="1:1" ht="14.5" x14ac:dyDescent="0.25">
      <c r="A491" s="202" t="s">
        <v>641</v>
      </c>
    </row>
    <row r="492" spans="1:1" ht="14.5" x14ac:dyDescent="0.25">
      <c r="A492" s="202"/>
    </row>
    <row r="493" spans="1:1" ht="14.5" hidden="1" x14ac:dyDescent="0.25">
      <c r="A493" s="202" t="s">
        <v>295</v>
      </c>
    </row>
    <row r="494" spans="1:1" ht="14.5" hidden="1" x14ac:dyDescent="0.25">
      <c r="A494" s="202" t="s">
        <v>296</v>
      </c>
    </row>
    <row r="495" spans="1:1" ht="14.5" hidden="1" x14ac:dyDescent="0.25">
      <c r="A495" s="202" t="s">
        <v>283</v>
      </c>
    </row>
    <row r="496" spans="1:1" ht="14.5" x14ac:dyDescent="0.25">
      <c r="A496" s="202" t="s">
        <v>419</v>
      </c>
    </row>
    <row r="497" spans="1:1" ht="14.5" x14ac:dyDescent="0.25">
      <c r="A497" s="202" t="s">
        <v>493</v>
      </c>
    </row>
    <row r="498" spans="1:1" ht="14.5" x14ac:dyDescent="0.25">
      <c r="A498" s="202" t="s">
        <v>323</v>
      </c>
    </row>
    <row r="499" spans="1:1" ht="14.5" hidden="1" x14ac:dyDescent="0.25">
      <c r="A499" s="202" t="s">
        <v>642</v>
      </c>
    </row>
    <row r="500" spans="1:1" ht="14.5" hidden="1" x14ac:dyDescent="0.25">
      <c r="A500" s="202" t="s">
        <v>643</v>
      </c>
    </row>
    <row r="501" spans="1:1" ht="14.5" hidden="1" x14ac:dyDescent="0.25">
      <c r="A501" s="202" t="s">
        <v>644</v>
      </c>
    </row>
    <row r="502" spans="1:1" ht="14.5" hidden="1" x14ac:dyDescent="0.25">
      <c r="A502" s="202" t="s">
        <v>645</v>
      </c>
    </row>
    <row r="503" spans="1:1" ht="14.5" hidden="1" x14ac:dyDescent="0.25">
      <c r="A503" s="202" t="s">
        <v>646</v>
      </c>
    </row>
    <row r="504" spans="1:1" ht="14.5" hidden="1" x14ac:dyDescent="0.25">
      <c r="A504" s="202" t="s">
        <v>647</v>
      </c>
    </row>
    <row r="505" spans="1:1" ht="14.5" hidden="1" x14ac:dyDescent="0.25">
      <c r="A505" s="202" t="s">
        <v>648</v>
      </c>
    </row>
    <row r="506" spans="1:1" ht="14.5" hidden="1" x14ac:dyDescent="0.25">
      <c r="A506" s="202" t="s">
        <v>649</v>
      </c>
    </row>
    <row r="507" spans="1:1" ht="14.5" hidden="1" x14ac:dyDescent="0.25">
      <c r="A507" s="202" t="s">
        <v>650</v>
      </c>
    </row>
    <row r="508" spans="1:1" ht="14.5" hidden="1" x14ac:dyDescent="0.25">
      <c r="A508" s="202" t="s">
        <v>651</v>
      </c>
    </row>
    <row r="509" spans="1:1" ht="14.5" hidden="1" x14ac:dyDescent="0.25">
      <c r="A509" s="202" t="s">
        <v>652</v>
      </c>
    </row>
    <row r="510" spans="1:1" ht="14.5" hidden="1" x14ac:dyDescent="0.25">
      <c r="A510" s="202" t="s">
        <v>653</v>
      </c>
    </row>
    <row r="511" spans="1:1" ht="14.5" hidden="1" x14ac:dyDescent="0.25">
      <c r="A511" s="202" t="s">
        <v>654</v>
      </c>
    </row>
    <row r="512" spans="1:1" ht="14.5" hidden="1" x14ac:dyDescent="0.25">
      <c r="A512" s="202" t="s">
        <v>655</v>
      </c>
    </row>
    <row r="513" spans="1:1" ht="14.5" hidden="1" x14ac:dyDescent="0.25">
      <c r="A513" s="202" t="s">
        <v>656</v>
      </c>
    </row>
    <row r="514" spans="1:1" ht="14.5" hidden="1" x14ac:dyDescent="0.25">
      <c r="A514" s="202" t="s">
        <v>657</v>
      </c>
    </row>
    <row r="515" spans="1:1" ht="14.5" hidden="1" x14ac:dyDescent="0.25">
      <c r="A515" s="202" t="s">
        <v>658</v>
      </c>
    </row>
    <row r="516" spans="1:1" ht="14.5" hidden="1" x14ac:dyDescent="0.25">
      <c r="A516" s="202" t="s">
        <v>659</v>
      </c>
    </row>
    <row r="517" spans="1:1" ht="14.5" hidden="1" x14ac:dyDescent="0.25">
      <c r="A517" s="202" t="s">
        <v>660</v>
      </c>
    </row>
    <row r="518" spans="1:1" ht="14.5" hidden="1" x14ac:dyDescent="0.25">
      <c r="A518" s="202" t="s">
        <v>661</v>
      </c>
    </row>
    <row r="519" spans="1:1" ht="14.5" hidden="1" x14ac:dyDescent="0.25">
      <c r="A519" s="202" t="s">
        <v>662</v>
      </c>
    </row>
    <row r="520" spans="1:1" ht="14.5" hidden="1" x14ac:dyDescent="0.25">
      <c r="A520" s="202" t="s">
        <v>663</v>
      </c>
    </row>
    <row r="521" spans="1:1" ht="14.5" x14ac:dyDescent="0.25">
      <c r="A521" s="202" t="s">
        <v>321</v>
      </c>
    </row>
    <row r="522" spans="1:1" ht="14.5" x14ac:dyDescent="0.25">
      <c r="A522" s="202" t="s">
        <v>664</v>
      </c>
    </row>
    <row r="523" spans="1:1" ht="14.5" x14ac:dyDescent="0.25">
      <c r="A523" s="202">
        <v>9999.9730223499992</v>
      </c>
    </row>
    <row r="524" spans="1:1" ht="14.5" x14ac:dyDescent="0.25">
      <c r="A524" s="202">
        <v>1.0819034044E-3</v>
      </c>
    </row>
    <row r="525" spans="1:1" ht="14.5" x14ac:dyDescent="0.25">
      <c r="A525" s="202" t="s">
        <v>292</v>
      </c>
    </row>
    <row r="526" spans="1:1" ht="14.5" hidden="1" x14ac:dyDescent="0.25">
      <c r="A526" s="202" t="s">
        <v>295</v>
      </c>
    </row>
    <row r="527" spans="1:1" ht="14.5" hidden="1" x14ac:dyDescent="0.25">
      <c r="A527" s="202" t="s">
        <v>296</v>
      </c>
    </row>
    <row r="528" spans="1:1" ht="14.5" hidden="1" x14ac:dyDescent="0.25">
      <c r="A528" s="202" t="s">
        <v>283</v>
      </c>
    </row>
    <row r="529" spans="1:1" ht="14.5" x14ac:dyDescent="0.25">
      <c r="A529" s="202" t="s">
        <v>419</v>
      </c>
    </row>
    <row r="530" spans="1:1" ht="14.5" x14ac:dyDescent="0.25">
      <c r="A530" s="202" t="s">
        <v>616</v>
      </c>
    </row>
    <row r="531" spans="1:1" ht="14.5" x14ac:dyDescent="0.25">
      <c r="A531" s="202" t="s">
        <v>346</v>
      </c>
    </row>
    <row r="532" spans="1:1" ht="14.5" hidden="1" x14ac:dyDescent="0.25">
      <c r="A532" s="202" t="s">
        <v>665</v>
      </c>
    </row>
    <row r="533" spans="1:1" ht="14.5" hidden="1" x14ac:dyDescent="0.25">
      <c r="A533" s="202" t="s">
        <v>666</v>
      </c>
    </row>
    <row r="534" spans="1:1" ht="14.5" hidden="1" x14ac:dyDescent="0.25">
      <c r="A534" s="202" t="s">
        <v>667</v>
      </c>
    </row>
    <row r="535" spans="1:1" ht="14.5" hidden="1" x14ac:dyDescent="0.25">
      <c r="A535" s="202" t="s">
        <v>668</v>
      </c>
    </row>
    <row r="536" spans="1:1" ht="14.5" hidden="1" x14ac:dyDescent="0.25">
      <c r="A536" s="202" t="s">
        <v>669</v>
      </c>
    </row>
    <row r="537" spans="1:1" ht="14.5" hidden="1" x14ac:dyDescent="0.25">
      <c r="A537" s="202" t="s">
        <v>670</v>
      </c>
    </row>
    <row r="538" spans="1:1" ht="14.5" hidden="1" x14ac:dyDescent="0.25">
      <c r="A538" s="202" t="s">
        <v>671</v>
      </c>
    </row>
    <row r="539" spans="1:1" ht="14.5" hidden="1" x14ac:dyDescent="0.25">
      <c r="A539" s="202" t="s">
        <v>672</v>
      </c>
    </row>
    <row r="540" spans="1:1" ht="14.5" hidden="1" x14ac:dyDescent="0.25">
      <c r="A540" s="202" t="s">
        <v>673</v>
      </c>
    </row>
    <row r="541" spans="1:1" ht="14.5" hidden="1" x14ac:dyDescent="0.25">
      <c r="A541" s="202" t="s">
        <v>674</v>
      </c>
    </row>
    <row r="542" spans="1:1" ht="14.5" hidden="1" x14ac:dyDescent="0.25">
      <c r="A542" s="202" t="s">
        <v>675</v>
      </c>
    </row>
    <row r="543" spans="1:1" ht="14.5" hidden="1" x14ac:dyDescent="0.25">
      <c r="A543" s="202" t="s">
        <v>676</v>
      </c>
    </row>
    <row r="544" spans="1:1" ht="14.5" hidden="1" x14ac:dyDescent="0.25">
      <c r="A544" s="202" t="s">
        <v>677</v>
      </c>
    </row>
    <row r="545" spans="1:1" ht="14.5" hidden="1" x14ac:dyDescent="0.25">
      <c r="A545" s="202" t="s">
        <v>678</v>
      </c>
    </row>
    <row r="546" spans="1:1" ht="14.5" hidden="1" x14ac:dyDescent="0.25">
      <c r="A546" s="202" t="s">
        <v>679</v>
      </c>
    </row>
    <row r="547" spans="1:1" ht="14.5" hidden="1" x14ac:dyDescent="0.25">
      <c r="A547" s="202" t="s">
        <v>680</v>
      </c>
    </row>
    <row r="548" spans="1:1" ht="14.5" hidden="1" x14ac:dyDescent="0.25">
      <c r="A548" s="202" t="s">
        <v>681</v>
      </c>
    </row>
    <row r="549" spans="1:1" ht="14.5" hidden="1" x14ac:dyDescent="0.25">
      <c r="A549" s="202" t="s">
        <v>682</v>
      </c>
    </row>
    <row r="550" spans="1:1" ht="14.5" hidden="1" x14ac:dyDescent="0.25">
      <c r="A550" s="202" t="s">
        <v>683</v>
      </c>
    </row>
    <row r="551" spans="1:1" ht="14.5" hidden="1" x14ac:dyDescent="0.25">
      <c r="A551" s="202" t="s">
        <v>684</v>
      </c>
    </row>
    <row r="552" spans="1:1" ht="14.5" hidden="1" x14ac:dyDescent="0.25">
      <c r="A552" s="202" t="s">
        <v>685</v>
      </c>
    </row>
    <row r="553" spans="1:1" ht="14.5" hidden="1" x14ac:dyDescent="0.25">
      <c r="A553" s="202" t="s">
        <v>686</v>
      </c>
    </row>
    <row r="554" spans="1:1" ht="14.5" x14ac:dyDescent="0.25">
      <c r="A554" s="202" t="s">
        <v>321</v>
      </c>
    </row>
    <row r="555" spans="1:1" ht="14.5" x14ac:dyDescent="0.25">
      <c r="A555" s="202" t="s">
        <v>687</v>
      </c>
    </row>
    <row r="556" spans="1:1" ht="14.5" x14ac:dyDescent="0.25">
      <c r="A556" s="202">
        <v>9999.9718872499998</v>
      </c>
    </row>
    <row r="557" spans="1:1" ht="14.5" x14ac:dyDescent="0.25">
      <c r="A557" s="202">
        <v>1.09764297134E-3</v>
      </c>
    </row>
    <row r="558" spans="1:1" ht="14.5" x14ac:dyDescent="0.25">
      <c r="A558" s="202" t="s">
        <v>292</v>
      </c>
    </row>
    <row r="559" spans="1:1" ht="14.5" x14ac:dyDescent="0.25">
      <c r="A559" s="202" t="s">
        <v>688</v>
      </c>
    </row>
    <row r="560" spans="1:1" ht="14.5" x14ac:dyDescent="0.25">
      <c r="A560" s="202"/>
    </row>
    <row r="561" spans="1:1" ht="14.5" hidden="1" x14ac:dyDescent="0.25">
      <c r="A561" s="202" t="s">
        <v>295</v>
      </c>
    </row>
    <row r="562" spans="1:1" ht="14.5" hidden="1" x14ac:dyDescent="0.25">
      <c r="A562" s="202" t="s">
        <v>296</v>
      </c>
    </row>
    <row r="563" spans="1:1" ht="14.5" hidden="1" x14ac:dyDescent="0.25">
      <c r="A563" s="202" t="s">
        <v>283</v>
      </c>
    </row>
    <row r="564" spans="1:1" ht="14.5" x14ac:dyDescent="0.25">
      <c r="A564" s="202" t="s">
        <v>419</v>
      </c>
    </row>
    <row r="565" spans="1:1" ht="14.5" x14ac:dyDescent="0.25">
      <c r="A565" s="202" t="s">
        <v>493</v>
      </c>
    </row>
    <row r="566" spans="1:1" ht="14.5" x14ac:dyDescent="0.25">
      <c r="A566" s="202" t="s">
        <v>689</v>
      </c>
    </row>
    <row r="567" spans="1:1" ht="14.5" hidden="1" x14ac:dyDescent="0.25">
      <c r="A567" s="202" t="s">
        <v>690</v>
      </c>
    </row>
    <row r="568" spans="1:1" ht="14.5" hidden="1" x14ac:dyDescent="0.25">
      <c r="A568" s="202" t="s">
        <v>691</v>
      </c>
    </row>
    <row r="569" spans="1:1" ht="14.5" hidden="1" x14ac:dyDescent="0.25">
      <c r="A569" s="202" t="s">
        <v>692</v>
      </c>
    </row>
    <row r="570" spans="1:1" ht="14.5" hidden="1" x14ac:dyDescent="0.25">
      <c r="A570" s="202" t="s">
        <v>693</v>
      </c>
    </row>
    <row r="571" spans="1:1" ht="14.5" hidden="1" x14ac:dyDescent="0.25">
      <c r="A571" s="202" t="s">
        <v>694</v>
      </c>
    </row>
    <row r="572" spans="1:1" ht="14.5" hidden="1" x14ac:dyDescent="0.25">
      <c r="A572" s="202" t="s">
        <v>695</v>
      </c>
    </row>
    <row r="573" spans="1:1" ht="14.5" hidden="1" x14ac:dyDescent="0.25">
      <c r="A573" s="202" t="s">
        <v>696</v>
      </c>
    </row>
    <row r="574" spans="1:1" ht="14.5" hidden="1" x14ac:dyDescent="0.25">
      <c r="A574" s="202" t="s">
        <v>697</v>
      </c>
    </row>
    <row r="575" spans="1:1" ht="14.5" hidden="1" x14ac:dyDescent="0.25">
      <c r="A575" s="202" t="s">
        <v>698</v>
      </c>
    </row>
    <row r="576" spans="1:1" ht="14.5" hidden="1" x14ac:dyDescent="0.25">
      <c r="A576" s="202" t="s">
        <v>699</v>
      </c>
    </row>
    <row r="577" spans="1:1" ht="14.5" hidden="1" x14ac:dyDescent="0.25">
      <c r="A577" s="202" t="s">
        <v>700</v>
      </c>
    </row>
    <row r="578" spans="1:1" ht="14.5" hidden="1" x14ac:dyDescent="0.25">
      <c r="A578" s="202" t="s">
        <v>701</v>
      </c>
    </row>
    <row r="579" spans="1:1" ht="14.5" hidden="1" x14ac:dyDescent="0.25">
      <c r="A579" s="202" t="s">
        <v>702</v>
      </c>
    </row>
    <row r="580" spans="1:1" ht="14.5" hidden="1" x14ac:dyDescent="0.25">
      <c r="A580" s="202" t="s">
        <v>703</v>
      </c>
    </row>
    <row r="581" spans="1:1" ht="14.5" hidden="1" x14ac:dyDescent="0.25">
      <c r="A581" s="202" t="s">
        <v>704</v>
      </c>
    </row>
    <row r="582" spans="1:1" ht="14.5" hidden="1" x14ac:dyDescent="0.25">
      <c r="A582" s="202" t="s">
        <v>705</v>
      </c>
    </row>
    <row r="583" spans="1:1" ht="14.5" hidden="1" x14ac:dyDescent="0.25">
      <c r="A583" s="202" t="s">
        <v>706</v>
      </c>
    </row>
    <row r="584" spans="1:1" ht="14.5" hidden="1" x14ac:dyDescent="0.25">
      <c r="A584" s="202" t="s">
        <v>707</v>
      </c>
    </row>
    <row r="585" spans="1:1" ht="14.5" hidden="1" x14ac:dyDescent="0.25">
      <c r="A585" s="202" t="s">
        <v>708</v>
      </c>
    </row>
    <row r="586" spans="1:1" ht="14.5" hidden="1" x14ac:dyDescent="0.25">
      <c r="A586" s="202" t="s">
        <v>709</v>
      </c>
    </row>
    <row r="587" spans="1:1" ht="14.5" hidden="1" x14ac:dyDescent="0.25">
      <c r="A587" s="202" t="s">
        <v>710</v>
      </c>
    </row>
    <row r="588" spans="1:1" ht="14.5" hidden="1" x14ac:dyDescent="0.25">
      <c r="A588" s="202" t="s">
        <v>711</v>
      </c>
    </row>
    <row r="589" spans="1:1" ht="14.5" x14ac:dyDescent="0.25">
      <c r="A589" s="202" t="s">
        <v>321</v>
      </c>
    </row>
    <row r="590" spans="1:1" ht="14.5" x14ac:dyDescent="0.25">
      <c r="A590" s="202" t="s">
        <v>712</v>
      </c>
    </row>
    <row r="591" spans="1:1" ht="14.5" x14ac:dyDescent="0.25">
      <c r="A591" s="202">
        <v>10000.0429315</v>
      </c>
    </row>
    <row r="592" spans="1:1" ht="14.5" x14ac:dyDescent="0.25">
      <c r="A592" s="202">
        <v>1.08636659031E-3</v>
      </c>
    </row>
    <row r="593" spans="1:1" ht="14.5" x14ac:dyDescent="0.25">
      <c r="A593" s="202" t="s">
        <v>292</v>
      </c>
    </row>
    <row r="594" spans="1:1" ht="14.5" x14ac:dyDescent="0.25">
      <c r="A594" s="202"/>
    </row>
    <row r="595" spans="1:1" ht="14.5" hidden="1" x14ac:dyDescent="0.25">
      <c r="A595" s="202" t="s">
        <v>295</v>
      </c>
    </row>
    <row r="596" spans="1:1" ht="14.5" hidden="1" x14ac:dyDescent="0.25">
      <c r="A596" s="202" t="s">
        <v>296</v>
      </c>
    </row>
    <row r="597" spans="1:1" ht="14.5" hidden="1" x14ac:dyDescent="0.25">
      <c r="A597" s="202" t="s">
        <v>283</v>
      </c>
    </row>
    <row r="598" spans="1:1" ht="14.5" x14ac:dyDescent="0.25">
      <c r="A598" s="202" t="s">
        <v>419</v>
      </c>
    </row>
    <row r="599" spans="1:1" ht="14.5" x14ac:dyDescent="0.25">
      <c r="A599" s="202" t="s">
        <v>420</v>
      </c>
    </row>
    <row r="600" spans="1:1" ht="14.5" x14ac:dyDescent="0.25">
      <c r="A600" s="202" t="s">
        <v>713</v>
      </c>
    </row>
    <row r="601" spans="1:1" ht="14.5" hidden="1" x14ac:dyDescent="0.25">
      <c r="A601" s="202" t="s">
        <v>714</v>
      </c>
    </row>
    <row r="602" spans="1:1" ht="14.5" hidden="1" x14ac:dyDescent="0.25">
      <c r="A602" s="202" t="s">
        <v>715</v>
      </c>
    </row>
    <row r="603" spans="1:1" ht="14.5" hidden="1" x14ac:dyDescent="0.25">
      <c r="A603" s="202" t="s">
        <v>716</v>
      </c>
    </row>
    <row r="604" spans="1:1" ht="14.5" hidden="1" x14ac:dyDescent="0.25">
      <c r="A604" s="202" t="s">
        <v>717</v>
      </c>
    </row>
    <row r="605" spans="1:1" ht="14.5" hidden="1" x14ac:dyDescent="0.25">
      <c r="A605" s="202" t="s">
        <v>718</v>
      </c>
    </row>
    <row r="606" spans="1:1" ht="14.5" hidden="1" x14ac:dyDescent="0.25">
      <c r="A606" s="202" t="s">
        <v>719</v>
      </c>
    </row>
    <row r="607" spans="1:1" ht="14.5" hidden="1" x14ac:dyDescent="0.25">
      <c r="A607" s="202" t="s">
        <v>720</v>
      </c>
    </row>
    <row r="608" spans="1:1" ht="14.5" hidden="1" x14ac:dyDescent="0.25">
      <c r="A608" s="202" t="s">
        <v>721</v>
      </c>
    </row>
    <row r="609" spans="1:1" ht="14.5" hidden="1" x14ac:dyDescent="0.25">
      <c r="A609" s="202" t="s">
        <v>722</v>
      </c>
    </row>
    <row r="610" spans="1:1" ht="14.5" hidden="1" x14ac:dyDescent="0.25">
      <c r="A610" s="202" t="s">
        <v>723</v>
      </c>
    </row>
    <row r="611" spans="1:1" ht="14.5" hidden="1" x14ac:dyDescent="0.25">
      <c r="A611" s="202" t="s">
        <v>724</v>
      </c>
    </row>
    <row r="612" spans="1:1" ht="14.5" hidden="1" x14ac:dyDescent="0.25">
      <c r="A612" s="202" t="s">
        <v>725</v>
      </c>
    </row>
    <row r="613" spans="1:1" ht="14.5" hidden="1" x14ac:dyDescent="0.25">
      <c r="A613" s="202" t="s">
        <v>726</v>
      </c>
    </row>
    <row r="614" spans="1:1" ht="14.5" hidden="1" x14ac:dyDescent="0.25">
      <c r="A614" s="202" t="s">
        <v>727</v>
      </c>
    </row>
    <row r="615" spans="1:1" ht="14.5" hidden="1" x14ac:dyDescent="0.25">
      <c r="A615" s="202" t="s">
        <v>728</v>
      </c>
    </row>
    <row r="616" spans="1:1" ht="14.5" hidden="1" x14ac:dyDescent="0.25">
      <c r="A616" s="202" t="s">
        <v>729</v>
      </c>
    </row>
    <row r="617" spans="1:1" ht="14.5" hidden="1" x14ac:dyDescent="0.25">
      <c r="A617" s="202" t="s">
        <v>730</v>
      </c>
    </row>
    <row r="618" spans="1:1" ht="14.5" hidden="1" x14ac:dyDescent="0.25">
      <c r="A618" s="202" t="s">
        <v>731</v>
      </c>
    </row>
    <row r="619" spans="1:1" ht="14.5" hidden="1" x14ac:dyDescent="0.25">
      <c r="A619" s="202" t="s">
        <v>732</v>
      </c>
    </row>
    <row r="620" spans="1:1" ht="14.5" hidden="1" x14ac:dyDescent="0.25">
      <c r="A620" s="202" t="s">
        <v>733</v>
      </c>
    </row>
    <row r="621" spans="1:1" ht="14.5" hidden="1" x14ac:dyDescent="0.25">
      <c r="A621" s="202" t="s">
        <v>734</v>
      </c>
    </row>
    <row r="622" spans="1:1" ht="14.5" hidden="1" x14ac:dyDescent="0.25">
      <c r="A622" s="202" t="s">
        <v>735</v>
      </c>
    </row>
    <row r="623" spans="1:1" ht="14.5" x14ac:dyDescent="0.25">
      <c r="A623" s="202" t="s">
        <v>321</v>
      </c>
    </row>
    <row r="624" spans="1:1" ht="14.5" x14ac:dyDescent="0.25">
      <c r="A624" s="202" t="s">
        <v>736</v>
      </c>
    </row>
    <row r="625" spans="1:1" ht="14.5" x14ac:dyDescent="0.25">
      <c r="A625" s="202">
        <v>10000.042114</v>
      </c>
    </row>
    <row r="626" spans="1:1" ht="14.5" x14ac:dyDescent="0.25">
      <c r="A626" s="202">
        <v>1.4254616980100001E-3</v>
      </c>
    </row>
    <row r="627" spans="1:1" ht="14.5" x14ac:dyDescent="0.25">
      <c r="A627" s="202" t="s">
        <v>292</v>
      </c>
    </row>
    <row r="628" spans="1:1" ht="14.5" x14ac:dyDescent="0.25">
      <c r="A628" s="202" t="s">
        <v>737</v>
      </c>
    </row>
    <row r="629" spans="1:1" ht="14.5" x14ac:dyDescent="0.25">
      <c r="A629" s="202"/>
    </row>
    <row r="630" spans="1:1" ht="14.5" hidden="1" x14ac:dyDescent="0.25">
      <c r="A630" s="202" t="s">
        <v>295</v>
      </c>
    </row>
    <row r="631" spans="1:1" ht="14.5" hidden="1" x14ac:dyDescent="0.25">
      <c r="A631" s="202" t="s">
        <v>296</v>
      </c>
    </row>
    <row r="632" spans="1:1" ht="14.5" hidden="1" x14ac:dyDescent="0.25">
      <c r="A632" s="202" t="s">
        <v>283</v>
      </c>
    </row>
    <row r="633" spans="1:1" ht="14.5" x14ac:dyDescent="0.25">
      <c r="A633" s="202" t="s">
        <v>492</v>
      </c>
    </row>
    <row r="634" spans="1:1" ht="14.5" x14ac:dyDescent="0.25">
      <c r="A634" s="202" t="s">
        <v>420</v>
      </c>
    </row>
    <row r="635" spans="1:1" ht="14.5" x14ac:dyDescent="0.25">
      <c r="A635" s="202" t="s">
        <v>738</v>
      </c>
    </row>
    <row r="636" spans="1:1" ht="14.5" hidden="1" x14ac:dyDescent="0.25">
      <c r="A636" s="202" t="s">
        <v>739</v>
      </c>
    </row>
    <row r="637" spans="1:1" ht="14.5" hidden="1" x14ac:dyDescent="0.25">
      <c r="A637" s="202" t="s">
        <v>740</v>
      </c>
    </row>
    <row r="638" spans="1:1" ht="14.5" hidden="1" x14ac:dyDescent="0.25">
      <c r="A638" s="202" t="s">
        <v>741</v>
      </c>
    </row>
    <row r="639" spans="1:1" ht="14.5" hidden="1" x14ac:dyDescent="0.25">
      <c r="A639" s="202" t="s">
        <v>742</v>
      </c>
    </row>
    <row r="640" spans="1:1" ht="14.5" hidden="1" x14ac:dyDescent="0.25">
      <c r="A640" s="202" t="s">
        <v>743</v>
      </c>
    </row>
    <row r="641" spans="1:1" ht="14.5" hidden="1" x14ac:dyDescent="0.25">
      <c r="A641" s="202" t="s">
        <v>744</v>
      </c>
    </row>
    <row r="642" spans="1:1" ht="14.5" hidden="1" x14ac:dyDescent="0.25">
      <c r="A642" s="202" t="s">
        <v>745</v>
      </c>
    </row>
    <row r="643" spans="1:1" ht="14.5" hidden="1" x14ac:dyDescent="0.25">
      <c r="A643" s="202" t="s">
        <v>746</v>
      </c>
    </row>
    <row r="644" spans="1:1" ht="14.5" hidden="1" x14ac:dyDescent="0.25">
      <c r="A644" s="202" t="s">
        <v>747</v>
      </c>
    </row>
    <row r="645" spans="1:1" ht="14.5" hidden="1" x14ac:dyDescent="0.25">
      <c r="A645" s="202" t="s">
        <v>748</v>
      </c>
    </row>
    <row r="646" spans="1:1" ht="14.5" hidden="1" x14ac:dyDescent="0.25">
      <c r="A646" s="202" t="s">
        <v>749</v>
      </c>
    </row>
    <row r="647" spans="1:1" ht="14.5" hidden="1" x14ac:dyDescent="0.25">
      <c r="A647" s="202" t="s">
        <v>750</v>
      </c>
    </row>
    <row r="648" spans="1:1" ht="14.5" hidden="1" x14ac:dyDescent="0.25">
      <c r="A648" s="202" t="s">
        <v>751</v>
      </c>
    </row>
    <row r="649" spans="1:1" ht="14.5" hidden="1" x14ac:dyDescent="0.25">
      <c r="A649" s="202" t="s">
        <v>752</v>
      </c>
    </row>
    <row r="650" spans="1:1" ht="14.5" hidden="1" x14ac:dyDescent="0.25">
      <c r="A650" s="202" t="s">
        <v>753</v>
      </c>
    </row>
    <row r="651" spans="1:1" ht="14.5" hidden="1" x14ac:dyDescent="0.25">
      <c r="A651" s="202" t="s">
        <v>754</v>
      </c>
    </row>
    <row r="652" spans="1:1" ht="14.5" hidden="1" x14ac:dyDescent="0.25">
      <c r="A652" s="202" t="s">
        <v>755</v>
      </c>
    </row>
    <row r="653" spans="1:1" ht="14.5" hidden="1" x14ac:dyDescent="0.25">
      <c r="A653" s="202" t="s">
        <v>756</v>
      </c>
    </row>
    <row r="654" spans="1:1" ht="14.5" hidden="1" x14ac:dyDescent="0.25">
      <c r="A654" s="202" t="s">
        <v>757</v>
      </c>
    </row>
    <row r="655" spans="1:1" ht="14.5" hidden="1" x14ac:dyDescent="0.25">
      <c r="A655" s="202" t="s">
        <v>758</v>
      </c>
    </row>
    <row r="656" spans="1:1" ht="14.5" hidden="1" x14ac:dyDescent="0.25">
      <c r="A656" s="202" t="s">
        <v>759</v>
      </c>
    </row>
    <row r="657" spans="1:1" ht="14.5" hidden="1" x14ac:dyDescent="0.25">
      <c r="A657" s="202" t="s">
        <v>760</v>
      </c>
    </row>
    <row r="658" spans="1:1" ht="14.5" x14ac:dyDescent="0.25">
      <c r="A658" s="202" t="s">
        <v>321</v>
      </c>
    </row>
    <row r="659" spans="1:1" ht="14.5" x14ac:dyDescent="0.25">
      <c r="A659" s="202" t="s">
        <v>761</v>
      </c>
    </row>
    <row r="660" spans="1:1" ht="14.5" x14ac:dyDescent="0.25">
      <c r="A660" s="202">
        <v>10000.039054000001</v>
      </c>
    </row>
    <row r="661" spans="1:1" ht="14.5" x14ac:dyDescent="0.25">
      <c r="A661" s="202">
        <v>1.96815810243E-3</v>
      </c>
    </row>
    <row r="662" spans="1:1" ht="14.5" x14ac:dyDescent="0.25">
      <c r="A662" s="202" t="s">
        <v>292</v>
      </c>
    </row>
    <row r="663" spans="1:1" ht="14.5" x14ac:dyDescent="0.25">
      <c r="A663" s="202" t="s">
        <v>762</v>
      </c>
    </row>
    <row r="664" spans="1:1" ht="14.5" x14ac:dyDescent="0.25">
      <c r="A664" s="202"/>
    </row>
    <row r="665" spans="1:1" ht="14.5" hidden="1" x14ac:dyDescent="0.25">
      <c r="A665" s="202" t="s">
        <v>295</v>
      </c>
    </row>
    <row r="666" spans="1:1" ht="14.5" hidden="1" x14ac:dyDescent="0.25">
      <c r="A666" s="202" t="s">
        <v>296</v>
      </c>
    </row>
    <row r="667" spans="1:1" ht="14.5" hidden="1" x14ac:dyDescent="0.25">
      <c r="A667" s="202" t="s">
        <v>283</v>
      </c>
    </row>
    <row r="668" spans="1:1" ht="14.5" x14ac:dyDescent="0.25">
      <c r="A668" s="202" t="s">
        <v>763</v>
      </c>
    </row>
    <row r="669" spans="1:1" ht="14.5" x14ac:dyDescent="0.25">
      <c r="A669" s="202" t="s">
        <v>764</v>
      </c>
    </row>
    <row r="670" spans="1:1" ht="14.5" x14ac:dyDescent="0.25">
      <c r="A670" s="202" t="s">
        <v>765</v>
      </c>
    </row>
    <row r="671" spans="1:1" ht="14.5" hidden="1" x14ac:dyDescent="0.25">
      <c r="A671" s="202" t="s">
        <v>766</v>
      </c>
    </row>
    <row r="672" spans="1:1" ht="14.5" hidden="1" x14ac:dyDescent="0.25">
      <c r="A672" s="202" t="s">
        <v>767</v>
      </c>
    </row>
    <row r="673" spans="1:1" ht="14.5" hidden="1" x14ac:dyDescent="0.25">
      <c r="A673" s="202" t="s">
        <v>768</v>
      </c>
    </row>
    <row r="674" spans="1:1" ht="14.5" hidden="1" x14ac:dyDescent="0.25">
      <c r="A674" s="202" t="s">
        <v>769</v>
      </c>
    </row>
    <row r="675" spans="1:1" ht="14.5" hidden="1" x14ac:dyDescent="0.25">
      <c r="A675" s="202" t="s">
        <v>770</v>
      </c>
    </row>
    <row r="676" spans="1:1" ht="14.5" hidden="1" x14ac:dyDescent="0.25">
      <c r="A676" s="202" t="s">
        <v>771</v>
      </c>
    </row>
    <row r="677" spans="1:1" ht="14.5" hidden="1" x14ac:dyDescent="0.25">
      <c r="A677" s="202" t="s">
        <v>772</v>
      </c>
    </row>
    <row r="678" spans="1:1" ht="14.5" hidden="1" x14ac:dyDescent="0.25">
      <c r="A678" s="202" t="s">
        <v>773</v>
      </c>
    </row>
    <row r="679" spans="1:1" ht="14.5" hidden="1" x14ac:dyDescent="0.25">
      <c r="A679" s="202" t="s">
        <v>774</v>
      </c>
    </row>
    <row r="680" spans="1:1" ht="14.5" hidden="1" x14ac:dyDescent="0.25">
      <c r="A680" s="202" t="s">
        <v>775</v>
      </c>
    </row>
    <row r="681" spans="1:1" ht="14.5" hidden="1" x14ac:dyDescent="0.25">
      <c r="A681" s="202" t="s">
        <v>776</v>
      </c>
    </row>
    <row r="682" spans="1:1" ht="14.5" hidden="1" x14ac:dyDescent="0.25">
      <c r="A682" s="202" t="s">
        <v>777</v>
      </c>
    </row>
    <row r="683" spans="1:1" ht="14.5" hidden="1" x14ac:dyDescent="0.25">
      <c r="A683" s="202" t="s">
        <v>778</v>
      </c>
    </row>
    <row r="684" spans="1:1" ht="14.5" hidden="1" x14ac:dyDescent="0.25">
      <c r="A684" s="202" t="s">
        <v>779</v>
      </c>
    </row>
    <row r="685" spans="1:1" ht="14.5" hidden="1" x14ac:dyDescent="0.25">
      <c r="A685" s="202" t="s">
        <v>780</v>
      </c>
    </row>
    <row r="686" spans="1:1" ht="14.5" hidden="1" x14ac:dyDescent="0.25">
      <c r="A686" s="202" t="s">
        <v>781</v>
      </c>
    </row>
    <row r="687" spans="1:1" ht="14.5" hidden="1" x14ac:dyDescent="0.25">
      <c r="A687" s="202" t="s">
        <v>782</v>
      </c>
    </row>
    <row r="688" spans="1:1" ht="14.5" hidden="1" x14ac:dyDescent="0.25">
      <c r="A688" s="202" t="s">
        <v>783</v>
      </c>
    </row>
    <row r="689" spans="1:1" ht="14.5" hidden="1" x14ac:dyDescent="0.25">
      <c r="A689" s="202" t="s">
        <v>784</v>
      </c>
    </row>
    <row r="690" spans="1:1" ht="14.5" hidden="1" x14ac:dyDescent="0.25">
      <c r="A690" s="202" t="s">
        <v>785</v>
      </c>
    </row>
    <row r="691" spans="1:1" ht="14.5" hidden="1" x14ac:dyDescent="0.25">
      <c r="A691" s="202" t="s">
        <v>786</v>
      </c>
    </row>
    <row r="692" spans="1:1" ht="14.5" hidden="1" x14ac:dyDescent="0.25">
      <c r="A692" s="202" t="s">
        <v>787</v>
      </c>
    </row>
    <row r="693" spans="1:1" ht="14.5" x14ac:dyDescent="0.25">
      <c r="A693" s="202" t="s">
        <v>321</v>
      </c>
    </row>
    <row r="694" spans="1:1" ht="14.5" x14ac:dyDescent="0.25">
      <c r="A694" s="202" t="s">
        <v>788</v>
      </c>
    </row>
    <row r="695" spans="1:1" ht="14.5" x14ac:dyDescent="0.25">
      <c r="A695" s="202">
        <v>100000.202045</v>
      </c>
    </row>
    <row r="696" spans="1:1" ht="14.5" x14ac:dyDescent="0.25">
      <c r="A696" s="202">
        <v>1.04555437323E-2</v>
      </c>
    </row>
    <row r="697" spans="1:1" ht="14.5" x14ac:dyDescent="0.25">
      <c r="A697" s="202" t="s">
        <v>292</v>
      </c>
    </row>
    <row r="698" spans="1:1" ht="14.5" x14ac:dyDescent="0.25">
      <c r="A698" s="202" t="s">
        <v>789</v>
      </c>
    </row>
    <row r="699" spans="1:1" ht="14.5" x14ac:dyDescent="0.25">
      <c r="A699" s="202"/>
    </row>
    <row r="700" spans="1:1" ht="14.5" hidden="1" x14ac:dyDescent="0.25">
      <c r="A700" s="202" t="s">
        <v>295</v>
      </c>
    </row>
    <row r="701" spans="1:1" ht="14.5" hidden="1" x14ac:dyDescent="0.25">
      <c r="A701" s="202" t="s">
        <v>296</v>
      </c>
    </row>
    <row r="702" spans="1:1" ht="14.5" hidden="1" x14ac:dyDescent="0.25">
      <c r="A702" s="202" t="s">
        <v>283</v>
      </c>
    </row>
    <row r="703" spans="1:1" ht="14.5" x14ac:dyDescent="0.25">
      <c r="A703" s="202" t="s">
        <v>763</v>
      </c>
    </row>
    <row r="704" spans="1:1" ht="14.5" x14ac:dyDescent="0.25">
      <c r="A704" s="202" t="s">
        <v>764</v>
      </c>
    </row>
    <row r="705" spans="1:1" ht="14.5" x14ac:dyDescent="0.25">
      <c r="A705" s="202" t="s">
        <v>790</v>
      </c>
    </row>
    <row r="706" spans="1:1" ht="14.5" hidden="1" x14ac:dyDescent="0.25">
      <c r="A706" s="202" t="s">
        <v>791</v>
      </c>
    </row>
    <row r="707" spans="1:1" ht="14.5" hidden="1" x14ac:dyDescent="0.25">
      <c r="A707" s="202" t="s">
        <v>792</v>
      </c>
    </row>
    <row r="708" spans="1:1" ht="14.5" hidden="1" x14ac:dyDescent="0.25">
      <c r="A708" s="202" t="s">
        <v>793</v>
      </c>
    </row>
    <row r="709" spans="1:1" ht="14.5" hidden="1" x14ac:dyDescent="0.25">
      <c r="A709" s="202" t="s">
        <v>794</v>
      </c>
    </row>
    <row r="710" spans="1:1" ht="14.5" hidden="1" x14ac:dyDescent="0.25">
      <c r="A710" s="202" t="s">
        <v>795</v>
      </c>
    </row>
    <row r="711" spans="1:1" ht="14.5" hidden="1" x14ac:dyDescent="0.25">
      <c r="A711" s="202" t="s">
        <v>796</v>
      </c>
    </row>
    <row r="712" spans="1:1" ht="14.5" hidden="1" x14ac:dyDescent="0.25">
      <c r="A712" s="202" t="s">
        <v>797</v>
      </c>
    </row>
    <row r="713" spans="1:1" ht="14.5" hidden="1" x14ac:dyDescent="0.25">
      <c r="A713" s="202" t="s">
        <v>798</v>
      </c>
    </row>
    <row r="714" spans="1:1" ht="14.5" hidden="1" x14ac:dyDescent="0.25">
      <c r="A714" s="202" t="s">
        <v>799</v>
      </c>
    </row>
    <row r="715" spans="1:1" ht="14.5" hidden="1" x14ac:dyDescent="0.25">
      <c r="A715" s="202" t="s">
        <v>800</v>
      </c>
    </row>
    <row r="716" spans="1:1" ht="14.5" hidden="1" x14ac:dyDescent="0.25">
      <c r="A716" s="202" t="s">
        <v>801</v>
      </c>
    </row>
    <row r="717" spans="1:1" ht="14.5" hidden="1" x14ac:dyDescent="0.25">
      <c r="A717" s="202" t="s">
        <v>802</v>
      </c>
    </row>
    <row r="718" spans="1:1" ht="14.5" hidden="1" x14ac:dyDescent="0.25">
      <c r="A718" s="202" t="s">
        <v>803</v>
      </c>
    </row>
    <row r="719" spans="1:1" ht="14.5" hidden="1" x14ac:dyDescent="0.25">
      <c r="A719" s="202" t="s">
        <v>804</v>
      </c>
    </row>
    <row r="720" spans="1:1" ht="14.5" hidden="1" x14ac:dyDescent="0.25">
      <c r="A720" s="202" t="s">
        <v>805</v>
      </c>
    </row>
    <row r="721" spans="1:1" ht="14.5" hidden="1" x14ac:dyDescent="0.25">
      <c r="A721" s="202" t="s">
        <v>806</v>
      </c>
    </row>
    <row r="722" spans="1:1" ht="14.5" hidden="1" x14ac:dyDescent="0.25">
      <c r="A722" s="202" t="s">
        <v>807</v>
      </c>
    </row>
    <row r="723" spans="1:1" ht="14.5" hidden="1" x14ac:dyDescent="0.25">
      <c r="A723" s="202" t="s">
        <v>808</v>
      </c>
    </row>
    <row r="724" spans="1:1" ht="14.5" hidden="1" x14ac:dyDescent="0.25">
      <c r="A724" s="202" t="s">
        <v>809</v>
      </c>
    </row>
    <row r="725" spans="1:1" ht="14.5" hidden="1" x14ac:dyDescent="0.25">
      <c r="A725" s="202" t="s">
        <v>810</v>
      </c>
    </row>
    <row r="726" spans="1:1" ht="14.5" hidden="1" x14ac:dyDescent="0.25">
      <c r="A726" s="202" t="s">
        <v>811</v>
      </c>
    </row>
    <row r="727" spans="1:1" ht="14.5" hidden="1" x14ac:dyDescent="0.25">
      <c r="A727" s="202" t="s">
        <v>812</v>
      </c>
    </row>
    <row r="728" spans="1:1" ht="14.5" x14ac:dyDescent="0.25">
      <c r="A728" s="202" t="s">
        <v>321</v>
      </c>
    </row>
    <row r="729" spans="1:1" ht="14.5" x14ac:dyDescent="0.25">
      <c r="A729" s="202" t="s">
        <v>813</v>
      </c>
    </row>
    <row r="730" spans="1:1" ht="14.5" x14ac:dyDescent="0.25">
      <c r="A730" s="202">
        <v>100000.19654</v>
      </c>
    </row>
    <row r="731" spans="1:1" ht="14.5" x14ac:dyDescent="0.25">
      <c r="A731" s="202">
        <v>1.02051792831E-2</v>
      </c>
    </row>
    <row r="732" spans="1:1" ht="14.5" x14ac:dyDescent="0.25">
      <c r="A732" s="202" t="s">
        <v>292</v>
      </c>
    </row>
    <row r="733" spans="1:1" ht="14.5" x14ac:dyDescent="0.25">
      <c r="A733" s="202"/>
    </row>
    <row r="734" spans="1:1" ht="14.5" hidden="1" x14ac:dyDescent="0.25">
      <c r="A734" s="202" t="s">
        <v>295</v>
      </c>
    </row>
    <row r="735" spans="1:1" ht="14.5" hidden="1" x14ac:dyDescent="0.25">
      <c r="A735" s="202" t="s">
        <v>296</v>
      </c>
    </row>
    <row r="736" spans="1:1" ht="14.5" hidden="1" x14ac:dyDescent="0.25">
      <c r="A736" s="202" t="s">
        <v>283</v>
      </c>
    </row>
    <row r="737" spans="1:1" ht="14.5" x14ac:dyDescent="0.25">
      <c r="A737" s="202" t="s">
        <v>492</v>
      </c>
    </row>
    <row r="738" spans="1:1" ht="14.5" x14ac:dyDescent="0.25">
      <c r="A738" s="204">
        <v>120000</v>
      </c>
    </row>
    <row r="739" spans="1:1" ht="14.5" x14ac:dyDescent="0.25">
      <c r="A739" s="202" t="s">
        <v>814</v>
      </c>
    </row>
    <row r="740" spans="1:1" ht="14.5" hidden="1" x14ac:dyDescent="0.25">
      <c r="A740" s="202" t="s">
        <v>815</v>
      </c>
    </row>
    <row r="741" spans="1:1" ht="14.5" hidden="1" x14ac:dyDescent="0.25">
      <c r="A741" s="202" t="s">
        <v>816</v>
      </c>
    </row>
    <row r="742" spans="1:1" ht="14.5" hidden="1" x14ac:dyDescent="0.25">
      <c r="A742" s="202" t="s">
        <v>817</v>
      </c>
    </row>
    <row r="743" spans="1:1" ht="14.5" hidden="1" x14ac:dyDescent="0.25">
      <c r="A743" s="202" t="s">
        <v>818</v>
      </c>
    </row>
    <row r="744" spans="1:1" ht="14.5" hidden="1" x14ac:dyDescent="0.25">
      <c r="A744" s="202" t="s">
        <v>819</v>
      </c>
    </row>
    <row r="745" spans="1:1" ht="14.5" hidden="1" x14ac:dyDescent="0.25">
      <c r="A745" s="202" t="s">
        <v>820</v>
      </c>
    </row>
    <row r="746" spans="1:1" ht="14.5" hidden="1" x14ac:dyDescent="0.25">
      <c r="A746" s="202" t="s">
        <v>821</v>
      </c>
    </row>
    <row r="747" spans="1:1" ht="14.5" hidden="1" x14ac:dyDescent="0.25">
      <c r="A747" s="202" t="s">
        <v>822</v>
      </c>
    </row>
    <row r="748" spans="1:1" ht="14.5" hidden="1" x14ac:dyDescent="0.25">
      <c r="A748" s="202" t="s">
        <v>823</v>
      </c>
    </row>
    <row r="749" spans="1:1" ht="14.5" hidden="1" x14ac:dyDescent="0.25">
      <c r="A749" s="202" t="s">
        <v>824</v>
      </c>
    </row>
    <row r="750" spans="1:1" ht="14.5" hidden="1" x14ac:dyDescent="0.25">
      <c r="A750" s="202" t="s">
        <v>825</v>
      </c>
    </row>
    <row r="751" spans="1:1" ht="14.5" hidden="1" x14ac:dyDescent="0.25">
      <c r="A751" s="202" t="s">
        <v>826</v>
      </c>
    </row>
    <row r="752" spans="1:1" ht="14.5" hidden="1" x14ac:dyDescent="0.25">
      <c r="A752" s="202" t="s">
        <v>827</v>
      </c>
    </row>
    <row r="753" spans="1:1" ht="14.5" hidden="1" x14ac:dyDescent="0.25">
      <c r="A753" s="202" t="s">
        <v>828</v>
      </c>
    </row>
    <row r="754" spans="1:1" ht="14.5" hidden="1" x14ac:dyDescent="0.25">
      <c r="A754" s="202" t="s">
        <v>829</v>
      </c>
    </row>
    <row r="755" spans="1:1" ht="14.5" hidden="1" x14ac:dyDescent="0.25">
      <c r="A755" s="202" t="s">
        <v>830</v>
      </c>
    </row>
    <row r="756" spans="1:1" ht="14.5" hidden="1" x14ac:dyDescent="0.25">
      <c r="A756" s="202" t="s">
        <v>831</v>
      </c>
    </row>
    <row r="757" spans="1:1" ht="14.5" hidden="1" x14ac:dyDescent="0.25">
      <c r="A757" s="202" t="s">
        <v>832</v>
      </c>
    </row>
    <row r="758" spans="1:1" ht="14.5" hidden="1" x14ac:dyDescent="0.25">
      <c r="A758" s="202" t="s">
        <v>833</v>
      </c>
    </row>
    <row r="759" spans="1:1" ht="14.5" hidden="1" x14ac:dyDescent="0.25">
      <c r="A759" s="202" t="s">
        <v>834</v>
      </c>
    </row>
    <row r="760" spans="1:1" ht="14.5" hidden="1" x14ac:dyDescent="0.25">
      <c r="A760" s="202" t="s">
        <v>835</v>
      </c>
    </row>
    <row r="761" spans="1:1" ht="14.5" hidden="1" x14ac:dyDescent="0.25">
      <c r="A761" s="202" t="s">
        <v>836</v>
      </c>
    </row>
    <row r="762" spans="1:1" ht="14.5" x14ac:dyDescent="0.25">
      <c r="A762" s="202" t="s">
        <v>321</v>
      </c>
    </row>
    <row r="763" spans="1:1" ht="14.5" x14ac:dyDescent="0.25">
      <c r="A763" s="202" t="s">
        <v>837</v>
      </c>
    </row>
    <row r="764" spans="1:1" ht="14.5" x14ac:dyDescent="0.25">
      <c r="A764" s="202">
        <v>99999.871971</v>
      </c>
    </row>
    <row r="765" spans="1:1" ht="14.5" x14ac:dyDescent="0.25">
      <c r="A765" s="202">
        <v>1.04643675601E-2</v>
      </c>
    </row>
    <row r="766" spans="1:1" ht="14.5" x14ac:dyDescent="0.25">
      <c r="A766" s="202" t="s">
        <v>292</v>
      </c>
    </row>
    <row r="767" spans="1:1" ht="14.5" x14ac:dyDescent="0.25">
      <c r="A767" s="202"/>
    </row>
    <row r="768" spans="1:1" ht="14.5" hidden="1" x14ac:dyDescent="0.25">
      <c r="A768" s="202" t="s">
        <v>295</v>
      </c>
    </row>
    <row r="769" spans="1:1" ht="14.5" hidden="1" x14ac:dyDescent="0.25">
      <c r="A769" s="202" t="s">
        <v>296</v>
      </c>
    </row>
    <row r="770" spans="1:1" ht="14.5" hidden="1" x14ac:dyDescent="0.25">
      <c r="A770" s="202" t="s">
        <v>283</v>
      </c>
    </row>
    <row r="771" spans="1:1" ht="14.5" x14ac:dyDescent="0.25">
      <c r="A771" s="202" t="s">
        <v>763</v>
      </c>
    </row>
    <row r="772" spans="1:1" ht="14.5" x14ac:dyDescent="0.25">
      <c r="A772" s="202" t="s">
        <v>764</v>
      </c>
    </row>
    <row r="773" spans="1:1" ht="14.5" x14ac:dyDescent="0.25">
      <c r="A773" s="202" t="s">
        <v>838</v>
      </c>
    </row>
    <row r="774" spans="1:1" ht="14.5" hidden="1" x14ac:dyDescent="0.25">
      <c r="A774" s="202" t="s">
        <v>839</v>
      </c>
    </row>
    <row r="775" spans="1:1" ht="14.5" hidden="1" x14ac:dyDescent="0.25">
      <c r="A775" s="202" t="s">
        <v>840</v>
      </c>
    </row>
    <row r="776" spans="1:1" ht="14.5" hidden="1" x14ac:dyDescent="0.25">
      <c r="A776" s="202" t="s">
        <v>841</v>
      </c>
    </row>
    <row r="777" spans="1:1" ht="14.5" hidden="1" x14ac:dyDescent="0.25">
      <c r="A777" s="202" t="s">
        <v>842</v>
      </c>
    </row>
    <row r="778" spans="1:1" ht="14.5" hidden="1" x14ac:dyDescent="0.25">
      <c r="A778" s="202" t="s">
        <v>843</v>
      </c>
    </row>
    <row r="779" spans="1:1" ht="14.5" hidden="1" x14ac:dyDescent="0.25">
      <c r="A779" s="202" t="s">
        <v>844</v>
      </c>
    </row>
    <row r="780" spans="1:1" ht="14.5" hidden="1" x14ac:dyDescent="0.25">
      <c r="A780" s="202" t="s">
        <v>845</v>
      </c>
    </row>
    <row r="781" spans="1:1" ht="14.5" hidden="1" x14ac:dyDescent="0.25">
      <c r="A781" s="202" t="s">
        <v>846</v>
      </c>
    </row>
    <row r="782" spans="1:1" ht="14.5" hidden="1" x14ac:dyDescent="0.25">
      <c r="A782" s="202" t="s">
        <v>847</v>
      </c>
    </row>
    <row r="783" spans="1:1" ht="14.5" hidden="1" x14ac:dyDescent="0.25">
      <c r="A783" s="202" t="s">
        <v>848</v>
      </c>
    </row>
    <row r="784" spans="1:1" ht="14.5" hidden="1" x14ac:dyDescent="0.25">
      <c r="A784" s="202" t="s">
        <v>849</v>
      </c>
    </row>
    <row r="785" spans="1:1" ht="14.5" hidden="1" x14ac:dyDescent="0.25">
      <c r="A785" s="202" t="s">
        <v>850</v>
      </c>
    </row>
    <row r="786" spans="1:1" ht="14.5" hidden="1" x14ac:dyDescent="0.25">
      <c r="A786" s="202" t="s">
        <v>851</v>
      </c>
    </row>
    <row r="787" spans="1:1" ht="14.5" hidden="1" x14ac:dyDescent="0.25">
      <c r="A787" s="202" t="s">
        <v>852</v>
      </c>
    </row>
    <row r="788" spans="1:1" ht="14.5" hidden="1" x14ac:dyDescent="0.25">
      <c r="A788" s="202" t="s">
        <v>853</v>
      </c>
    </row>
    <row r="789" spans="1:1" ht="14.5" hidden="1" x14ac:dyDescent="0.25">
      <c r="A789" s="202" t="s">
        <v>854</v>
      </c>
    </row>
    <row r="790" spans="1:1" ht="14.5" hidden="1" x14ac:dyDescent="0.25">
      <c r="A790" s="202" t="s">
        <v>855</v>
      </c>
    </row>
    <row r="791" spans="1:1" ht="14.5" hidden="1" x14ac:dyDescent="0.25">
      <c r="A791" s="202" t="s">
        <v>856</v>
      </c>
    </row>
    <row r="792" spans="1:1" ht="14.5" hidden="1" x14ac:dyDescent="0.25">
      <c r="A792" s="202" t="s">
        <v>857</v>
      </c>
    </row>
    <row r="793" spans="1:1" ht="14.5" hidden="1" x14ac:dyDescent="0.25">
      <c r="A793" s="202" t="s">
        <v>858</v>
      </c>
    </row>
    <row r="794" spans="1:1" ht="14.5" hidden="1" x14ac:dyDescent="0.25">
      <c r="A794" s="202" t="s">
        <v>859</v>
      </c>
    </row>
    <row r="795" spans="1:1" ht="14.5" hidden="1" x14ac:dyDescent="0.25">
      <c r="A795" s="202" t="s">
        <v>860</v>
      </c>
    </row>
    <row r="796" spans="1:1" ht="14.5" x14ac:dyDescent="0.25">
      <c r="A796" s="202" t="s">
        <v>321</v>
      </c>
    </row>
    <row r="797" spans="1:1" ht="14.5" x14ac:dyDescent="0.25">
      <c r="A797" s="202" t="s">
        <v>861</v>
      </c>
    </row>
    <row r="798" spans="1:1" ht="14.5" x14ac:dyDescent="0.25">
      <c r="A798" s="202">
        <v>99999.854820499997</v>
      </c>
    </row>
    <row r="799" spans="1:1" ht="14.5" x14ac:dyDescent="0.25">
      <c r="A799" s="202">
        <v>1.0380219789699999E-2</v>
      </c>
    </row>
    <row r="800" spans="1:1" ht="14.5" x14ac:dyDescent="0.25">
      <c r="A800" s="202" t="s">
        <v>292</v>
      </c>
    </row>
    <row r="801" spans="1:1" ht="14.5" x14ac:dyDescent="0.25">
      <c r="A801" s="202" t="s">
        <v>862</v>
      </c>
    </row>
    <row r="802" spans="1:1" ht="14.5" x14ac:dyDescent="0.25">
      <c r="A802" s="202"/>
    </row>
    <row r="803" spans="1:1" ht="14.5" hidden="1" x14ac:dyDescent="0.25">
      <c r="A803" s="202" t="s">
        <v>295</v>
      </c>
    </row>
    <row r="804" spans="1:1" ht="14.5" hidden="1" x14ac:dyDescent="0.25">
      <c r="A804" s="202" t="s">
        <v>296</v>
      </c>
    </row>
    <row r="805" spans="1:1" ht="14.5" hidden="1" x14ac:dyDescent="0.25">
      <c r="A805" s="202" t="s">
        <v>283</v>
      </c>
    </row>
    <row r="806" spans="1:1" ht="14.5" x14ac:dyDescent="0.25">
      <c r="A806" s="202" t="s">
        <v>863</v>
      </c>
    </row>
    <row r="807" spans="1:1" ht="14.5" x14ac:dyDescent="0.25">
      <c r="A807" s="202" t="s">
        <v>864</v>
      </c>
    </row>
    <row r="808" spans="1:1" ht="14.5" x14ac:dyDescent="0.25">
      <c r="A808" s="202" t="s">
        <v>865</v>
      </c>
    </row>
    <row r="809" spans="1:1" ht="14.5" hidden="1" x14ac:dyDescent="0.25">
      <c r="A809" s="202" t="s">
        <v>866</v>
      </c>
    </row>
    <row r="810" spans="1:1" ht="14.5" hidden="1" x14ac:dyDescent="0.25">
      <c r="A810" s="202" t="s">
        <v>867</v>
      </c>
    </row>
    <row r="811" spans="1:1" ht="14.5" hidden="1" x14ac:dyDescent="0.25">
      <c r="A811" s="202" t="s">
        <v>868</v>
      </c>
    </row>
    <row r="812" spans="1:1" ht="14.5" hidden="1" x14ac:dyDescent="0.25">
      <c r="A812" s="202" t="s">
        <v>869</v>
      </c>
    </row>
    <row r="813" spans="1:1" ht="14.5" hidden="1" x14ac:dyDescent="0.25">
      <c r="A813" s="202" t="s">
        <v>870</v>
      </c>
    </row>
    <row r="814" spans="1:1" ht="14.5" hidden="1" x14ac:dyDescent="0.25">
      <c r="A814" s="202" t="s">
        <v>871</v>
      </c>
    </row>
    <row r="815" spans="1:1" ht="14.5" hidden="1" x14ac:dyDescent="0.25">
      <c r="A815" s="202" t="s">
        <v>872</v>
      </c>
    </row>
    <row r="816" spans="1:1" ht="14.5" hidden="1" x14ac:dyDescent="0.25">
      <c r="A816" s="202" t="s">
        <v>873</v>
      </c>
    </row>
    <row r="817" spans="1:1" ht="14.5" hidden="1" x14ac:dyDescent="0.25">
      <c r="A817" s="202" t="s">
        <v>874</v>
      </c>
    </row>
    <row r="818" spans="1:1" ht="14.5" hidden="1" x14ac:dyDescent="0.25">
      <c r="A818" s="202" t="s">
        <v>875</v>
      </c>
    </row>
    <row r="819" spans="1:1" ht="14.5" hidden="1" x14ac:dyDescent="0.25">
      <c r="A819" s="202" t="s">
        <v>876</v>
      </c>
    </row>
    <row r="820" spans="1:1" ht="14.5" hidden="1" x14ac:dyDescent="0.25">
      <c r="A820" s="202" t="s">
        <v>877</v>
      </c>
    </row>
    <row r="821" spans="1:1" ht="14.5" hidden="1" x14ac:dyDescent="0.25">
      <c r="A821" s="202" t="s">
        <v>878</v>
      </c>
    </row>
    <row r="822" spans="1:1" ht="14.5" hidden="1" x14ac:dyDescent="0.25">
      <c r="A822" s="202" t="s">
        <v>879</v>
      </c>
    </row>
    <row r="823" spans="1:1" ht="14.5" hidden="1" x14ac:dyDescent="0.25">
      <c r="A823" s="202" t="s">
        <v>880</v>
      </c>
    </row>
    <row r="824" spans="1:1" ht="14.5" hidden="1" x14ac:dyDescent="0.25">
      <c r="A824" s="202" t="s">
        <v>881</v>
      </c>
    </row>
    <row r="825" spans="1:1" ht="14.5" hidden="1" x14ac:dyDescent="0.25">
      <c r="A825" s="202" t="s">
        <v>882</v>
      </c>
    </row>
    <row r="826" spans="1:1" ht="14.5" hidden="1" x14ac:dyDescent="0.25">
      <c r="A826" s="202" t="s">
        <v>883</v>
      </c>
    </row>
    <row r="827" spans="1:1" ht="14.5" hidden="1" x14ac:dyDescent="0.25">
      <c r="A827" s="202" t="s">
        <v>884</v>
      </c>
    </row>
    <row r="828" spans="1:1" ht="14.5" hidden="1" x14ac:dyDescent="0.25">
      <c r="A828" s="202" t="s">
        <v>885</v>
      </c>
    </row>
    <row r="829" spans="1:1" ht="14.5" hidden="1" x14ac:dyDescent="0.25">
      <c r="A829" s="202" t="s">
        <v>886</v>
      </c>
    </row>
    <row r="830" spans="1:1" ht="14.5" hidden="1" x14ac:dyDescent="0.25">
      <c r="A830" s="202" t="s">
        <v>887</v>
      </c>
    </row>
    <row r="831" spans="1:1" ht="14.5" x14ac:dyDescent="0.25">
      <c r="A831" s="202" t="s">
        <v>321</v>
      </c>
    </row>
    <row r="832" spans="1:1" ht="14.5" x14ac:dyDescent="0.25">
      <c r="A832" s="202" t="s">
        <v>888</v>
      </c>
    </row>
    <row r="833" spans="1:1" ht="14.5" x14ac:dyDescent="0.25">
      <c r="A833" s="202">
        <v>1000000.87075</v>
      </c>
    </row>
    <row r="834" spans="1:1" ht="14.5" x14ac:dyDescent="0.25">
      <c r="A834" s="202">
        <v>0.34439800645099999</v>
      </c>
    </row>
    <row r="835" spans="1:1" ht="14.5" x14ac:dyDescent="0.25">
      <c r="A835" s="202" t="s">
        <v>292</v>
      </c>
    </row>
    <row r="836" spans="1:1" ht="14.5" x14ac:dyDescent="0.25">
      <c r="A836" s="202" t="s">
        <v>889</v>
      </c>
    </row>
    <row r="837" spans="1:1" ht="14.5" x14ac:dyDescent="0.25">
      <c r="A837" s="202"/>
    </row>
    <row r="838" spans="1:1" ht="14.5" hidden="1" x14ac:dyDescent="0.25">
      <c r="A838" s="202" t="s">
        <v>295</v>
      </c>
    </row>
    <row r="839" spans="1:1" ht="14.5" hidden="1" x14ac:dyDescent="0.25">
      <c r="A839" s="202" t="s">
        <v>296</v>
      </c>
    </row>
    <row r="840" spans="1:1" ht="14.5" hidden="1" x14ac:dyDescent="0.25">
      <c r="A840" s="202" t="s">
        <v>283</v>
      </c>
    </row>
    <row r="841" spans="1:1" ht="14.5" x14ac:dyDescent="0.25">
      <c r="A841" s="202" t="s">
        <v>763</v>
      </c>
    </row>
    <row r="842" spans="1:1" ht="14.5" x14ac:dyDescent="0.25">
      <c r="A842" s="202" t="s">
        <v>864</v>
      </c>
    </row>
    <row r="843" spans="1:1" ht="14.5" x14ac:dyDescent="0.25">
      <c r="A843" s="202" t="s">
        <v>890</v>
      </c>
    </row>
    <row r="844" spans="1:1" ht="14.5" hidden="1" x14ac:dyDescent="0.25">
      <c r="A844" s="202" t="s">
        <v>891</v>
      </c>
    </row>
    <row r="845" spans="1:1" ht="14.5" hidden="1" x14ac:dyDescent="0.25">
      <c r="A845" s="202" t="s">
        <v>892</v>
      </c>
    </row>
    <row r="846" spans="1:1" ht="14.5" hidden="1" x14ac:dyDescent="0.25">
      <c r="A846" s="202" t="s">
        <v>893</v>
      </c>
    </row>
    <row r="847" spans="1:1" ht="14.5" hidden="1" x14ac:dyDescent="0.25">
      <c r="A847" s="202" t="s">
        <v>894</v>
      </c>
    </row>
    <row r="848" spans="1:1" ht="14.5" hidden="1" x14ac:dyDescent="0.25">
      <c r="A848" s="202" t="s">
        <v>895</v>
      </c>
    </row>
    <row r="849" spans="1:1" ht="14.5" hidden="1" x14ac:dyDescent="0.25">
      <c r="A849" s="202" t="s">
        <v>896</v>
      </c>
    </row>
    <row r="850" spans="1:1" ht="14.5" hidden="1" x14ac:dyDescent="0.25">
      <c r="A850" s="202" t="s">
        <v>897</v>
      </c>
    </row>
    <row r="851" spans="1:1" ht="14.5" hidden="1" x14ac:dyDescent="0.25">
      <c r="A851" s="202" t="s">
        <v>898</v>
      </c>
    </row>
    <row r="852" spans="1:1" ht="14.5" hidden="1" x14ac:dyDescent="0.25">
      <c r="A852" s="202" t="s">
        <v>899</v>
      </c>
    </row>
    <row r="853" spans="1:1" ht="14.5" hidden="1" x14ac:dyDescent="0.25">
      <c r="A853" s="202" t="s">
        <v>900</v>
      </c>
    </row>
    <row r="854" spans="1:1" ht="14.5" hidden="1" x14ac:dyDescent="0.25">
      <c r="A854" s="202" t="s">
        <v>901</v>
      </c>
    </row>
    <row r="855" spans="1:1" ht="14.5" hidden="1" x14ac:dyDescent="0.25">
      <c r="A855" s="202" t="s">
        <v>902</v>
      </c>
    </row>
    <row r="856" spans="1:1" ht="14.5" hidden="1" x14ac:dyDescent="0.25">
      <c r="A856" s="202" t="s">
        <v>903</v>
      </c>
    </row>
    <row r="857" spans="1:1" ht="14.5" hidden="1" x14ac:dyDescent="0.25">
      <c r="A857" s="202" t="s">
        <v>904</v>
      </c>
    </row>
    <row r="858" spans="1:1" ht="14.5" hidden="1" x14ac:dyDescent="0.25">
      <c r="A858" s="202" t="s">
        <v>905</v>
      </c>
    </row>
    <row r="859" spans="1:1" ht="14.5" hidden="1" x14ac:dyDescent="0.25">
      <c r="A859" s="202" t="s">
        <v>906</v>
      </c>
    </row>
    <row r="860" spans="1:1" ht="14.5" hidden="1" x14ac:dyDescent="0.25">
      <c r="A860" s="202" t="s">
        <v>907</v>
      </c>
    </row>
    <row r="861" spans="1:1" ht="14.5" hidden="1" x14ac:dyDescent="0.25">
      <c r="A861" s="202" t="s">
        <v>908</v>
      </c>
    </row>
    <row r="862" spans="1:1" ht="14.5" hidden="1" x14ac:dyDescent="0.25">
      <c r="A862" s="202" t="s">
        <v>909</v>
      </c>
    </row>
    <row r="863" spans="1:1" ht="14.5" hidden="1" x14ac:dyDescent="0.25">
      <c r="A863" s="202" t="s">
        <v>910</v>
      </c>
    </row>
    <row r="864" spans="1:1" ht="14.5" hidden="1" x14ac:dyDescent="0.25">
      <c r="A864" s="202" t="s">
        <v>911</v>
      </c>
    </row>
    <row r="865" spans="1:1" ht="14.5" hidden="1" x14ac:dyDescent="0.25">
      <c r="A865" s="202" t="s">
        <v>912</v>
      </c>
    </row>
    <row r="866" spans="1:1" ht="14.5" x14ac:dyDescent="0.25">
      <c r="A866" s="202" t="s">
        <v>321</v>
      </c>
    </row>
    <row r="867" spans="1:1" ht="14.5" x14ac:dyDescent="0.25">
      <c r="A867" s="202" t="s">
        <v>913</v>
      </c>
    </row>
    <row r="868" spans="1:1" ht="14.5" x14ac:dyDescent="0.25">
      <c r="A868" s="202">
        <v>1000002.54445</v>
      </c>
    </row>
    <row r="869" spans="1:1" ht="14.5" x14ac:dyDescent="0.25">
      <c r="A869" s="202">
        <v>0.23377192552100001</v>
      </c>
    </row>
    <row r="870" spans="1:1" ht="14.5" x14ac:dyDescent="0.25">
      <c r="A870" s="202" t="s">
        <v>292</v>
      </c>
    </row>
    <row r="871" spans="1:1" ht="14.5" x14ac:dyDescent="0.25">
      <c r="A871" s="202"/>
    </row>
    <row r="872" spans="1:1" ht="14.5" x14ac:dyDescent="0.25">
      <c r="A872" s="202"/>
    </row>
    <row r="873" spans="1:1" ht="14.5" hidden="1" x14ac:dyDescent="0.25">
      <c r="A873" s="202" t="s">
        <v>295</v>
      </c>
    </row>
    <row r="874" spans="1:1" ht="14.5" hidden="1" x14ac:dyDescent="0.25">
      <c r="A874" s="202" t="s">
        <v>296</v>
      </c>
    </row>
    <row r="875" spans="1:1" ht="14.5" hidden="1" x14ac:dyDescent="0.25">
      <c r="A875" s="202" t="s">
        <v>283</v>
      </c>
    </row>
    <row r="876" spans="1:1" ht="14.5" x14ac:dyDescent="0.25">
      <c r="A876" s="202" t="s">
        <v>763</v>
      </c>
    </row>
    <row r="877" spans="1:1" ht="14.5" x14ac:dyDescent="0.25">
      <c r="A877" s="202" t="s">
        <v>764</v>
      </c>
    </row>
    <row r="878" spans="1:1" ht="14.5" x14ac:dyDescent="0.25">
      <c r="A878" s="202" t="s">
        <v>914</v>
      </c>
    </row>
    <row r="879" spans="1:1" ht="14.5" hidden="1" x14ac:dyDescent="0.25">
      <c r="A879" s="202" t="s">
        <v>915</v>
      </c>
    </row>
    <row r="880" spans="1:1" ht="14.5" hidden="1" x14ac:dyDescent="0.25">
      <c r="A880" s="202" t="s">
        <v>916</v>
      </c>
    </row>
    <row r="881" spans="1:1" ht="14.5" hidden="1" x14ac:dyDescent="0.25">
      <c r="A881" s="202" t="s">
        <v>917</v>
      </c>
    </row>
    <row r="882" spans="1:1" ht="14.5" hidden="1" x14ac:dyDescent="0.25">
      <c r="A882" s="202" t="s">
        <v>918</v>
      </c>
    </row>
    <row r="883" spans="1:1" ht="14.5" hidden="1" x14ac:dyDescent="0.25">
      <c r="A883" s="202" t="s">
        <v>919</v>
      </c>
    </row>
    <row r="884" spans="1:1" ht="14.5" hidden="1" x14ac:dyDescent="0.25">
      <c r="A884" s="202" t="s">
        <v>920</v>
      </c>
    </row>
    <row r="885" spans="1:1" ht="14.5" hidden="1" x14ac:dyDescent="0.25">
      <c r="A885" s="202" t="s">
        <v>921</v>
      </c>
    </row>
    <row r="886" spans="1:1" ht="14.5" hidden="1" x14ac:dyDescent="0.25">
      <c r="A886" s="202" t="s">
        <v>922</v>
      </c>
    </row>
    <row r="887" spans="1:1" ht="14.5" hidden="1" x14ac:dyDescent="0.25">
      <c r="A887" s="202" t="s">
        <v>923</v>
      </c>
    </row>
    <row r="888" spans="1:1" ht="14.5" hidden="1" x14ac:dyDescent="0.25">
      <c r="A888" s="202" t="s">
        <v>924</v>
      </c>
    </row>
    <row r="889" spans="1:1" ht="14.5" hidden="1" x14ac:dyDescent="0.25">
      <c r="A889" s="202" t="s">
        <v>925</v>
      </c>
    </row>
    <row r="890" spans="1:1" ht="14.5" hidden="1" x14ac:dyDescent="0.25">
      <c r="A890" s="202" t="s">
        <v>926</v>
      </c>
    </row>
    <row r="891" spans="1:1" ht="14.5" hidden="1" x14ac:dyDescent="0.25">
      <c r="A891" s="202" t="s">
        <v>927</v>
      </c>
    </row>
    <row r="892" spans="1:1" ht="14.5" hidden="1" x14ac:dyDescent="0.25">
      <c r="A892" s="202" t="s">
        <v>928</v>
      </c>
    </row>
    <row r="893" spans="1:1" ht="14.5" hidden="1" x14ac:dyDescent="0.25">
      <c r="A893" s="202" t="s">
        <v>929</v>
      </c>
    </row>
    <row r="894" spans="1:1" ht="14.5" hidden="1" x14ac:dyDescent="0.25">
      <c r="A894" s="202" t="s">
        <v>930</v>
      </c>
    </row>
    <row r="895" spans="1:1" ht="14.5" hidden="1" x14ac:dyDescent="0.25">
      <c r="A895" s="202" t="s">
        <v>931</v>
      </c>
    </row>
    <row r="896" spans="1:1" ht="14.5" hidden="1" x14ac:dyDescent="0.25">
      <c r="A896" s="202" t="s">
        <v>932</v>
      </c>
    </row>
    <row r="897" spans="1:1" ht="14.5" hidden="1" x14ac:dyDescent="0.25">
      <c r="A897" s="202" t="s">
        <v>933</v>
      </c>
    </row>
    <row r="898" spans="1:1" ht="14.5" hidden="1" x14ac:dyDescent="0.25">
      <c r="A898" s="202" t="s">
        <v>934</v>
      </c>
    </row>
    <row r="899" spans="1:1" ht="14.5" hidden="1" x14ac:dyDescent="0.25">
      <c r="A899" s="202" t="s">
        <v>935</v>
      </c>
    </row>
    <row r="900" spans="1:1" ht="14.5" hidden="1" x14ac:dyDescent="0.25">
      <c r="A900" s="202" t="s">
        <v>936</v>
      </c>
    </row>
    <row r="901" spans="1:1" ht="14.5" x14ac:dyDescent="0.25">
      <c r="A901" s="202" t="s">
        <v>321</v>
      </c>
    </row>
    <row r="902" spans="1:1" ht="14.5" x14ac:dyDescent="0.25">
      <c r="A902" s="202" t="s">
        <v>937</v>
      </c>
    </row>
    <row r="903" spans="1:1" ht="14.5" x14ac:dyDescent="0.25">
      <c r="A903" s="202">
        <v>99998.516679499997</v>
      </c>
    </row>
    <row r="904" spans="1:1" ht="14.5" x14ac:dyDescent="0.25">
      <c r="A904" s="202">
        <v>1.9287799381899999E-2</v>
      </c>
    </row>
    <row r="905" spans="1:1" ht="14.5" x14ac:dyDescent="0.25">
      <c r="A905" s="202" t="s">
        <v>292</v>
      </c>
    </row>
    <row r="906" spans="1:1" ht="14.5" x14ac:dyDescent="0.25">
      <c r="A906" s="202" t="s">
        <v>938</v>
      </c>
    </row>
    <row r="907" spans="1:1" ht="14.5" x14ac:dyDescent="0.25">
      <c r="A907" s="202"/>
    </row>
    <row r="908" spans="1:1" ht="14.5" hidden="1" x14ac:dyDescent="0.25">
      <c r="A908" s="202" t="s">
        <v>295</v>
      </c>
    </row>
    <row r="909" spans="1:1" ht="14.5" hidden="1" x14ac:dyDescent="0.25">
      <c r="A909" s="202" t="s">
        <v>296</v>
      </c>
    </row>
    <row r="910" spans="1:1" ht="14.5" hidden="1" x14ac:dyDescent="0.25">
      <c r="A910" s="202" t="s">
        <v>283</v>
      </c>
    </row>
    <row r="911" spans="1:1" ht="14.5" x14ac:dyDescent="0.25">
      <c r="A911" s="202" t="s">
        <v>763</v>
      </c>
    </row>
    <row r="912" spans="1:1" ht="14.5" x14ac:dyDescent="0.25">
      <c r="A912" s="202" t="s">
        <v>764</v>
      </c>
    </row>
    <row r="913" spans="1:1" ht="14.5" x14ac:dyDescent="0.25">
      <c r="A913" s="202" t="s">
        <v>939</v>
      </c>
    </row>
    <row r="914" spans="1:1" ht="14.5" hidden="1" x14ac:dyDescent="0.25">
      <c r="A914" s="202" t="s">
        <v>940</v>
      </c>
    </row>
    <row r="915" spans="1:1" ht="14.5" hidden="1" x14ac:dyDescent="0.25">
      <c r="A915" s="202" t="s">
        <v>941</v>
      </c>
    </row>
    <row r="916" spans="1:1" ht="14.5" hidden="1" x14ac:dyDescent="0.25">
      <c r="A916" s="202" t="s">
        <v>942</v>
      </c>
    </row>
    <row r="917" spans="1:1" ht="14.5" hidden="1" x14ac:dyDescent="0.25">
      <c r="A917" s="202" t="s">
        <v>943</v>
      </c>
    </row>
    <row r="918" spans="1:1" ht="14.5" hidden="1" x14ac:dyDescent="0.25">
      <c r="A918" s="202" t="s">
        <v>944</v>
      </c>
    </row>
    <row r="919" spans="1:1" ht="14.5" hidden="1" x14ac:dyDescent="0.25">
      <c r="A919" s="202" t="s">
        <v>945</v>
      </c>
    </row>
    <row r="920" spans="1:1" ht="14.5" hidden="1" x14ac:dyDescent="0.25">
      <c r="A920" s="202" t="s">
        <v>946</v>
      </c>
    </row>
    <row r="921" spans="1:1" ht="14.5" hidden="1" x14ac:dyDescent="0.25">
      <c r="A921" s="202" t="s">
        <v>947</v>
      </c>
    </row>
    <row r="922" spans="1:1" ht="14.5" hidden="1" x14ac:dyDescent="0.25">
      <c r="A922" s="202" t="s">
        <v>948</v>
      </c>
    </row>
    <row r="923" spans="1:1" ht="14.5" hidden="1" x14ac:dyDescent="0.25">
      <c r="A923" s="202" t="s">
        <v>949</v>
      </c>
    </row>
    <row r="924" spans="1:1" ht="14.5" hidden="1" x14ac:dyDescent="0.25">
      <c r="A924" s="202" t="s">
        <v>950</v>
      </c>
    </row>
    <row r="925" spans="1:1" ht="14.5" hidden="1" x14ac:dyDescent="0.25">
      <c r="A925" s="202" t="s">
        <v>951</v>
      </c>
    </row>
    <row r="926" spans="1:1" ht="14.5" hidden="1" x14ac:dyDescent="0.25">
      <c r="A926" s="202" t="s">
        <v>952</v>
      </c>
    </row>
    <row r="927" spans="1:1" ht="14.5" hidden="1" x14ac:dyDescent="0.25">
      <c r="A927" s="202" t="s">
        <v>953</v>
      </c>
    </row>
    <row r="928" spans="1:1" ht="14.5" hidden="1" x14ac:dyDescent="0.25">
      <c r="A928" s="202" t="s">
        <v>954</v>
      </c>
    </row>
    <row r="929" spans="1:1" ht="14.5" hidden="1" x14ac:dyDescent="0.25">
      <c r="A929" s="202" t="s">
        <v>955</v>
      </c>
    </row>
    <row r="930" spans="1:1" ht="14.5" hidden="1" x14ac:dyDescent="0.25">
      <c r="A930" s="202" t="s">
        <v>956</v>
      </c>
    </row>
    <row r="931" spans="1:1" ht="14.5" hidden="1" x14ac:dyDescent="0.25">
      <c r="A931" s="202" t="s">
        <v>957</v>
      </c>
    </row>
    <row r="932" spans="1:1" ht="14.5" hidden="1" x14ac:dyDescent="0.25">
      <c r="A932" s="202" t="s">
        <v>958</v>
      </c>
    </row>
    <row r="933" spans="1:1" ht="14.5" hidden="1" x14ac:dyDescent="0.25">
      <c r="A933" s="202" t="s">
        <v>959</v>
      </c>
    </row>
    <row r="934" spans="1:1" ht="14.5" hidden="1" x14ac:dyDescent="0.25">
      <c r="A934" s="202" t="s">
        <v>960</v>
      </c>
    </row>
    <row r="935" spans="1:1" ht="14.5" hidden="1" x14ac:dyDescent="0.25">
      <c r="A935" s="202" t="s">
        <v>961</v>
      </c>
    </row>
    <row r="936" spans="1:1" ht="14.5" x14ac:dyDescent="0.25">
      <c r="A936" s="202" t="s">
        <v>321</v>
      </c>
    </row>
    <row r="937" spans="1:1" ht="14.5" x14ac:dyDescent="0.25">
      <c r="A937" s="202" t="s">
        <v>962</v>
      </c>
    </row>
    <row r="938" spans="1:1" ht="14.5" x14ac:dyDescent="0.25">
      <c r="A938" s="202">
        <v>99998.516893499997</v>
      </c>
    </row>
    <row r="939" spans="1:1" ht="14.5" x14ac:dyDescent="0.25">
      <c r="A939" s="202">
        <v>1.18825959748E-2</v>
      </c>
    </row>
    <row r="940" spans="1:1" ht="14.5" x14ac:dyDescent="0.25">
      <c r="A940" s="202" t="s">
        <v>292</v>
      </c>
    </row>
    <row r="941" spans="1:1" ht="14.5" x14ac:dyDescent="0.25">
      <c r="A941" s="202"/>
    </row>
    <row r="942" spans="1:1" ht="14.5" hidden="1" x14ac:dyDescent="0.25">
      <c r="A942" s="202" t="s">
        <v>295</v>
      </c>
    </row>
    <row r="943" spans="1:1" ht="14.5" hidden="1" x14ac:dyDescent="0.25">
      <c r="A943" s="202" t="s">
        <v>296</v>
      </c>
    </row>
    <row r="944" spans="1:1" ht="14.5" hidden="1" x14ac:dyDescent="0.25">
      <c r="A944" s="202" t="s">
        <v>283</v>
      </c>
    </row>
    <row r="945" spans="1:1" ht="14.5" x14ac:dyDescent="0.25">
      <c r="A945" s="202" t="s">
        <v>763</v>
      </c>
    </row>
    <row r="946" spans="1:1" ht="14.5" x14ac:dyDescent="0.25">
      <c r="A946" s="202" t="s">
        <v>764</v>
      </c>
    </row>
    <row r="947" spans="1:1" ht="14.5" x14ac:dyDescent="0.25">
      <c r="A947" s="202" t="s">
        <v>963</v>
      </c>
    </row>
    <row r="948" spans="1:1" ht="14.5" hidden="1" x14ac:dyDescent="0.25">
      <c r="A948" s="202" t="s">
        <v>964</v>
      </c>
    </row>
    <row r="949" spans="1:1" ht="14.5" hidden="1" x14ac:dyDescent="0.25">
      <c r="A949" s="202" t="s">
        <v>965</v>
      </c>
    </row>
    <row r="950" spans="1:1" ht="14.5" hidden="1" x14ac:dyDescent="0.25">
      <c r="A950" s="202" t="s">
        <v>966</v>
      </c>
    </row>
    <row r="951" spans="1:1" ht="14.5" hidden="1" x14ac:dyDescent="0.25">
      <c r="A951" s="202" t="s">
        <v>967</v>
      </c>
    </row>
    <row r="952" spans="1:1" ht="14.5" hidden="1" x14ac:dyDescent="0.25">
      <c r="A952" s="202" t="s">
        <v>968</v>
      </c>
    </row>
    <row r="953" spans="1:1" ht="14.5" hidden="1" x14ac:dyDescent="0.25">
      <c r="A953" s="202" t="s">
        <v>969</v>
      </c>
    </row>
    <row r="954" spans="1:1" ht="14.5" hidden="1" x14ac:dyDescent="0.25">
      <c r="A954" s="202" t="s">
        <v>970</v>
      </c>
    </row>
    <row r="955" spans="1:1" ht="14.5" hidden="1" x14ac:dyDescent="0.25">
      <c r="A955" s="202" t="s">
        <v>971</v>
      </c>
    </row>
    <row r="956" spans="1:1" ht="14.5" hidden="1" x14ac:dyDescent="0.25">
      <c r="A956" s="202" t="s">
        <v>972</v>
      </c>
    </row>
    <row r="957" spans="1:1" ht="14.5" hidden="1" x14ac:dyDescent="0.25">
      <c r="A957" s="202" t="s">
        <v>973</v>
      </c>
    </row>
    <row r="958" spans="1:1" ht="14.5" hidden="1" x14ac:dyDescent="0.25">
      <c r="A958" s="202" t="s">
        <v>974</v>
      </c>
    </row>
    <row r="959" spans="1:1" ht="14.5" hidden="1" x14ac:dyDescent="0.25">
      <c r="A959" s="202" t="s">
        <v>975</v>
      </c>
    </row>
    <row r="960" spans="1:1" ht="14.5" hidden="1" x14ac:dyDescent="0.25">
      <c r="A960" s="202" t="s">
        <v>976</v>
      </c>
    </row>
    <row r="961" spans="1:1" ht="14.5" hidden="1" x14ac:dyDescent="0.25">
      <c r="A961" s="202" t="s">
        <v>977</v>
      </c>
    </row>
    <row r="962" spans="1:1" ht="14.5" hidden="1" x14ac:dyDescent="0.25">
      <c r="A962" s="202" t="s">
        <v>978</v>
      </c>
    </row>
    <row r="963" spans="1:1" ht="14.5" hidden="1" x14ac:dyDescent="0.25">
      <c r="A963" s="202" t="s">
        <v>979</v>
      </c>
    </row>
    <row r="964" spans="1:1" ht="14.5" hidden="1" x14ac:dyDescent="0.25">
      <c r="A964" s="202" t="s">
        <v>980</v>
      </c>
    </row>
    <row r="965" spans="1:1" ht="14.5" hidden="1" x14ac:dyDescent="0.25">
      <c r="A965" s="202" t="s">
        <v>981</v>
      </c>
    </row>
    <row r="966" spans="1:1" ht="14.5" hidden="1" x14ac:dyDescent="0.25">
      <c r="A966" s="202" t="s">
        <v>982</v>
      </c>
    </row>
    <row r="967" spans="1:1" ht="14.5" hidden="1" x14ac:dyDescent="0.25">
      <c r="A967" s="202" t="s">
        <v>983</v>
      </c>
    </row>
    <row r="968" spans="1:1" ht="14.5" hidden="1" x14ac:dyDescent="0.25">
      <c r="A968" s="202" t="s">
        <v>984</v>
      </c>
    </row>
    <row r="969" spans="1:1" ht="14.5" hidden="1" x14ac:dyDescent="0.25">
      <c r="A969" s="202" t="s">
        <v>985</v>
      </c>
    </row>
    <row r="970" spans="1:1" ht="14.5" x14ac:dyDescent="0.25">
      <c r="A970" s="202" t="s">
        <v>321</v>
      </c>
    </row>
    <row r="971" spans="1:1" ht="14.5" x14ac:dyDescent="0.25">
      <c r="A971" s="202" t="s">
        <v>986</v>
      </c>
    </row>
    <row r="972" spans="1:1" ht="14.5" x14ac:dyDescent="0.25">
      <c r="A972" s="202">
        <v>99998.231350500006</v>
      </c>
    </row>
    <row r="973" spans="1:1" ht="14.5" x14ac:dyDescent="0.25">
      <c r="A973" s="202">
        <v>3.1135008638399998E-2</v>
      </c>
    </row>
    <row r="974" spans="1:1" ht="14.5" x14ac:dyDescent="0.25">
      <c r="A974" s="202" t="s">
        <v>292</v>
      </c>
    </row>
    <row r="975" spans="1:1" ht="14.5" x14ac:dyDescent="0.25">
      <c r="A975" s="202" t="s">
        <v>987</v>
      </c>
    </row>
    <row r="976" spans="1:1" ht="14.5" x14ac:dyDescent="0.25">
      <c r="A976" s="202"/>
    </row>
    <row r="977" spans="1:1" ht="14.5" hidden="1" x14ac:dyDescent="0.25">
      <c r="A977" s="202" t="s">
        <v>295</v>
      </c>
    </row>
    <row r="978" spans="1:1" ht="14.5" hidden="1" x14ac:dyDescent="0.25">
      <c r="A978" s="202" t="s">
        <v>296</v>
      </c>
    </row>
    <row r="979" spans="1:1" ht="14.5" hidden="1" x14ac:dyDescent="0.25">
      <c r="A979" s="202" t="s">
        <v>283</v>
      </c>
    </row>
    <row r="980" spans="1:1" ht="14.5" x14ac:dyDescent="0.25">
      <c r="A980" s="202" t="s">
        <v>492</v>
      </c>
    </row>
    <row r="981" spans="1:1" ht="14.5" x14ac:dyDescent="0.25">
      <c r="A981" s="202" t="s">
        <v>764</v>
      </c>
    </row>
    <row r="982" spans="1:1" ht="14.5" x14ac:dyDescent="0.25">
      <c r="A982" s="202" t="s">
        <v>988</v>
      </c>
    </row>
    <row r="983" spans="1:1" ht="14.5" hidden="1" x14ac:dyDescent="0.25">
      <c r="A983" s="202" t="s">
        <v>989</v>
      </c>
    </row>
    <row r="984" spans="1:1" ht="14.5" hidden="1" x14ac:dyDescent="0.25">
      <c r="A984" s="202" t="s">
        <v>990</v>
      </c>
    </row>
    <row r="985" spans="1:1" ht="14.5" hidden="1" x14ac:dyDescent="0.25">
      <c r="A985" s="202" t="s">
        <v>991</v>
      </c>
    </row>
    <row r="986" spans="1:1" ht="14.5" hidden="1" x14ac:dyDescent="0.25">
      <c r="A986" s="202" t="s">
        <v>992</v>
      </c>
    </row>
    <row r="987" spans="1:1" ht="14.5" hidden="1" x14ac:dyDescent="0.25">
      <c r="A987" s="202" t="s">
        <v>993</v>
      </c>
    </row>
    <row r="988" spans="1:1" ht="14.5" hidden="1" x14ac:dyDescent="0.25">
      <c r="A988" s="202" t="s">
        <v>994</v>
      </c>
    </row>
    <row r="989" spans="1:1" ht="14.5" hidden="1" x14ac:dyDescent="0.25">
      <c r="A989" s="202" t="s">
        <v>995</v>
      </c>
    </row>
    <row r="990" spans="1:1" ht="14.5" hidden="1" x14ac:dyDescent="0.25">
      <c r="A990" s="202" t="s">
        <v>996</v>
      </c>
    </row>
    <row r="991" spans="1:1" ht="14.5" hidden="1" x14ac:dyDescent="0.25">
      <c r="A991" s="202" t="s">
        <v>997</v>
      </c>
    </row>
    <row r="992" spans="1:1" ht="14.5" hidden="1" x14ac:dyDescent="0.25">
      <c r="A992" s="202" t="s">
        <v>998</v>
      </c>
    </row>
    <row r="993" spans="1:1" ht="14.5" hidden="1" x14ac:dyDescent="0.25">
      <c r="A993" s="202" t="s">
        <v>999</v>
      </c>
    </row>
    <row r="994" spans="1:1" ht="14.5" hidden="1" x14ac:dyDescent="0.25">
      <c r="A994" s="202" t="s">
        <v>1000</v>
      </c>
    </row>
    <row r="995" spans="1:1" ht="14.5" hidden="1" x14ac:dyDescent="0.25">
      <c r="A995" s="202" t="s">
        <v>1001</v>
      </c>
    </row>
    <row r="996" spans="1:1" ht="14.5" hidden="1" x14ac:dyDescent="0.25">
      <c r="A996" s="202" t="s">
        <v>1002</v>
      </c>
    </row>
    <row r="997" spans="1:1" ht="14.5" hidden="1" x14ac:dyDescent="0.25">
      <c r="A997" s="202" t="s">
        <v>1003</v>
      </c>
    </row>
    <row r="998" spans="1:1" ht="14.5" hidden="1" x14ac:dyDescent="0.25">
      <c r="A998" s="202" t="s">
        <v>1004</v>
      </c>
    </row>
    <row r="999" spans="1:1" ht="14.5" hidden="1" x14ac:dyDescent="0.25">
      <c r="A999" s="202" t="s">
        <v>1005</v>
      </c>
    </row>
    <row r="1000" spans="1:1" ht="14.5" hidden="1" x14ac:dyDescent="0.25">
      <c r="A1000" s="202" t="s">
        <v>1006</v>
      </c>
    </row>
    <row r="1001" spans="1:1" ht="14.5" hidden="1" x14ac:dyDescent="0.25">
      <c r="A1001" s="202" t="s">
        <v>1007</v>
      </c>
    </row>
    <row r="1002" spans="1:1" ht="14.5" hidden="1" x14ac:dyDescent="0.25">
      <c r="A1002" s="202" t="s">
        <v>1008</v>
      </c>
    </row>
    <row r="1003" spans="1:1" ht="14.5" hidden="1" x14ac:dyDescent="0.25">
      <c r="A1003" s="202" t="s">
        <v>1009</v>
      </c>
    </row>
    <row r="1004" spans="1:1" ht="14.5" hidden="1" x14ac:dyDescent="0.25">
      <c r="A1004" s="202" t="s">
        <v>1010</v>
      </c>
    </row>
    <row r="1005" spans="1:1" ht="14.5" x14ac:dyDescent="0.25">
      <c r="A1005" s="202" t="s">
        <v>321</v>
      </c>
    </row>
    <row r="1006" spans="1:1" ht="14.5" x14ac:dyDescent="0.25">
      <c r="A1006" s="202" t="s">
        <v>1011</v>
      </c>
    </row>
    <row r="1007" spans="1:1" ht="14.5" x14ac:dyDescent="0.25">
      <c r="A1007" s="202">
        <v>99998.207515000002</v>
      </c>
    </row>
    <row r="1008" spans="1:1" ht="14.5" x14ac:dyDescent="0.25">
      <c r="A1008" s="202">
        <v>1.1202539892200001E-2</v>
      </c>
    </row>
    <row r="1009" spans="1:1" ht="14.5" x14ac:dyDescent="0.25">
      <c r="A1009" s="202" t="s">
        <v>292</v>
      </c>
    </row>
    <row r="1010" spans="1:1" ht="14.5" x14ac:dyDescent="0.25">
      <c r="A1010" s="202"/>
    </row>
    <row r="1011" spans="1:1" ht="14.5" hidden="1" x14ac:dyDescent="0.25">
      <c r="A1011" s="202" t="s">
        <v>295</v>
      </c>
    </row>
    <row r="1012" spans="1:1" ht="14.5" hidden="1" x14ac:dyDescent="0.25">
      <c r="A1012" s="202" t="s">
        <v>296</v>
      </c>
    </row>
    <row r="1013" spans="1:1" ht="14.5" hidden="1" x14ac:dyDescent="0.25">
      <c r="A1013" s="202" t="s">
        <v>283</v>
      </c>
    </row>
    <row r="1014" spans="1:1" ht="14.5" x14ac:dyDescent="0.25">
      <c r="A1014" s="202" t="s">
        <v>492</v>
      </c>
    </row>
    <row r="1015" spans="1:1" ht="14.5" x14ac:dyDescent="0.25">
      <c r="A1015" s="202" t="s">
        <v>764</v>
      </c>
    </row>
    <row r="1016" spans="1:1" ht="14.5" x14ac:dyDescent="0.25">
      <c r="A1016" s="202" t="s">
        <v>1012</v>
      </c>
    </row>
    <row r="1017" spans="1:1" ht="14.5" hidden="1" x14ac:dyDescent="0.25">
      <c r="A1017" s="202" t="s">
        <v>1013</v>
      </c>
    </row>
    <row r="1018" spans="1:1" ht="14.5" hidden="1" x14ac:dyDescent="0.25">
      <c r="A1018" s="202" t="s">
        <v>1014</v>
      </c>
    </row>
    <row r="1019" spans="1:1" ht="14.5" hidden="1" x14ac:dyDescent="0.25">
      <c r="A1019" s="202" t="s">
        <v>1015</v>
      </c>
    </row>
    <row r="1020" spans="1:1" ht="14.5" hidden="1" x14ac:dyDescent="0.25">
      <c r="A1020" s="202" t="s">
        <v>1016</v>
      </c>
    </row>
    <row r="1021" spans="1:1" ht="14.5" hidden="1" x14ac:dyDescent="0.25">
      <c r="A1021" s="202" t="s">
        <v>1017</v>
      </c>
    </row>
    <row r="1022" spans="1:1" ht="14.5" hidden="1" x14ac:dyDescent="0.25">
      <c r="A1022" s="202" t="s">
        <v>1018</v>
      </c>
    </row>
    <row r="1023" spans="1:1" ht="14.5" hidden="1" x14ac:dyDescent="0.25">
      <c r="A1023" s="202" t="s">
        <v>1019</v>
      </c>
    </row>
    <row r="1024" spans="1:1" ht="14.5" hidden="1" x14ac:dyDescent="0.25">
      <c r="A1024" s="202" t="s">
        <v>1020</v>
      </c>
    </row>
    <row r="1025" spans="1:1" ht="14.5" hidden="1" x14ac:dyDescent="0.25">
      <c r="A1025" s="202" t="s">
        <v>1021</v>
      </c>
    </row>
    <row r="1026" spans="1:1" ht="14.5" hidden="1" x14ac:dyDescent="0.25">
      <c r="A1026" s="202" t="s">
        <v>1022</v>
      </c>
    </row>
    <row r="1027" spans="1:1" ht="14.5" hidden="1" x14ac:dyDescent="0.25">
      <c r="A1027" s="202" t="s">
        <v>1023</v>
      </c>
    </row>
    <row r="1028" spans="1:1" ht="14.5" hidden="1" x14ac:dyDescent="0.25">
      <c r="A1028" s="202" t="s">
        <v>1024</v>
      </c>
    </row>
    <row r="1029" spans="1:1" ht="14.5" hidden="1" x14ac:dyDescent="0.25">
      <c r="A1029" s="202" t="s">
        <v>1025</v>
      </c>
    </row>
    <row r="1030" spans="1:1" ht="14.5" hidden="1" x14ac:dyDescent="0.25">
      <c r="A1030" s="202" t="s">
        <v>1026</v>
      </c>
    </row>
    <row r="1031" spans="1:1" ht="14.5" hidden="1" x14ac:dyDescent="0.25">
      <c r="A1031" s="202" t="s">
        <v>1027</v>
      </c>
    </row>
    <row r="1032" spans="1:1" ht="14.5" hidden="1" x14ac:dyDescent="0.25">
      <c r="A1032" s="202" t="s">
        <v>1028</v>
      </c>
    </row>
    <row r="1033" spans="1:1" ht="14.5" hidden="1" x14ac:dyDescent="0.25">
      <c r="A1033" s="202" t="s">
        <v>1029</v>
      </c>
    </row>
    <row r="1034" spans="1:1" ht="14.5" hidden="1" x14ac:dyDescent="0.25">
      <c r="A1034" s="202" t="s">
        <v>1030</v>
      </c>
    </row>
    <row r="1035" spans="1:1" ht="14.5" hidden="1" x14ac:dyDescent="0.25">
      <c r="A1035" s="202" t="s">
        <v>1031</v>
      </c>
    </row>
    <row r="1036" spans="1:1" ht="14.5" hidden="1" x14ac:dyDescent="0.25">
      <c r="A1036" s="202" t="s">
        <v>1032</v>
      </c>
    </row>
    <row r="1037" spans="1:1" ht="14.5" hidden="1" x14ac:dyDescent="0.25">
      <c r="A1037" s="202" t="s">
        <v>1033</v>
      </c>
    </row>
    <row r="1038" spans="1:1" ht="14.5" hidden="1" x14ac:dyDescent="0.25">
      <c r="A1038" s="202" t="s">
        <v>1034</v>
      </c>
    </row>
    <row r="1039" spans="1:1" ht="14.5" x14ac:dyDescent="0.25">
      <c r="A1039" s="202" t="s">
        <v>321</v>
      </c>
    </row>
    <row r="1040" spans="1:1" ht="14.5" x14ac:dyDescent="0.25">
      <c r="A1040" s="202" t="s">
        <v>1035</v>
      </c>
    </row>
    <row r="1041" spans="1:1" ht="14.5" x14ac:dyDescent="0.25">
      <c r="A1041" s="202">
        <v>99998.752759499999</v>
      </c>
    </row>
    <row r="1042" spans="1:1" ht="14.5" x14ac:dyDescent="0.25">
      <c r="A1042" s="202">
        <v>7.5329294457699997E-3</v>
      </c>
    </row>
    <row r="1043" spans="1:1" ht="14.5" x14ac:dyDescent="0.25">
      <c r="A1043" s="202" t="s">
        <v>292</v>
      </c>
    </row>
    <row r="1044" spans="1:1" ht="14.5" x14ac:dyDescent="0.25">
      <c r="A1044" s="202" t="s">
        <v>987</v>
      </c>
    </row>
    <row r="1045" spans="1:1" ht="14.5" x14ac:dyDescent="0.25">
      <c r="A1045" s="202"/>
    </row>
    <row r="1046" spans="1:1" ht="14.5" hidden="1" x14ac:dyDescent="0.25">
      <c r="A1046" s="202" t="s">
        <v>295</v>
      </c>
    </row>
    <row r="1047" spans="1:1" ht="14.5" hidden="1" x14ac:dyDescent="0.25">
      <c r="A1047" s="202" t="s">
        <v>296</v>
      </c>
    </row>
    <row r="1048" spans="1:1" ht="14.5" hidden="1" x14ac:dyDescent="0.25">
      <c r="A1048" s="202" t="s">
        <v>283</v>
      </c>
    </row>
    <row r="1049" spans="1:1" ht="14.5" x14ac:dyDescent="0.25">
      <c r="A1049" s="202" t="s">
        <v>763</v>
      </c>
    </row>
    <row r="1050" spans="1:1" ht="14.5" x14ac:dyDescent="0.25">
      <c r="A1050" s="202" t="s">
        <v>764</v>
      </c>
    </row>
    <row r="1051" spans="1:1" ht="14.5" x14ac:dyDescent="0.25">
      <c r="A1051" s="202" t="s">
        <v>1036</v>
      </c>
    </row>
    <row r="1052" spans="1:1" ht="14.5" hidden="1" x14ac:dyDescent="0.25">
      <c r="A1052" s="202" t="s">
        <v>1037</v>
      </c>
    </row>
    <row r="1053" spans="1:1" ht="14.5" hidden="1" x14ac:dyDescent="0.25">
      <c r="A1053" s="202" t="s">
        <v>1038</v>
      </c>
    </row>
    <row r="1054" spans="1:1" ht="14.5" hidden="1" x14ac:dyDescent="0.25">
      <c r="A1054" s="202" t="s">
        <v>1039</v>
      </c>
    </row>
    <row r="1055" spans="1:1" ht="14.5" hidden="1" x14ac:dyDescent="0.25">
      <c r="A1055" s="202" t="s">
        <v>1040</v>
      </c>
    </row>
    <row r="1056" spans="1:1" ht="14.5" hidden="1" x14ac:dyDescent="0.25">
      <c r="A1056" s="202" t="s">
        <v>1041</v>
      </c>
    </row>
    <row r="1057" spans="1:1" ht="14.5" hidden="1" x14ac:dyDescent="0.25">
      <c r="A1057" s="202" t="s">
        <v>1042</v>
      </c>
    </row>
    <row r="1058" spans="1:1" ht="14.5" hidden="1" x14ac:dyDescent="0.25">
      <c r="A1058" s="202" t="s">
        <v>1043</v>
      </c>
    </row>
    <row r="1059" spans="1:1" ht="14.5" hidden="1" x14ac:dyDescent="0.25">
      <c r="A1059" s="202" t="s">
        <v>1044</v>
      </c>
    </row>
    <row r="1060" spans="1:1" ht="14.5" hidden="1" x14ac:dyDescent="0.25">
      <c r="A1060" s="202" t="s">
        <v>1045</v>
      </c>
    </row>
    <row r="1061" spans="1:1" ht="14.5" hidden="1" x14ac:dyDescent="0.25">
      <c r="A1061" s="202" t="s">
        <v>1046</v>
      </c>
    </row>
    <row r="1062" spans="1:1" ht="14.5" hidden="1" x14ac:dyDescent="0.25">
      <c r="A1062" s="202" t="s">
        <v>1047</v>
      </c>
    </row>
    <row r="1063" spans="1:1" ht="14.5" hidden="1" x14ac:dyDescent="0.25">
      <c r="A1063" s="202" t="s">
        <v>1048</v>
      </c>
    </row>
    <row r="1064" spans="1:1" ht="14.5" hidden="1" x14ac:dyDescent="0.25">
      <c r="A1064" s="202" t="s">
        <v>1049</v>
      </c>
    </row>
    <row r="1065" spans="1:1" ht="14.5" hidden="1" x14ac:dyDescent="0.25">
      <c r="A1065" s="202" t="s">
        <v>1050</v>
      </c>
    </row>
    <row r="1066" spans="1:1" ht="14.5" hidden="1" x14ac:dyDescent="0.25">
      <c r="A1066" s="202" t="s">
        <v>1051</v>
      </c>
    </row>
    <row r="1067" spans="1:1" ht="14.5" hidden="1" x14ac:dyDescent="0.25">
      <c r="A1067" s="202" t="s">
        <v>1052</v>
      </c>
    </row>
    <row r="1068" spans="1:1" ht="14.5" hidden="1" x14ac:dyDescent="0.25">
      <c r="A1068" s="202" t="s">
        <v>1053</v>
      </c>
    </row>
    <row r="1069" spans="1:1" ht="14.5" hidden="1" x14ac:dyDescent="0.25">
      <c r="A1069" s="202" t="s">
        <v>1054</v>
      </c>
    </row>
    <row r="1070" spans="1:1" ht="14.5" hidden="1" x14ac:dyDescent="0.25">
      <c r="A1070" s="202" t="s">
        <v>1055</v>
      </c>
    </row>
    <row r="1071" spans="1:1" ht="14.5" hidden="1" x14ac:dyDescent="0.25">
      <c r="A1071" s="202" t="s">
        <v>1056</v>
      </c>
    </row>
    <row r="1072" spans="1:1" ht="14.5" hidden="1" x14ac:dyDescent="0.25">
      <c r="A1072" s="202" t="s">
        <v>1057</v>
      </c>
    </row>
    <row r="1073" spans="1:1" ht="14.5" hidden="1" x14ac:dyDescent="0.25">
      <c r="A1073" s="202" t="s">
        <v>1058</v>
      </c>
    </row>
    <row r="1074" spans="1:1" ht="14.5" x14ac:dyDescent="0.25">
      <c r="A1074" s="202" t="s">
        <v>321</v>
      </c>
    </row>
    <row r="1075" spans="1:1" ht="14.5" x14ac:dyDescent="0.25">
      <c r="A1075" s="202" t="s">
        <v>1059</v>
      </c>
    </row>
    <row r="1076" spans="1:1" ht="14.5" x14ac:dyDescent="0.25">
      <c r="A1076" s="202">
        <v>99998.7460995</v>
      </c>
    </row>
    <row r="1077" spans="1:1" ht="14.5" x14ac:dyDescent="0.25">
      <c r="A1077" s="202">
        <v>9.4139082281900002E-3</v>
      </c>
    </row>
    <row r="1078" spans="1:1" ht="14.5" x14ac:dyDescent="0.25">
      <c r="A1078" s="202" t="s">
        <v>292</v>
      </c>
    </row>
    <row r="1079" spans="1:1" ht="14.5" x14ac:dyDescent="0.25">
      <c r="A1079" s="202"/>
    </row>
    <row r="1080" spans="1:1" ht="14.5" hidden="1" x14ac:dyDescent="0.25">
      <c r="A1080" s="202" t="s">
        <v>295</v>
      </c>
    </row>
    <row r="1081" spans="1:1" ht="14.5" hidden="1" x14ac:dyDescent="0.25">
      <c r="A1081" s="202" t="s">
        <v>296</v>
      </c>
    </row>
    <row r="1082" spans="1:1" ht="14.5" hidden="1" x14ac:dyDescent="0.25">
      <c r="A1082" s="202" t="s">
        <v>283</v>
      </c>
    </row>
    <row r="1083" spans="1:1" ht="14.5" x14ac:dyDescent="0.25">
      <c r="A1083" s="202" t="s">
        <v>492</v>
      </c>
    </row>
    <row r="1084" spans="1:1" ht="14.5" x14ac:dyDescent="0.25">
      <c r="A1084" s="202" t="s">
        <v>864</v>
      </c>
    </row>
    <row r="1085" spans="1:1" ht="14.5" x14ac:dyDescent="0.25">
      <c r="A1085" s="202" t="s">
        <v>1060</v>
      </c>
    </row>
    <row r="1086" spans="1:1" ht="14.5" hidden="1" x14ac:dyDescent="0.25">
      <c r="A1086" s="202" t="s">
        <v>1061</v>
      </c>
    </row>
    <row r="1087" spans="1:1" ht="14.5" hidden="1" x14ac:dyDescent="0.25">
      <c r="A1087" s="202" t="s">
        <v>1062</v>
      </c>
    </row>
    <row r="1088" spans="1:1" ht="14.5" hidden="1" x14ac:dyDescent="0.25">
      <c r="A1088" s="202" t="s">
        <v>1063</v>
      </c>
    </row>
    <row r="1089" spans="1:1" ht="14.5" hidden="1" x14ac:dyDescent="0.25">
      <c r="A1089" s="202" t="s">
        <v>1064</v>
      </c>
    </row>
    <row r="1090" spans="1:1" ht="14.5" hidden="1" x14ac:dyDescent="0.25">
      <c r="A1090" s="202" t="s">
        <v>1065</v>
      </c>
    </row>
    <row r="1091" spans="1:1" ht="14.5" hidden="1" x14ac:dyDescent="0.25">
      <c r="A1091" s="202" t="s">
        <v>1066</v>
      </c>
    </row>
    <row r="1092" spans="1:1" ht="14.5" hidden="1" x14ac:dyDescent="0.25">
      <c r="A1092" s="202" t="s">
        <v>1067</v>
      </c>
    </row>
    <row r="1093" spans="1:1" ht="14.5" hidden="1" x14ac:dyDescent="0.25">
      <c r="A1093" s="202" t="s">
        <v>1068</v>
      </c>
    </row>
    <row r="1094" spans="1:1" ht="14.5" hidden="1" x14ac:dyDescent="0.25">
      <c r="A1094" s="202" t="s">
        <v>1069</v>
      </c>
    </row>
    <row r="1095" spans="1:1" ht="14.5" hidden="1" x14ac:dyDescent="0.25">
      <c r="A1095" s="202" t="s">
        <v>1070</v>
      </c>
    </row>
    <row r="1096" spans="1:1" ht="14.5" hidden="1" x14ac:dyDescent="0.25">
      <c r="A1096" s="202" t="s">
        <v>1071</v>
      </c>
    </row>
    <row r="1097" spans="1:1" ht="14.5" hidden="1" x14ac:dyDescent="0.25">
      <c r="A1097" s="202" t="s">
        <v>1072</v>
      </c>
    </row>
    <row r="1098" spans="1:1" ht="14.5" hidden="1" x14ac:dyDescent="0.25">
      <c r="A1098" s="202" t="s">
        <v>1073</v>
      </c>
    </row>
    <row r="1099" spans="1:1" ht="14.5" hidden="1" x14ac:dyDescent="0.25">
      <c r="A1099" s="202" t="s">
        <v>1074</v>
      </c>
    </row>
    <row r="1100" spans="1:1" ht="14.5" hidden="1" x14ac:dyDescent="0.25">
      <c r="A1100" s="202" t="s">
        <v>1075</v>
      </c>
    </row>
    <row r="1101" spans="1:1" ht="14.5" hidden="1" x14ac:dyDescent="0.25">
      <c r="A1101" s="202" t="s">
        <v>1076</v>
      </c>
    </row>
    <row r="1102" spans="1:1" ht="14.5" hidden="1" x14ac:dyDescent="0.25">
      <c r="A1102" s="202" t="s">
        <v>1077</v>
      </c>
    </row>
    <row r="1103" spans="1:1" ht="14.5" hidden="1" x14ac:dyDescent="0.25">
      <c r="A1103" s="202" t="s">
        <v>1078</v>
      </c>
    </row>
    <row r="1104" spans="1:1" ht="14.5" hidden="1" x14ac:dyDescent="0.25">
      <c r="A1104" s="202" t="s">
        <v>1079</v>
      </c>
    </row>
    <row r="1105" spans="1:1" ht="14.5" hidden="1" x14ac:dyDescent="0.25">
      <c r="A1105" s="202" t="s">
        <v>1080</v>
      </c>
    </row>
    <row r="1106" spans="1:1" ht="14.5" hidden="1" x14ac:dyDescent="0.25">
      <c r="A1106" s="202" t="s">
        <v>1081</v>
      </c>
    </row>
    <row r="1107" spans="1:1" ht="14.5" hidden="1" x14ac:dyDescent="0.25">
      <c r="A1107" s="202" t="s">
        <v>1082</v>
      </c>
    </row>
    <row r="1108" spans="1:1" ht="14.5" x14ac:dyDescent="0.25">
      <c r="A1108" s="202" t="s">
        <v>321</v>
      </c>
    </row>
    <row r="1109" spans="1:1" ht="14.5" x14ac:dyDescent="0.25">
      <c r="A1109" s="202" t="s">
        <v>1083</v>
      </c>
    </row>
    <row r="1110" spans="1:1" ht="14.5" x14ac:dyDescent="0.25">
      <c r="A1110" s="202">
        <v>1000063.1377</v>
      </c>
    </row>
    <row r="1111" spans="1:1" ht="14.5" x14ac:dyDescent="0.25">
      <c r="A1111" s="202">
        <v>0.30781746129300003</v>
      </c>
    </row>
    <row r="1112" spans="1:1" ht="14.5" x14ac:dyDescent="0.25">
      <c r="A1112" s="202" t="s">
        <v>292</v>
      </c>
    </row>
    <row r="1113" spans="1:1" ht="14.5" hidden="1" x14ac:dyDescent="0.25">
      <c r="A1113" s="202" t="s">
        <v>295</v>
      </c>
    </row>
    <row r="1114" spans="1:1" ht="14.5" hidden="1" x14ac:dyDescent="0.25">
      <c r="A1114" s="202" t="s">
        <v>296</v>
      </c>
    </row>
    <row r="1115" spans="1:1" ht="14.5" hidden="1" x14ac:dyDescent="0.25">
      <c r="A1115" s="202" t="s">
        <v>283</v>
      </c>
    </row>
    <row r="1116" spans="1:1" ht="14.5" x14ac:dyDescent="0.25">
      <c r="A1116" s="202" t="s">
        <v>297</v>
      </c>
    </row>
    <row r="1117" spans="1:1" ht="14.5" x14ac:dyDescent="0.25">
      <c r="A1117" s="202" t="s">
        <v>864</v>
      </c>
    </row>
    <row r="1118" spans="1:1" ht="14.5" x14ac:dyDescent="0.25">
      <c r="A1118" s="202" t="s">
        <v>1084</v>
      </c>
    </row>
    <row r="1119" spans="1:1" ht="14.5" hidden="1" x14ac:dyDescent="0.25">
      <c r="A1119" s="202" t="s">
        <v>1085</v>
      </c>
    </row>
    <row r="1120" spans="1:1" ht="14.5" hidden="1" x14ac:dyDescent="0.25">
      <c r="A1120" s="202" t="s">
        <v>1086</v>
      </c>
    </row>
    <row r="1121" spans="1:1" ht="14.5" hidden="1" x14ac:dyDescent="0.25">
      <c r="A1121" s="202" t="s">
        <v>1087</v>
      </c>
    </row>
    <row r="1122" spans="1:1" ht="14.5" hidden="1" x14ac:dyDescent="0.25">
      <c r="A1122" s="202" t="s">
        <v>1088</v>
      </c>
    </row>
    <row r="1123" spans="1:1" ht="14.5" hidden="1" x14ac:dyDescent="0.25">
      <c r="A1123" s="202" t="s">
        <v>1089</v>
      </c>
    </row>
    <row r="1124" spans="1:1" ht="14.5" hidden="1" x14ac:dyDescent="0.25">
      <c r="A1124" s="202" t="s">
        <v>1090</v>
      </c>
    </row>
    <row r="1125" spans="1:1" ht="14.5" hidden="1" x14ac:dyDescent="0.25">
      <c r="A1125" s="202" t="s">
        <v>1091</v>
      </c>
    </row>
    <row r="1126" spans="1:1" ht="14.5" hidden="1" x14ac:dyDescent="0.25">
      <c r="A1126" s="202" t="s">
        <v>1092</v>
      </c>
    </row>
    <row r="1127" spans="1:1" ht="14.5" hidden="1" x14ac:dyDescent="0.25">
      <c r="A1127" s="202" t="s">
        <v>1093</v>
      </c>
    </row>
    <row r="1128" spans="1:1" ht="14.5" hidden="1" x14ac:dyDescent="0.25">
      <c r="A1128" s="202" t="s">
        <v>1094</v>
      </c>
    </row>
    <row r="1129" spans="1:1" ht="14.5" hidden="1" x14ac:dyDescent="0.25">
      <c r="A1129" s="202" t="s">
        <v>1095</v>
      </c>
    </row>
    <row r="1130" spans="1:1" ht="14.5" hidden="1" x14ac:dyDescent="0.25">
      <c r="A1130" s="202" t="s">
        <v>1096</v>
      </c>
    </row>
    <row r="1131" spans="1:1" ht="14.5" hidden="1" x14ac:dyDescent="0.25">
      <c r="A1131" s="202" t="s">
        <v>1097</v>
      </c>
    </row>
    <row r="1132" spans="1:1" ht="14.5" hidden="1" x14ac:dyDescent="0.25">
      <c r="A1132" s="202" t="s">
        <v>1098</v>
      </c>
    </row>
    <row r="1133" spans="1:1" ht="14.5" hidden="1" x14ac:dyDescent="0.25">
      <c r="A1133" s="202" t="s">
        <v>1099</v>
      </c>
    </row>
    <row r="1134" spans="1:1" ht="14.5" hidden="1" x14ac:dyDescent="0.25">
      <c r="A1134" s="202" t="s">
        <v>1100</v>
      </c>
    </row>
    <row r="1135" spans="1:1" ht="14.5" hidden="1" x14ac:dyDescent="0.25">
      <c r="A1135" s="202" t="s">
        <v>1101</v>
      </c>
    </row>
    <row r="1136" spans="1:1" ht="14.5" hidden="1" x14ac:dyDescent="0.25">
      <c r="A1136" s="202" t="s">
        <v>1102</v>
      </c>
    </row>
    <row r="1137" spans="1:1" ht="14.5" hidden="1" x14ac:dyDescent="0.25">
      <c r="A1137" s="202" t="s">
        <v>1103</v>
      </c>
    </row>
    <row r="1138" spans="1:1" ht="14.5" hidden="1" x14ac:dyDescent="0.25">
      <c r="A1138" s="202" t="s">
        <v>1104</v>
      </c>
    </row>
    <row r="1139" spans="1:1" ht="14.5" hidden="1" x14ac:dyDescent="0.25">
      <c r="A1139" s="202" t="s">
        <v>1105</v>
      </c>
    </row>
    <row r="1140" spans="1:1" ht="14.5" hidden="1" x14ac:dyDescent="0.25">
      <c r="A1140" s="202" t="s">
        <v>1106</v>
      </c>
    </row>
    <row r="1141" spans="1:1" ht="14.5" x14ac:dyDescent="0.25">
      <c r="A1141" s="202" t="s">
        <v>321</v>
      </c>
    </row>
    <row r="1142" spans="1:1" ht="14.5" x14ac:dyDescent="0.25">
      <c r="A1142" s="202" t="s">
        <v>1107</v>
      </c>
    </row>
    <row r="1143" spans="1:1" ht="14.5" x14ac:dyDescent="0.25">
      <c r="A1143" s="202">
        <v>1000066.49785</v>
      </c>
    </row>
    <row r="1144" spans="1:1" ht="14.5" x14ac:dyDescent="0.25">
      <c r="A1144" s="202">
        <v>1.7618555790999999</v>
      </c>
    </row>
    <row r="1145" spans="1:1" ht="14.5" x14ac:dyDescent="0.25">
      <c r="A1145" s="202" t="s">
        <v>292</v>
      </c>
    </row>
    <row r="1146" spans="1:1" ht="14.5" x14ac:dyDescent="0.25">
      <c r="A1146" s="202" t="s">
        <v>1108</v>
      </c>
    </row>
    <row r="1147" spans="1:1" ht="14.5" x14ac:dyDescent="0.25">
      <c r="A1147" s="202"/>
    </row>
    <row r="1148" spans="1:1" ht="14.5" x14ac:dyDescent="0.25">
      <c r="A1148" s="202" t="s">
        <v>1117</v>
      </c>
    </row>
    <row r="1149" spans="1:1" ht="14.5" hidden="1" x14ac:dyDescent="0.25">
      <c r="A1149" s="202" t="s">
        <v>282</v>
      </c>
    </row>
    <row r="1150" spans="1:1" ht="14.5" hidden="1" x14ac:dyDescent="0.25">
      <c r="A1150" s="202" t="s">
        <v>283</v>
      </c>
    </row>
    <row r="1151" spans="1:1" ht="14.5" hidden="1" x14ac:dyDescent="0.25">
      <c r="A1151" s="202" t="s">
        <v>1118</v>
      </c>
    </row>
    <row r="1152" spans="1:1" ht="14.5" hidden="1" x14ac:dyDescent="0.25">
      <c r="A1152" s="202" t="s">
        <v>1119</v>
      </c>
    </row>
    <row r="1153" spans="1:1" ht="14.5" hidden="1" x14ac:dyDescent="0.25">
      <c r="A1153" s="202" t="s">
        <v>286</v>
      </c>
    </row>
    <row r="1154" spans="1:1" ht="14.5" hidden="1" x14ac:dyDescent="0.25">
      <c r="A1154" s="202" t="s">
        <v>287</v>
      </c>
    </row>
    <row r="1155" spans="1:1" ht="14.5" hidden="1" x14ac:dyDescent="0.25">
      <c r="A1155" s="202" t="s">
        <v>1120</v>
      </c>
    </row>
    <row r="1156" spans="1:1" ht="14.5" hidden="1" x14ac:dyDescent="0.25">
      <c r="A1156" s="202" t="s">
        <v>1119</v>
      </c>
    </row>
    <row r="1157" spans="1:1" ht="14.5" hidden="1" x14ac:dyDescent="0.25">
      <c r="A1157" s="202" t="s">
        <v>1121</v>
      </c>
    </row>
    <row r="1158" spans="1:1" ht="14.5" hidden="1" x14ac:dyDescent="0.25">
      <c r="A1158" s="202" t="s">
        <v>291</v>
      </c>
    </row>
    <row r="1159" spans="1:1" ht="14.5" hidden="1" x14ac:dyDescent="0.25">
      <c r="A1159" s="202" t="s">
        <v>292</v>
      </c>
    </row>
    <row r="1160" spans="1:1" ht="14.5" hidden="1" x14ac:dyDescent="0.25">
      <c r="A1160" s="202"/>
    </row>
    <row r="1161" spans="1:1" ht="14.5" hidden="1" x14ac:dyDescent="0.25">
      <c r="A1161" s="202" t="s">
        <v>295</v>
      </c>
    </row>
    <row r="1162" spans="1:1" ht="14.5" hidden="1" x14ac:dyDescent="0.25">
      <c r="A1162" s="202" t="s">
        <v>296</v>
      </c>
    </row>
    <row r="1163" spans="1:1" ht="14.5" hidden="1" x14ac:dyDescent="0.25">
      <c r="A1163" s="202" t="s">
        <v>283</v>
      </c>
    </row>
    <row r="1164" spans="1:1" ht="14.5" x14ac:dyDescent="0.25">
      <c r="A1164" s="202" t="s">
        <v>297</v>
      </c>
    </row>
    <row r="1165" spans="1:1" ht="14.5" x14ac:dyDescent="0.25">
      <c r="A1165" s="202" t="s">
        <v>420</v>
      </c>
    </row>
    <row r="1166" spans="1:1" ht="14.5" x14ac:dyDescent="0.25">
      <c r="A1166" s="202" t="s">
        <v>1122</v>
      </c>
    </row>
    <row r="1167" spans="1:1" ht="14.5" hidden="1" x14ac:dyDescent="0.25">
      <c r="A1167" s="202" t="s">
        <v>1123</v>
      </c>
    </row>
    <row r="1168" spans="1:1" ht="14.5" hidden="1" x14ac:dyDescent="0.25">
      <c r="A1168" s="202" t="s">
        <v>1124</v>
      </c>
    </row>
    <row r="1169" spans="1:1" ht="14.5" hidden="1" x14ac:dyDescent="0.25">
      <c r="A1169" s="202" t="s">
        <v>1125</v>
      </c>
    </row>
    <row r="1170" spans="1:1" ht="14.5" hidden="1" x14ac:dyDescent="0.25">
      <c r="A1170" s="202" t="s">
        <v>1126</v>
      </c>
    </row>
    <row r="1171" spans="1:1" ht="14.5" hidden="1" x14ac:dyDescent="0.25">
      <c r="A1171" s="202" t="s">
        <v>1127</v>
      </c>
    </row>
    <row r="1172" spans="1:1" ht="14.5" hidden="1" x14ac:dyDescent="0.25">
      <c r="A1172" s="202" t="s">
        <v>1128</v>
      </c>
    </row>
    <row r="1173" spans="1:1" ht="14.5" hidden="1" x14ac:dyDescent="0.25">
      <c r="A1173" s="202" t="s">
        <v>1129</v>
      </c>
    </row>
    <row r="1174" spans="1:1" ht="14.5" hidden="1" x14ac:dyDescent="0.25">
      <c r="A1174" s="202" t="s">
        <v>1130</v>
      </c>
    </row>
    <row r="1175" spans="1:1" ht="14.5" hidden="1" x14ac:dyDescent="0.25">
      <c r="A1175" s="202" t="s">
        <v>1131</v>
      </c>
    </row>
    <row r="1176" spans="1:1" ht="14.5" hidden="1" x14ac:dyDescent="0.25">
      <c r="A1176" s="202" t="s">
        <v>1132</v>
      </c>
    </row>
    <row r="1177" spans="1:1" ht="14.5" hidden="1" x14ac:dyDescent="0.25">
      <c r="A1177" s="202" t="s">
        <v>1133</v>
      </c>
    </row>
    <row r="1178" spans="1:1" ht="14.5" hidden="1" x14ac:dyDescent="0.25">
      <c r="A1178" s="202" t="s">
        <v>1134</v>
      </c>
    </row>
    <row r="1179" spans="1:1" ht="14.5" hidden="1" x14ac:dyDescent="0.25">
      <c r="A1179" s="202" t="s">
        <v>1135</v>
      </c>
    </row>
    <row r="1180" spans="1:1" ht="14.5" hidden="1" x14ac:dyDescent="0.25">
      <c r="A1180" s="202" t="s">
        <v>1136</v>
      </c>
    </row>
    <row r="1181" spans="1:1" ht="14.5" hidden="1" x14ac:dyDescent="0.25">
      <c r="A1181" s="202" t="s">
        <v>1137</v>
      </c>
    </row>
    <row r="1182" spans="1:1" ht="14.5" hidden="1" x14ac:dyDescent="0.25">
      <c r="A1182" s="202" t="s">
        <v>1138</v>
      </c>
    </row>
    <row r="1183" spans="1:1" ht="14.5" hidden="1" x14ac:dyDescent="0.25">
      <c r="A1183" s="202" t="s">
        <v>1139</v>
      </c>
    </row>
    <row r="1184" spans="1:1" ht="14.5" hidden="1" x14ac:dyDescent="0.25">
      <c r="A1184" s="202" t="s">
        <v>1140</v>
      </c>
    </row>
    <row r="1185" spans="1:1" ht="14.5" hidden="1" x14ac:dyDescent="0.25">
      <c r="A1185" s="202" t="s">
        <v>1141</v>
      </c>
    </row>
    <row r="1186" spans="1:1" ht="14.5" hidden="1" x14ac:dyDescent="0.25">
      <c r="A1186" s="202" t="s">
        <v>1142</v>
      </c>
    </row>
    <row r="1187" spans="1:1" ht="14.5" hidden="1" x14ac:dyDescent="0.25">
      <c r="A1187" s="202" t="s">
        <v>1143</v>
      </c>
    </row>
    <row r="1188" spans="1:1" ht="14.5" hidden="1" x14ac:dyDescent="0.25">
      <c r="A1188" s="202" t="s">
        <v>1144</v>
      </c>
    </row>
    <row r="1189" spans="1:1" ht="14.5" hidden="1" x14ac:dyDescent="0.25">
      <c r="A1189" s="202" t="s">
        <v>321</v>
      </c>
    </row>
    <row r="1190" spans="1:1" ht="14.5" x14ac:dyDescent="0.25">
      <c r="A1190" s="202" t="s">
        <v>1145</v>
      </c>
    </row>
    <row r="1191" spans="1:1" ht="14.5" x14ac:dyDescent="0.25">
      <c r="A1191" s="202">
        <v>9971.4967338999995</v>
      </c>
    </row>
    <row r="1192" spans="1:1" ht="14.5" x14ac:dyDescent="0.25">
      <c r="A1192" s="202">
        <v>1.78024799882E-3</v>
      </c>
    </row>
    <row r="1193" spans="1:1" ht="14.5" x14ac:dyDescent="0.25">
      <c r="A1193" s="202" t="s">
        <v>292</v>
      </c>
    </row>
    <row r="1194" spans="1:1" ht="14.5" x14ac:dyDescent="0.25">
      <c r="A1194" s="202" t="s">
        <v>1146</v>
      </c>
    </row>
    <row r="1195" spans="1:1" ht="14.5" hidden="1" x14ac:dyDescent="0.25">
      <c r="A1195" s="202"/>
    </row>
    <row r="1196" spans="1:1" ht="14.5" hidden="1" x14ac:dyDescent="0.25">
      <c r="A1196" s="202" t="s">
        <v>295</v>
      </c>
    </row>
    <row r="1197" spans="1:1" ht="14.5" hidden="1" x14ac:dyDescent="0.25">
      <c r="A1197" s="202" t="s">
        <v>296</v>
      </c>
    </row>
    <row r="1198" spans="1:1" ht="14.5" hidden="1" x14ac:dyDescent="0.25">
      <c r="A1198" s="202" t="s">
        <v>283</v>
      </c>
    </row>
    <row r="1199" spans="1:1" ht="14.5" x14ac:dyDescent="0.25">
      <c r="A1199" s="202" t="s">
        <v>419</v>
      </c>
    </row>
    <row r="1200" spans="1:1" ht="14.5" x14ac:dyDescent="0.25">
      <c r="A1200" s="202" t="s">
        <v>420</v>
      </c>
    </row>
    <row r="1201" spans="1:1" ht="14.5" x14ac:dyDescent="0.25">
      <c r="A1201" s="202" t="s">
        <v>323</v>
      </c>
    </row>
    <row r="1202" spans="1:1" ht="14.5" hidden="1" x14ac:dyDescent="0.25">
      <c r="A1202" s="202" t="s">
        <v>1147</v>
      </c>
    </row>
    <row r="1203" spans="1:1" ht="14.5" hidden="1" x14ac:dyDescent="0.25">
      <c r="A1203" s="202" t="s">
        <v>1148</v>
      </c>
    </row>
    <row r="1204" spans="1:1" ht="14.5" hidden="1" x14ac:dyDescent="0.25">
      <c r="A1204" s="202" t="s">
        <v>1149</v>
      </c>
    </row>
    <row r="1205" spans="1:1" ht="14.5" hidden="1" x14ac:dyDescent="0.25">
      <c r="A1205" s="202" t="s">
        <v>1150</v>
      </c>
    </row>
    <row r="1206" spans="1:1" ht="14.5" hidden="1" x14ac:dyDescent="0.25">
      <c r="A1206" s="202" t="s">
        <v>1151</v>
      </c>
    </row>
    <row r="1207" spans="1:1" ht="14.5" hidden="1" x14ac:dyDescent="0.25">
      <c r="A1207" s="202" t="s">
        <v>1152</v>
      </c>
    </row>
    <row r="1208" spans="1:1" ht="14.5" hidden="1" x14ac:dyDescent="0.25">
      <c r="A1208" s="202" t="s">
        <v>1153</v>
      </c>
    </row>
    <row r="1209" spans="1:1" ht="14.5" hidden="1" x14ac:dyDescent="0.25">
      <c r="A1209" s="202" t="s">
        <v>1154</v>
      </c>
    </row>
    <row r="1210" spans="1:1" ht="14.5" hidden="1" x14ac:dyDescent="0.25">
      <c r="A1210" s="202" t="s">
        <v>1155</v>
      </c>
    </row>
    <row r="1211" spans="1:1" ht="14.5" hidden="1" x14ac:dyDescent="0.25">
      <c r="A1211" s="202" t="s">
        <v>1156</v>
      </c>
    </row>
    <row r="1212" spans="1:1" ht="14.5" hidden="1" x14ac:dyDescent="0.25">
      <c r="A1212" s="202" t="s">
        <v>1157</v>
      </c>
    </row>
    <row r="1213" spans="1:1" ht="14.5" hidden="1" x14ac:dyDescent="0.25">
      <c r="A1213" s="202" t="s">
        <v>1158</v>
      </c>
    </row>
    <row r="1214" spans="1:1" ht="14.5" hidden="1" x14ac:dyDescent="0.25">
      <c r="A1214" s="202" t="s">
        <v>1159</v>
      </c>
    </row>
    <row r="1215" spans="1:1" ht="14.5" hidden="1" x14ac:dyDescent="0.25">
      <c r="A1215" s="202" t="s">
        <v>1160</v>
      </c>
    </row>
    <row r="1216" spans="1:1" ht="14.5" hidden="1" x14ac:dyDescent="0.25">
      <c r="A1216" s="202" t="s">
        <v>1161</v>
      </c>
    </row>
    <row r="1217" spans="1:1" ht="14.5" hidden="1" x14ac:dyDescent="0.25">
      <c r="A1217" s="202" t="s">
        <v>1162</v>
      </c>
    </row>
    <row r="1218" spans="1:1" ht="14.5" hidden="1" x14ac:dyDescent="0.25">
      <c r="A1218" s="202" t="s">
        <v>1163</v>
      </c>
    </row>
    <row r="1219" spans="1:1" ht="14.5" hidden="1" x14ac:dyDescent="0.25">
      <c r="A1219" s="202" t="s">
        <v>1164</v>
      </c>
    </row>
    <row r="1220" spans="1:1" ht="14.5" hidden="1" x14ac:dyDescent="0.25">
      <c r="A1220" s="202" t="s">
        <v>1165</v>
      </c>
    </row>
    <row r="1221" spans="1:1" ht="14.5" hidden="1" x14ac:dyDescent="0.25">
      <c r="A1221" s="202" t="s">
        <v>1166</v>
      </c>
    </row>
    <row r="1222" spans="1:1" ht="14.5" hidden="1" x14ac:dyDescent="0.25">
      <c r="A1222" s="202" t="s">
        <v>1167</v>
      </c>
    </row>
    <row r="1223" spans="1:1" ht="14.5" hidden="1" x14ac:dyDescent="0.25">
      <c r="A1223" s="202" t="s">
        <v>1168</v>
      </c>
    </row>
    <row r="1224" spans="1:1" ht="14.5" hidden="1" x14ac:dyDescent="0.25">
      <c r="A1224" s="202" t="s">
        <v>321</v>
      </c>
    </row>
    <row r="1225" spans="1:1" ht="14.5" x14ac:dyDescent="0.25">
      <c r="A1225" s="202" t="s">
        <v>1169</v>
      </c>
    </row>
    <row r="1226" spans="1:1" ht="14.5" x14ac:dyDescent="0.25">
      <c r="A1226" s="202">
        <v>9999.9687221500008</v>
      </c>
    </row>
    <row r="1227" spans="1:1" ht="14.5" x14ac:dyDescent="0.25">
      <c r="A1227" s="202">
        <v>1.34727578061E-3</v>
      </c>
    </row>
    <row r="1228" spans="1:1" ht="14.5" x14ac:dyDescent="0.25">
      <c r="A1228" s="202" t="s">
        <v>292</v>
      </c>
    </row>
    <row r="1229" spans="1:1" ht="14.5" hidden="1" x14ac:dyDescent="0.25">
      <c r="A1229" s="202"/>
    </row>
    <row r="1230" spans="1:1" ht="14.5" hidden="1" x14ac:dyDescent="0.25">
      <c r="A1230" s="202" t="s">
        <v>295</v>
      </c>
    </row>
    <row r="1231" spans="1:1" ht="14.5" hidden="1" x14ac:dyDescent="0.25">
      <c r="A1231" s="202" t="s">
        <v>296</v>
      </c>
    </row>
    <row r="1232" spans="1:1" ht="14.5" hidden="1" x14ac:dyDescent="0.25">
      <c r="A1232" s="202" t="s">
        <v>283</v>
      </c>
    </row>
    <row r="1233" spans="1:1" ht="14.5" x14ac:dyDescent="0.25">
      <c r="A1233" s="202" t="s">
        <v>419</v>
      </c>
    </row>
    <row r="1234" spans="1:1" ht="14.5" x14ac:dyDescent="0.25">
      <c r="A1234" s="202" t="s">
        <v>420</v>
      </c>
    </row>
    <row r="1235" spans="1:1" ht="14.5" x14ac:dyDescent="0.25">
      <c r="A1235" s="202" t="s">
        <v>346</v>
      </c>
    </row>
    <row r="1236" spans="1:1" ht="14.5" hidden="1" x14ac:dyDescent="0.25">
      <c r="A1236" s="202" t="s">
        <v>1170</v>
      </c>
    </row>
    <row r="1237" spans="1:1" ht="14.5" hidden="1" x14ac:dyDescent="0.25">
      <c r="A1237" s="202" t="s">
        <v>1171</v>
      </c>
    </row>
    <row r="1238" spans="1:1" ht="14.5" hidden="1" x14ac:dyDescent="0.25">
      <c r="A1238" s="202" t="s">
        <v>1172</v>
      </c>
    </row>
    <row r="1239" spans="1:1" ht="14.5" hidden="1" x14ac:dyDescent="0.25">
      <c r="A1239" s="202" t="s">
        <v>1173</v>
      </c>
    </row>
    <row r="1240" spans="1:1" ht="14.5" hidden="1" x14ac:dyDescent="0.25">
      <c r="A1240" s="202" t="s">
        <v>1174</v>
      </c>
    </row>
    <row r="1241" spans="1:1" ht="14.5" hidden="1" x14ac:dyDescent="0.25">
      <c r="A1241" s="202" t="s">
        <v>1175</v>
      </c>
    </row>
    <row r="1242" spans="1:1" ht="14.5" hidden="1" x14ac:dyDescent="0.25">
      <c r="A1242" s="202" t="s">
        <v>1176</v>
      </c>
    </row>
    <row r="1243" spans="1:1" ht="14.5" hidden="1" x14ac:dyDescent="0.25">
      <c r="A1243" s="202" t="s">
        <v>1177</v>
      </c>
    </row>
    <row r="1244" spans="1:1" ht="14.5" hidden="1" x14ac:dyDescent="0.25">
      <c r="A1244" s="202" t="s">
        <v>1178</v>
      </c>
    </row>
    <row r="1245" spans="1:1" ht="14.5" hidden="1" x14ac:dyDescent="0.25">
      <c r="A1245" s="202" t="s">
        <v>1179</v>
      </c>
    </row>
    <row r="1246" spans="1:1" ht="14.5" hidden="1" x14ac:dyDescent="0.25">
      <c r="A1246" s="202" t="s">
        <v>1180</v>
      </c>
    </row>
    <row r="1247" spans="1:1" ht="14.5" hidden="1" x14ac:dyDescent="0.25">
      <c r="A1247" s="202" t="s">
        <v>1181</v>
      </c>
    </row>
    <row r="1248" spans="1:1" ht="14.5" hidden="1" x14ac:dyDescent="0.25">
      <c r="A1248" s="202" t="s">
        <v>1182</v>
      </c>
    </row>
    <row r="1249" spans="1:1" ht="14.5" hidden="1" x14ac:dyDescent="0.25">
      <c r="A1249" s="202" t="s">
        <v>1183</v>
      </c>
    </row>
    <row r="1250" spans="1:1" ht="14.5" hidden="1" x14ac:dyDescent="0.25">
      <c r="A1250" s="202" t="s">
        <v>1184</v>
      </c>
    </row>
    <row r="1251" spans="1:1" ht="14.5" hidden="1" x14ac:dyDescent="0.25">
      <c r="A1251" s="202" t="s">
        <v>1185</v>
      </c>
    </row>
    <row r="1252" spans="1:1" ht="14.5" hidden="1" x14ac:dyDescent="0.25">
      <c r="A1252" s="202" t="s">
        <v>1186</v>
      </c>
    </row>
    <row r="1253" spans="1:1" ht="14.5" hidden="1" x14ac:dyDescent="0.25">
      <c r="A1253" s="202" t="s">
        <v>1187</v>
      </c>
    </row>
    <row r="1254" spans="1:1" ht="14.5" hidden="1" x14ac:dyDescent="0.25">
      <c r="A1254" s="202" t="s">
        <v>1188</v>
      </c>
    </row>
    <row r="1255" spans="1:1" ht="14.5" hidden="1" x14ac:dyDescent="0.25">
      <c r="A1255" s="202" t="s">
        <v>1189</v>
      </c>
    </row>
    <row r="1256" spans="1:1" ht="14.5" hidden="1" x14ac:dyDescent="0.25">
      <c r="A1256" s="202" t="s">
        <v>1190</v>
      </c>
    </row>
    <row r="1257" spans="1:1" ht="14.5" hidden="1" x14ac:dyDescent="0.25">
      <c r="A1257" s="202" t="s">
        <v>1191</v>
      </c>
    </row>
    <row r="1258" spans="1:1" ht="14.5" hidden="1" x14ac:dyDescent="0.25">
      <c r="A1258" s="202" t="s">
        <v>321</v>
      </c>
    </row>
    <row r="1259" spans="1:1" ht="14.5" x14ac:dyDescent="0.25">
      <c r="A1259" s="202" t="s">
        <v>1192</v>
      </c>
    </row>
    <row r="1260" spans="1:1" ht="14.5" x14ac:dyDescent="0.25">
      <c r="A1260" s="202">
        <v>9999.9676212499999</v>
      </c>
    </row>
    <row r="1261" spans="1:1" ht="14.5" x14ac:dyDescent="0.25">
      <c r="A1261" s="202">
        <v>1.1360270511000001E-3</v>
      </c>
    </row>
    <row r="1262" spans="1:1" ht="14.5" x14ac:dyDescent="0.25">
      <c r="A1262" s="202" t="s">
        <v>292</v>
      </c>
    </row>
    <row r="1263" spans="1:1" ht="14.5" x14ac:dyDescent="0.25">
      <c r="A1263" s="202" t="s">
        <v>1193</v>
      </c>
    </row>
    <row r="1264" spans="1:1" ht="14.5" hidden="1" x14ac:dyDescent="0.25">
      <c r="A1264" s="202"/>
    </row>
    <row r="1265" spans="1:1" ht="14.5" hidden="1" x14ac:dyDescent="0.25">
      <c r="A1265" s="202" t="s">
        <v>295</v>
      </c>
    </row>
    <row r="1266" spans="1:1" ht="14.5" hidden="1" x14ac:dyDescent="0.25">
      <c r="A1266" s="202" t="s">
        <v>296</v>
      </c>
    </row>
    <row r="1267" spans="1:1" ht="14.5" hidden="1" x14ac:dyDescent="0.25">
      <c r="A1267" s="202" t="s">
        <v>283</v>
      </c>
    </row>
    <row r="1268" spans="1:1" ht="14.5" x14ac:dyDescent="0.25">
      <c r="A1268" s="202" t="s">
        <v>763</v>
      </c>
    </row>
    <row r="1269" spans="1:1" ht="14.5" x14ac:dyDescent="0.25">
      <c r="A1269" s="202" t="s">
        <v>420</v>
      </c>
    </row>
    <row r="1270" spans="1:1" ht="14.5" x14ac:dyDescent="0.25">
      <c r="A1270" s="202" t="s">
        <v>1194</v>
      </c>
    </row>
    <row r="1271" spans="1:1" ht="14.5" hidden="1" x14ac:dyDescent="0.25">
      <c r="A1271" s="202" t="s">
        <v>1195</v>
      </c>
    </row>
    <row r="1272" spans="1:1" ht="14.5" hidden="1" x14ac:dyDescent="0.25">
      <c r="A1272" s="202" t="s">
        <v>1196</v>
      </c>
    </row>
    <row r="1273" spans="1:1" ht="14.5" hidden="1" x14ac:dyDescent="0.25">
      <c r="A1273" s="202" t="s">
        <v>1197</v>
      </c>
    </row>
    <row r="1274" spans="1:1" ht="14.5" hidden="1" x14ac:dyDescent="0.25">
      <c r="A1274" s="202" t="s">
        <v>1198</v>
      </c>
    </row>
    <row r="1275" spans="1:1" ht="14.5" hidden="1" x14ac:dyDescent="0.25">
      <c r="A1275" s="202" t="s">
        <v>1199</v>
      </c>
    </row>
    <row r="1276" spans="1:1" ht="14.5" hidden="1" x14ac:dyDescent="0.25">
      <c r="A1276" s="202" t="s">
        <v>1200</v>
      </c>
    </row>
    <row r="1277" spans="1:1" ht="14.5" hidden="1" x14ac:dyDescent="0.25">
      <c r="A1277" s="202" t="s">
        <v>1201</v>
      </c>
    </row>
    <row r="1278" spans="1:1" ht="14.5" hidden="1" x14ac:dyDescent="0.25">
      <c r="A1278" s="202" t="s">
        <v>1202</v>
      </c>
    </row>
    <row r="1279" spans="1:1" ht="14.5" hidden="1" x14ac:dyDescent="0.25">
      <c r="A1279" s="202" t="s">
        <v>1203</v>
      </c>
    </row>
    <row r="1280" spans="1:1" ht="14.5" hidden="1" x14ac:dyDescent="0.25">
      <c r="A1280" s="202" t="s">
        <v>1204</v>
      </c>
    </row>
    <row r="1281" spans="1:1" ht="14.5" hidden="1" x14ac:dyDescent="0.25">
      <c r="A1281" s="202" t="s">
        <v>1205</v>
      </c>
    </row>
    <row r="1282" spans="1:1" ht="14.5" hidden="1" x14ac:dyDescent="0.25">
      <c r="A1282" s="202" t="s">
        <v>1206</v>
      </c>
    </row>
    <row r="1283" spans="1:1" ht="14.5" hidden="1" x14ac:dyDescent="0.25">
      <c r="A1283" s="202" t="s">
        <v>1207</v>
      </c>
    </row>
    <row r="1284" spans="1:1" ht="14.5" hidden="1" x14ac:dyDescent="0.25">
      <c r="A1284" s="202" t="s">
        <v>1208</v>
      </c>
    </row>
    <row r="1285" spans="1:1" ht="14.5" hidden="1" x14ac:dyDescent="0.25">
      <c r="A1285" s="202" t="s">
        <v>1209</v>
      </c>
    </row>
    <row r="1286" spans="1:1" ht="14.5" hidden="1" x14ac:dyDescent="0.25">
      <c r="A1286" s="202" t="s">
        <v>1210</v>
      </c>
    </row>
    <row r="1287" spans="1:1" ht="14.5" hidden="1" x14ac:dyDescent="0.25">
      <c r="A1287" s="202" t="s">
        <v>1211</v>
      </c>
    </row>
    <row r="1288" spans="1:1" ht="14.5" hidden="1" x14ac:dyDescent="0.25">
      <c r="A1288" s="202" t="s">
        <v>1212</v>
      </c>
    </row>
    <row r="1289" spans="1:1" ht="14.5" hidden="1" x14ac:dyDescent="0.25">
      <c r="A1289" s="202" t="s">
        <v>1213</v>
      </c>
    </row>
    <row r="1290" spans="1:1" ht="14.5" hidden="1" x14ac:dyDescent="0.25">
      <c r="A1290" s="202" t="s">
        <v>1214</v>
      </c>
    </row>
    <row r="1291" spans="1:1" ht="14.5" hidden="1" x14ac:dyDescent="0.25">
      <c r="A1291" s="202" t="s">
        <v>1215</v>
      </c>
    </row>
    <row r="1292" spans="1:1" ht="14.5" hidden="1" x14ac:dyDescent="0.25">
      <c r="A1292" s="202" t="s">
        <v>1216</v>
      </c>
    </row>
    <row r="1293" spans="1:1" ht="14.5" hidden="1" x14ac:dyDescent="0.25">
      <c r="A1293" s="202" t="s">
        <v>321</v>
      </c>
    </row>
    <row r="1294" spans="1:1" ht="14.5" x14ac:dyDescent="0.25">
      <c r="A1294" s="202" t="s">
        <v>1217</v>
      </c>
    </row>
    <row r="1295" spans="1:1" ht="14.5" x14ac:dyDescent="0.25">
      <c r="A1295" s="202">
        <v>9999.6450067000005</v>
      </c>
    </row>
    <row r="1296" spans="1:1" ht="14.5" x14ac:dyDescent="0.25">
      <c r="A1296" s="202">
        <v>8.4578820887400001E-4</v>
      </c>
    </row>
    <row r="1297" spans="1:1" ht="14.5" x14ac:dyDescent="0.25">
      <c r="A1297" s="202" t="s">
        <v>292</v>
      </c>
    </row>
    <row r="1298" spans="1:1" ht="14.5" x14ac:dyDescent="0.25">
      <c r="A1298" s="202" t="s">
        <v>1218</v>
      </c>
    </row>
    <row r="1299" spans="1:1" ht="14.5" hidden="1" x14ac:dyDescent="0.25">
      <c r="A1299" s="202"/>
    </row>
    <row r="1300" spans="1:1" ht="14.5" hidden="1" x14ac:dyDescent="0.25">
      <c r="A1300" s="202" t="s">
        <v>295</v>
      </c>
    </row>
    <row r="1301" spans="1:1" ht="14.5" hidden="1" x14ac:dyDescent="0.25">
      <c r="A1301" s="202" t="s">
        <v>296</v>
      </c>
    </row>
    <row r="1302" spans="1:1" ht="14.5" hidden="1" x14ac:dyDescent="0.25">
      <c r="A1302" s="202" t="s">
        <v>283</v>
      </c>
    </row>
    <row r="1303" spans="1:1" ht="14.5" x14ac:dyDescent="0.25">
      <c r="A1303" s="202" t="s">
        <v>763</v>
      </c>
    </row>
    <row r="1304" spans="1:1" ht="14.5" x14ac:dyDescent="0.25">
      <c r="A1304" s="202" t="s">
        <v>1219</v>
      </c>
    </row>
    <row r="1305" spans="1:1" ht="14.5" x14ac:dyDescent="0.25">
      <c r="A1305" s="202" t="s">
        <v>1220</v>
      </c>
    </row>
    <row r="1306" spans="1:1" ht="14.5" hidden="1" x14ac:dyDescent="0.25">
      <c r="A1306" s="202" t="s">
        <v>1221</v>
      </c>
    </row>
    <row r="1307" spans="1:1" ht="14.5" hidden="1" x14ac:dyDescent="0.25">
      <c r="A1307" s="202" t="s">
        <v>1222</v>
      </c>
    </row>
    <row r="1308" spans="1:1" ht="14.5" hidden="1" x14ac:dyDescent="0.25">
      <c r="A1308" s="202" t="s">
        <v>1223</v>
      </c>
    </row>
    <row r="1309" spans="1:1" ht="14.5" hidden="1" x14ac:dyDescent="0.25">
      <c r="A1309" s="202" t="s">
        <v>1224</v>
      </c>
    </row>
    <row r="1310" spans="1:1" ht="14.5" hidden="1" x14ac:dyDescent="0.25">
      <c r="A1310" s="202" t="s">
        <v>1225</v>
      </c>
    </row>
    <row r="1311" spans="1:1" ht="14.5" hidden="1" x14ac:dyDescent="0.25">
      <c r="A1311" s="202" t="s">
        <v>1226</v>
      </c>
    </row>
    <row r="1312" spans="1:1" ht="14.5" hidden="1" x14ac:dyDescent="0.25">
      <c r="A1312" s="202" t="s">
        <v>1227</v>
      </c>
    </row>
    <row r="1313" spans="1:1" ht="14.5" hidden="1" x14ac:dyDescent="0.25">
      <c r="A1313" s="202" t="s">
        <v>1228</v>
      </c>
    </row>
    <row r="1314" spans="1:1" ht="14.5" hidden="1" x14ac:dyDescent="0.25">
      <c r="A1314" s="202" t="s">
        <v>1229</v>
      </c>
    </row>
    <row r="1315" spans="1:1" ht="14.5" hidden="1" x14ac:dyDescent="0.25">
      <c r="A1315" s="202" t="s">
        <v>1230</v>
      </c>
    </row>
    <row r="1316" spans="1:1" ht="14.5" hidden="1" x14ac:dyDescent="0.25">
      <c r="A1316" s="202" t="s">
        <v>1231</v>
      </c>
    </row>
    <row r="1317" spans="1:1" ht="14.5" hidden="1" x14ac:dyDescent="0.25">
      <c r="A1317" s="202" t="s">
        <v>1232</v>
      </c>
    </row>
    <row r="1318" spans="1:1" ht="14.5" hidden="1" x14ac:dyDescent="0.25">
      <c r="A1318" s="202" t="s">
        <v>1233</v>
      </c>
    </row>
    <row r="1319" spans="1:1" ht="14.5" hidden="1" x14ac:dyDescent="0.25">
      <c r="A1319" s="202" t="s">
        <v>1234</v>
      </c>
    </row>
    <row r="1320" spans="1:1" ht="14.5" hidden="1" x14ac:dyDescent="0.25">
      <c r="A1320" s="202" t="s">
        <v>1235</v>
      </c>
    </row>
    <row r="1321" spans="1:1" ht="14.5" hidden="1" x14ac:dyDescent="0.25">
      <c r="A1321" s="202" t="s">
        <v>1236</v>
      </c>
    </row>
    <row r="1322" spans="1:1" ht="14.5" hidden="1" x14ac:dyDescent="0.25">
      <c r="A1322" s="202" t="s">
        <v>1237</v>
      </c>
    </row>
    <row r="1323" spans="1:1" ht="14.5" hidden="1" x14ac:dyDescent="0.25">
      <c r="A1323" s="202" t="s">
        <v>1238</v>
      </c>
    </row>
    <row r="1324" spans="1:1" ht="14.5" hidden="1" x14ac:dyDescent="0.25">
      <c r="A1324" s="202" t="s">
        <v>1239</v>
      </c>
    </row>
    <row r="1325" spans="1:1" ht="14.5" hidden="1" x14ac:dyDescent="0.25">
      <c r="A1325" s="202" t="s">
        <v>1240</v>
      </c>
    </row>
    <row r="1326" spans="1:1" ht="14.5" hidden="1" x14ac:dyDescent="0.25">
      <c r="A1326" s="202" t="s">
        <v>1241</v>
      </c>
    </row>
    <row r="1327" spans="1:1" ht="14.5" hidden="1" x14ac:dyDescent="0.25">
      <c r="A1327" s="202" t="s">
        <v>1242</v>
      </c>
    </row>
    <row r="1328" spans="1:1" ht="14.5" hidden="1" x14ac:dyDescent="0.25">
      <c r="A1328" s="202" t="s">
        <v>321</v>
      </c>
    </row>
    <row r="1329" spans="1:1" ht="14.5" x14ac:dyDescent="0.25">
      <c r="A1329" s="202" t="s">
        <v>1243</v>
      </c>
    </row>
    <row r="1330" spans="1:1" ht="14.5" x14ac:dyDescent="0.25">
      <c r="A1330" s="202">
        <v>999.96300288999998</v>
      </c>
    </row>
    <row r="1331" spans="1:1" ht="14.5" x14ac:dyDescent="0.25">
      <c r="A1331" s="202">
        <v>1.50743609097E-4</v>
      </c>
    </row>
    <row r="1332" spans="1:1" ht="14.5" x14ac:dyDescent="0.25">
      <c r="A1332" s="202" t="s">
        <v>292</v>
      </c>
    </row>
    <row r="1333" spans="1:1" ht="14.5" hidden="1" x14ac:dyDescent="0.25">
      <c r="A1333" s="202" t="s">
        <v>1244</v>
      </c>
    </row>
    <row r="1334" spans="1:1" ht="14.5" hidden="1" x14ac:dyDescent="0.25">
      <c r="A1334" s="202"/>
    </row>
    <row r="1335" spans="1:1" ht="14.5" hidden="1" x14ac:dyDescent="0.25">
      <c r="A1335" s="202" t="s">
        <v>295</v>
      </c>
    </row>
    <row r="1336" spans="1:1" ht="14.5" hidden="1" x14ac:dyDescent="0.25">
      <c r="A1336" s="202" t="s">
        <v>296</v>
      </c>
    </row>
    <row r="1337" spans="1:1" ht="14.5" hidden="1" x14ac:dyDescent="0.25">
      <c r="A1337" s="202" t="s">
        <v>283</v>
      </c>
    </row>
    <row r="1338" spans="1:1" ht="14.5" x14ac:dyDescent="0.25">
      <c r="A1338" s="202" t="s">
        <v>863</v>
      </c>
    </row>
    <row r="1339" spans="1:1" ht="14.5" x14ac:dyDescent="0.25">
      <c r="A1339" s="202" t="s">
        <v>1219</v>
      </c>
    </row>
    <row r="1340" spans="1:1" ht="14.5" x14ac:dyDescent="0.25">
      <c r="A1340" s="202" t="s">
        <v>1245</v>
      </c>
    </row>
    <row r="1341" spans="1:1" ht="14.5" hidden="1" x14ac:dyDescent="0.25">
      <c r="A1341" s="202" t="s">
        <v>1246</v>
      </c>
    </row>
    <row r="1342" spans="1:1" ht="14.5" hidden="1" x14ac:dyDescent="0.25">
      <c r="A1342" s="202" t="s">
        <v>1247</v>
      </c>
    </row>
    <row r="1343" spans="1:1" ht="14.5" hidden="1" x14ac:dyDescent="0.25">
      <c r="A1343" s="202" t="s">
        <v>1248</v>
      </c>
    </row>
    <row r="1344" spans="1:1" ht="14.5" hidden="1" x14ac:dyDescent="0.25">
      <c r="A1344" s="202" t="s">
        <v>1249</v>
      </c>
    </row>
    <row r="1345" spans="1:1" ht="14.5" hidden="1" x14ac:dyDescent="0.25">
      <c r="A1345" s="202" t="s">
        <v>1250</v>
      </c>
    </row>
    <row r="1346" spans="1:1" ht="14.5" hidden="1" x14ac:dyDescent="0.25">
      <c r="A1346" s="202" t="s">
        <v>1251</v>
      </c>
    </row>
    <row r="1347" spans="1:1" ht="14.5" hidden="1" x14ac:dyDescent="0.25">
      <c r="A1347" s="202" t="s">
        <v>1252</v>
      </c>
    </row>
    <row r="1348" spans="1:1" ht="14.5" hidden="1" x14ac:dyDescent="0.25">
      <c r="A1348" s="202" t="s">
        <v>1253</v>
      </c>
    </row>
    <row r="1349" spans="1:1" ht="14.5" hidden="1" x14ac:dyDescent="0.25">
      <c r="A1349" s="202" t="s">
        <v>1254</v>
      </c>
    </row>
    <row r="1350" spans="1:1" ht="14.5" hidden="1" x14ac:dyDescent="0.25">
      <c r="A1350" s="202" t="s">
        <v>1255</v>
      </c>
    </row>
    <row r="1351" spans="1:1" ht="14.5" hidden="1" x14ac:dyDescent="0.25">
      <c r="A1351" s="202" t="s">
        <v>1256</v>
      </c>
    </row>
    <row r="1352" spans="1:1" ht="14.5" hidden="1" x14ac:dyDescent="0.25">
      <c r="A1352" s="202" t="s">
        <v>1257</v>
      </c>
    </row>
    <row r="1353" spans="1:1" ht="14.5" hidden="1" x14ac:dyDescent="0.25">
      <c r="A1353" s="202" t="s">
        <v>1258</v>
      </c>
    </row>
    <row r="1354" spans="1:1" ht="14.5" hidden="1" x14ac:dyDescent="0.25">
      <c r="A1354" s="202" t="s">
        <v>1259</v>
      </c>
    </row>
    <row r="1355" spans="1:1" ht="14.5" hidden="1" x14ac:dyDescent="0.25">
      <c r="A1355" s="202" t="s">
        <v>1260</v>
      </c>
    </row>
    <row r="1356" spans="1:1" ht="14.5" hidden="1" x14ac:dyDescent="0.25">
      <c r="A1356" s="202" t="s">
        <v>1261</v>
      </c>
    </row>
    <row r="1357" spans="1:1" ht="14.5" hidden="1" x14ac:dyDescent="0.25">
      <c r="A1357" s="202" t="s">
        <v>1262</v>
      </c>
    </row>
    <row r="1358" spans="1:1" ht="14.5" hidden="1" x14ac:dyDescent="0.25">
      <c r="A1358" s="202" t="s">
        <v>1263</v>
      </c>
    </row>
    <row r="1359" spans="1:1" ht="14.5" hidden="1" x14ac:dyDescent="0.25">
      <c r="A1359" s="202" t="s">
        <v>1264</v>
      </c>
    </row>
    <row r="1360" spans="1:1" ht="14.5" hidden="1" x14ac:dyDescent="0.25">
      <c r="A1360" s="202" t="s">
        <v>1265</v>
      </c>
    </row>
    <row r="1361" spans="1:1" ht="14.5" hidden="1" x14ac:dyDescent="0.25">
      <c r="A1361" s="202" t="s">
        <v>1266</v>
      </c>
    </row>
    <row r="1362" spans="1:1" ht="14.5" hidden="1" x14ac:dyDescent="0.25">
      <c r="A1362" s="202" t="s">
        <v>1267</v>
      </c>
    </row>
    <row r="1363" spans="1:1" ht="14.5" hidden="1" x14ac:dyDescent="0.25">
      <c r="A1363" s="202" t="s">
        <v>321</v>
      </c>
    </row>
    <row r="1364" spans="1:1" ht="14.5" x14ac:dyDescent="0.25">
      <c r="A1364" s="202" t="s">
        <v>1268</v>
      </c>
    </row>
    <row r="1365" spans="1:1" ht="14.5" x14ac:dyDescent="0.25">
      <c r="A1365" s="202">
        <v>999.97357293499999</v>
      </c>
    </row>
    <row r="1366" spans="1:1" ht="14.5" x14ac:dyDescent="0.25">
      <c r="A1366" s="202">
        <v>1.7510124673E-4</v>
      </c>
    </row>
    <row r="1367" spans="1:1" ht="14.5" x14ac:dyDescent="0.25">
      <c r="A1367" s="202" t="s">
        <v>292</v>
      </c>
    </row>
    <row r="1368" spans="1:1" ht="14.5" x14ac:dyDescent="0.25">
      <c r="A1368" s="202"/>
    </row>
    <row r="1369" spans="1:1" ht="14.5" hidden="1" x14ac:dyDescent="0.25">
      <c r="A1369" s="202" t="s">
        <v>295</v>
      </c>
    </row>
    <row r="1370" spans="1:1" ht="14.5" hidden="1" x14ac:dyDescent="0.25">
      <c r="A1370" s="202" t="s">
        <v>296</v>
      </c>
    </row>
    <row r="1371" spans="1:1" ht="14.5" hidden="1" x14ac:dyDescent="0.25">
      <c r="A1371" s="202" t="s">
        <v>283</v>
      </c>
    </row>
    <row r="1372" spans="1:1" ht="14.5" x14ac:dyDescent="0.25">
      <c r="A1372" s="202" t="s">
        <v>763</v>
      </c>
    </row>
    <row r="1373" spans="1:1" ht="14.5" x14ac:dyDescent="0.25">
      <c r="A1373" s="202" t="s">
        <v>1219</v>
      </c>
    </row>
    <row r="1374" spans="1:1" ht="14.5" x14ac:dyDescent="0.25">
      <c r="A1374" s="202" t="s">
        <v>1269</v>
      </c>
    </row>
    <row r="1375" spans="1:1" ht="14.5" hidden="1" x14ac:dyDescent="0.25">
      <c r="A1375" s="202" t="s">
        <v>1270</v>
      </c>
    </row>
    <row r="1376" spans="1:1" ht="14.5" hidden="1" x14ac:dyDescent="0.25">
      <c r="A1376" s="202" t="s">
        <v>1271</v>
      </c>
    </row>
    <row r="1377" spans="1:1" ht="14.5" hidden="1" x14ac:dyDescent="0.25">
      <c r="A1377" s="202" t="s">
        <v>1272</v>
      </c>
    </row>
    <row r="1378" spans="1:1" ht="14.5" hidden="1" x14ac:dyDescent="0.25">
      <c r="A1378" s="202" t="s">
        <v>1273</v>
      </c>
    </row>
    <row r="1379" spans="1:1" ht="14.5" hidden="1" x14ac:dyDescent="0.25">
      <c r="A1379" s="202" t="s">
        <v>1274</v>
      </c>
    </row>
    <row r="1380" spans="1:1" ht="14.5" hidden="1" x14ac:dyDescent="0.25">
      <c r="A1380" s="202" t="s">
        <v>1275</v>
      </c>
    </row>
    <row r="1381" spans="1:1" ht="14.5" hidden="1" x14ac:dyDescent="0.25">
      <c r="A1381" s="202" t="s">
        <v>1276</v>
      </c>
    </row>
    <row r="1382" spans="1:1" ht="14.5" hidden="1" x14ac:dyDescent="0.25">
      <c r="A1382" s="202" t="s">
        <v>1277</v>
      </c>
    </row>
    <row r="1383" spans="1:1" ht="14.5" hidden="1" x14ac:dyDescent="0.25">
      <c r="A1383" s="202" t="s">
        <v>1278</v>
      </c>
    </row>
    <row r="1384" spans="1:1" ht="14.5" hidden="1" x14ac:dyDescent="0.25">
      <c r="A1384" s="202" t="s">
        <v>1279</v>
      </c>
    </row>
    <row r="1385" spans="1:1" ht="14.5" hidden="1" x14ac:dyDescent="0.25">
      <c r="A1385" s="202" t="s">
        <v>1280</v>
      </c>
    </row>
    <row r="1386" spans="1:1" ht="14.5" hidden="1" x14ac:dyDescent="0.25">
      <c r="A1386" s="202" t="s">
        <v>1281</v>
      </c>
    </row>
    <row r="1387" spans="1:1" ht="14.5" hidden="1" x14ac:dyDescent="0.25">
      <c r="A1387" s="202" t="s">
        <v>1282</v>
      </c>
    </row>
    <row r="1388" spans="1:1" ht="14.5" hidden="1" x14ac:dyDescent="0.25">
      <c r="A1388" s="202" t="s">
        <v>1283</v>
      </c>
    </row>
    <row r="1389" spans="1:1" ht="14.5" hidden="1" x14ac:dyDescent="0.25">
      <c r="A1389" s="202" t="s">
        <v>1284</v>
      </c>
    </row>
    <row r="1390" spans="1:1" ht="14.5" hidden="1" x14ac:dyDescent="0.25">
      <c r="A1390" s="202" t="s">
        <v>1285</v>
      </c>
    </row>
    <row r="1391" spans="1:1" ht="14.5" hidden="1" x14ac:dyDescent="0.25">
      <c r="A1391" s="202" t="s">
        <v>1286</v>
      </c>
    </row>
    <row r="1392" spans="1:1" ht="14.5" hidden="1" x14ac:dyDescent="0.25">
      <c r="A1392" s="202" t="s">
        <v>1287</v>
      </c>
    </row>
    <row r="1393" spans="1:1" ht="14.5" hidden="1" x14ac:dyDescent="0.25">
      <c r="A1393" s="202" t="s">
        <v>1288</v>
      </c>
    </row>
    <row r="1394" spans="1:1" ht="14.5" hidden="1" x14ac:dyDescent="0.25">
      <c r="A1394" s="202" t="s">
        <v>1289</v>
      </c>
    </row>
    <row r="1395" spans="1:1" ht="14.5" hidden="1" x14ac:dyDescent="0.25">
      <c r="A1395" s="202" t="s">
        <v>1290</v>
      </c>
    </row>
    <row r="1396" spans="1:1" ht="14.5" hidden="1" x14ac:dyDescent="0.25">
      <c r="A1396" s="202" t="s">
        <v>1291</v>
      </c>
    </row>
    <row r="1397" spans="1:1" ht="14.5" hidden="1" x14ac:dyDescent="0.25">
      <c r="A1397" s="202" t="s">
        <v>321</v>
      </c>
    </row>
    <row r="1398" spans="1:1" ht="14.5" x14ac:dyDescent="0.25">
      <c r="A1398" s="202" t="s">
        <v>1292</v>
      </c>
    </row>
    <row r="1399" spans="1:1" ht="14.5" x14ac:dyDescent="0.25">
      <c r="A1399" s="202">
        <v>999.96380701500004</v>
      </c>
    </row>
    <row r="1400" spans="1:1" ht="14.5" x14ac:dyDescent="0.25">
      <c r="A1400" s="202">
        <v>1.19904344664E-4</v>
      </c>
    </row>
    <row r="1401" spans="1:1" ht="14.5" x14ac:dyDescent="0.25">
      <c r="A1401" s="202" t="s">
        <v>292</v>
      </c>
    </row>
    <row r="1402" spans="1:1" ht="14.5" x14ac:dyDescent="0.25">
      <c r="A1402" s="202" t="s">
        <v>1293</v>
      </c>
    </row>
    <row r="1403" spans="1:1" ht="14.5" x14ac:dyDescent="0.25">
      <c r="A1403" s="202"/>
    </row>
    <row r="1404" spans="1:1" ht="14.5" hidden="1" x14ac:dyDescent="0.25">
      <c r="A1404" s="202" t="s">
        <v>295</v>
      </c>
    </row>
    <row r="1405" spans="1:1" ht="14.5" hidden="1" x14ac:dyDescent="0.25">
      <c r="A1405" s="202" t="s">
        <v>296</v>
      </c>
    </row>
    <row r="1406" spans="1:1" ht="14.5" hidden="1" x14ac:dyDescent="0.25">
      <c r="A1406" s="202" t="s">
        <v>283</v>
      </c>
    </row>
    <row r="1407" spans="1:1" ht="14.5" x14ac:dyDescent="0.25">
      <c r="A1407" s="202" t="s">
        <v>863</v>
      </c>
    </row>
    <row r="1408" spans="1:1" ht="14.5" x14ac:dyDescent="0.25">
      <c r="A1408" s="202" t="s">
        <v>1294</v>
      </c>
    </row>
    <row r="1409" spans="1:1" ht="14.5" x14ac:dyDescent="0.25">
      <c r="A1409" s="202" t="s">
        <v>1295</v>
      </c>
    </row>
    <row r="1410" spans="1:1" ht="14.5" hidden="1" x14ac:dyDescent="0.25">
      <c r="A1410" s="202" t="s">
        <v>1296</v>
      </c>
    </row>
    <row r="1411" spans="1:1" ht="14.5" hidden="1" x14ac:dyDescent="0.25">
      <c r="A1411" s="202" t="s">
        <v>1297</v>
      </c>
    </row>
    <row r="1412" spans="1:1" ht="14.5" hidden="1" x14ac:dyDescent="0.25">
      <c r="A1412" s="202" t="s">
        <v>1298</v>
      </c>
    </row>
    <row r="1413" spans="1:1" ht="14.5" hidden="1" x14ac:dyDescent="0.25">
      <c r="A1413" s="202" t="s">
        <v>1299</v>
      </c>
    </row>
    <row r="1414" spans="1:1" ht="14.5" hidden="1" x14ac:dyDescent="0.25">
      <c r="A1414" s="202" t="s">
        <v>1300</v>
      </c>
    </row>
    <row r="1415" spans="1:1" ht="14.5" hidden="1" x14ac:dyDescent="0.25">
      <c r="A1415" s="202" t="s">
        <v>1301</v>
      </c>
    </row>
    <row r="1416" spans="1:1" ht="14.5" hidden="1" x14ac:dyDescent="0.25">
      <c r="A1416" s="202" t="s">
        <v>1302</v>
      </c>
    </row>
    <row r="1417" spans="1:1" ht="14.5" hidden="1" x14ac:dyDescent="0.25">
      <c r="A1417" s="202" t="s">
        <v>1303</v>
      </c>
    </row>
    <row r="1418" spans="1:1" ht="14.5" hidden="1" x14ac:dyDescent="0.25">
      <c r="A1418" s="202" t="s">
        <v>1304</v>
      </c>
    </row>
    <row r="1419" spans="1:1" ht="14.5" hidden="1" x14ac:dyDescent="0.25">
      <c r="A1419" s="202" t="s">
        <v>1305</v>
      </c>
    </row>
    <row r="1420" spans="1:1" ht="14.5" hidden="1" x14ac:dyDescent="0.25">
      <c r="A1420" s="202" t="s">
        <v>1306</v>
      </c>
    </row>
    <row r="1421" spans="1:1" ht="14.5" hidden="1" x14ac:dyDescent="0.25">
      <c r="A1421" s="202" t="s">
        <v>1307</v>
      </c>
    </row>
    <row r="1422" spans="1:1" ht="14.5" hidden="1" x14ac:dyDescent="0.25">
      <c r="A1422" s="202" t="s">
        <v>1308</v>
      </c>
    </row>
    <row r="1423" spans="1:1" ht="14.5" hidden="1" x14ac:dyDescent="0.25">
      <c r="A1423" s="202" t="s">
        <v>1309</v>
      </c>
    </row>
    <row r="1424" spans="1:1" ht="14.5" hidden="1" x14ac:dyDescent="0.25">
      <c r="A1424" s="202" t="s">
        <v>1310</v>
      </c>
    </row>
    <row r="1425" spans="1:1" ht="14.5" hidden="1" x14ac:dyDescent="0.25">
      <c r="A1425" s="202" t="s">
        <v>1311</v>
      </c>
    </row>
    <row r="1426" spans="1:1" ht="14.5" hidden="1" x14ac:dyDescent="0.25">
      <c r="A1426" s="202" t="s">
        <v>1312</v>
      </c>
    </row>
    <row r="1427" spans="1:1" ht="14.5" hidden="1" x14ac:dyDescent="0.25">
      <c r="A1427" s="202" t="s">
        <v>1313</v>
      </c>
    </row>
    <row r="1428" spans="1:1" ht="14.5" hidden="1" x14ac:dyDescent="0.25">
      <c r="A1428" s="202" t="s">
        <v>1314</v>
      </c>
    </row>
    <row r="1429" spans="1:1" ht="14.5" hidden="1" x14ac:dyDescent="0.25">
      <c r="A1429" s="202" t="s">
        <v>1315</v>
      </c>
    </row>
    <row r="1430" spans="1:1" ht="14.5" hidden="1" x14ac:dyDescent="0.25">
      <c r="A1430" s="202" t="s">
        <v>1316</v>
      </c>
    </row>
    <row r="1431" spans="1:1" ht="14.5" hidden="1" x14ac:dyDescent="0.25">
      <c r="A1431" s="202" t="s">
        <v>1317</v>
      </c>
    </row>
    <row r="1432" spans="1:1" ht="14.5" hidden="1" x14ac:dyDescent="0.25">
      <c r="A1432" s="202" t="s">
        <v>321</v>
      </c>
    </row>
    <row r="1433" spans="1:1" ht="14.5" x14ac:dyDescent="0.25">
      <c r="A1433" s="202" t="s">
        <v>1318</v>
      </c>
    </row>
    <row r="1434" spans="1:1" ht="14.5" x14ac:dyDescent="0.25">
      <c r="A1434" s="202">
        <v>99.996370698999996</v>
      </c>
    </row>
    <row r="1435" spans="1:1" ht="14.5" x14ac:dyDescent="0.25">
      <c r="A1435" s="202">
        <v>1.4915815138700001E-4</v>
      </c>
    </row>
    <row r="1436" spans="1:1" ht="14.5" x14ac:dyDescent="0.25">
      <c r="A1436" s="202" t="s">
        <v>292</v>
      </c>
    </row>
    <row r="1437" spans="1:1" ht="14.5" x14ac:dyDescent="0.25">
      <c r="A1437" s="202" t="s">
        <v>1319</v>
      </c>
    </row>
    <row r="1438" spans="1:1" ht="14.5" x14ac:dyDescent="0.25">
      <c r="A1438" s="202"/>
    </row>
    <row r="1439" spans="1:1" ht="14.5" hidden="1" x14ac:dyDescent="0.25">
      <c r="A1439" s="202" t="s">
        <v>295</v>
      </c>
    </row>
    <row r="1440" spans="1:1" ht="14.5" hidden="1" x14ac:dyDescent="0.25">
      <c r="A1440" s="202" t="s">
        <v>296</v>
      </c>
    </row>
    <row r="1441" spans="1:1" ht="14.5" hidden="1" x14ac:dyDescent="0.25">
      <c r="A1441" s="202" t="s">
        <v>283</v>
      </c>
    </row>
    <row r="1442" spans="1:1" ht="14.5" x14ac:dyDescent="0.25">
      <c r="A1442" s="202" t="s">
        <v>863</v>
      </c>
    </row>
    <row r="1443" spans="1:1" ht="14.5" x14ac:dyDescent="0.25">
      <c r="A1443" s="202" t="s">
        <v>1294</v>
      </c>
    </row>
    <row r="1444" spans="1:1" ht="14.5" x14ac:dyDescent="0.25">
      <c r="A1444" s="202" t="s">
        <v>1320</v>
      </c>
    </row>
    <row r="1445" spans="1:1" ht="14.5" hidden="1" x14ac:dyDescent="0.25">
      <c r="A1445" s="202" t="s">
        <v>1321</v>
      </c>
    </row>
    <row r="1446" spans="1:1" ht="14.5" hidden="1" x14ac:dyDescent="0.25">
      <c r="A1446" s="202" t="s">
        <v>1322</v>
      </c>
    </row>
    <row r="1447" spans="1:1" ht="14.5" hidden="1" x14ac:dyDescent="0.25">
      <c r="A1447" s="202" t="s">
        <v>1323</v>
      </c>
    </row>
    <row r="1448" spans="1:1" ht="14.5" hidden="1" x14ac:dyDescent="0.25">
      <c r="A1448" s="202" t="s">
        <v>1324</v>
      </c>
    </row>
    <row r="1449" spans="1:1" ht="14.5" hidden="1" x14ac:dyDescent="0.25">
      <c r="A1449" s="202" t="s">
        <v>1325</v>
      </c>
    </row>
    <row r="1450" spans="1:1" ht="14.5" hidden="1" x14ac:dyDescent="0.25">
      <c r="A1450" s="202" t="s">
        <v>1326</v>
      </c>
    </row>
    <row r="1451" spans="1:1" ht="14.5" hidden="1" x14ac:dyDescent="0.25">
      <c r="A1451" s="202" t="s">
        <v>1327</v>
      </c>
    </row>
    <row r="1452" spans="1:1" ht="14.5" hidden="1" x14ac:dyDescent="0.25">
      <c r="A1452" s="202" t="s">
        <v>1328</v>
      </c>
    </row>
    <row r="1453" spans="1:1" ht="14.5" hidden="1" x14ac:dyDescent="0.25">
      <c r="A1453" s="202" t="s">
        <v>1329</v>
      </c>
    </row>
    <row r="1454" spans="1:1" ht="14.5" hidden="1" x14ac:dyDescent="0.25">
      <c r="A1454" s="202" t="s">
        <v>1330</v>
      </c>
    </row>
    <row r="1455" spans="1:1" ht="14.5" hidden="1" x14ac:dyDescent="0.25">
      <c r="A1455" s="202" t="s">
        <v>1331</v>
      </c>
    </row>
    <row r="1456" spans="1:1" ht="14.5" hidden="1" x14ac:dyDescent="0.25">
      <c r="A1456" s="202" t="s">
        <v>1332</v>
      </c>
    </row>
    <row r="1457" spans="1:1" ht="14.5" hidden="1" x14ac:dyDescent="0.25">
      <c r="A1457" s="202" t="s">
        <v>1333</v>
      </c>
    </row>
    <row r="1458" spans="1:1" ht="14.5" hidden="1" x14ac:dyDescent="0.25">
      <c r="A1458" s="202" t="s">
        <v>1334</v>
      </c>
    </row>
    <row r="1459" spans="1:1" ht="14.5" hidden="1" x14ac:dyDescent="0.25">
      <c r="A1459" s="202" t="s">
        <v>1335</v>
      </c>
    </row>
    <row r="1460" spans="1:1" ht="14.5" hidden="1" x14ac:dyDescent="0.25">
      <c r="A1460" s="202" t="s">
        <v>1336</v>
      </c>
    </row>
    <row r="1461" spans="1:1" ht="14.5" hidden="1" x14ac:dyDescent="0.25">
      <c r="A1461" s="202" t="s">
        <v>1337</v>
      </c>
    </row>
    <row r="1462" spans="1:1" ht="14.5" hidden="1" x14ac:dyDescent="0.25">
      <c r="A1462" s="202" t="s">
        <v>1338</v>
      </c>
    </row>
    <row r="1463" spans="1:1" ht="14.5" hidden="1" x14ac:dyDescent="0.25">
      <c r="A1463" s="202" t="s">
        <v>1339</v>
      </c>
    </row>
    <row r="1464" spans="1:1" ht="14.5" hidden="1" x14ac:dyDescent="0.25">
      <c r="A1464" s="202" t="s">
        <v>1340</v>
      </c>
    </row>
    <row r="1465" spans="1:1" ht="14.5" hidden="1" x14ac:dyDescent="0.25">
      <c r="A1465" s="202" t="s">
        <v>1341</v>
      </c>
    </row>
    <row r="1466" spans="1:1" ht="14.5" hidden="1" x14ac:dyDescent="0.25">
      <c r="A1466" s="202" t="s">
        <v>1342</v>
      </c>
    </row>
    <row r="1467" spans="1:1" ht="14.5" hidden="1" x14ac:dyDescent="0.25">
      <c r="A1467" s="202" t="s">
        <v>321</v>
      </c>
    </row>
    <row r="1468" spans="1:1" ht="14.5" x14ac:dyDescent="0.25">
      <c r="A1468" s="202" t="s">
        <v>1343</v>
      </c>
    </row>
    <row r="1469" spans="1:1" ht="14.5" x14ac:dyDescent="0.25">
      <c r="A1469" s="202">
        <v>99.996353522500002</v>
      </c>
    </row>
    <row r="1470" spans="1:1" ht="14.5" x14ac:dyDescent="0.25">
      <c r="A1470" s="202">
        <v>1.01278335703E-4</v>
      </c>
    </row>
    <row r="1471" spans="1:1" ht="14.5" x14ac:dyDescent="0.25">
      <c r="A1471" s="202" t="s">
        <v>292</v>
      </c>
    </row>
    <row r="1472" spans="1:1" ht="14.5" x14ac:dyDescent="0.25">
      <c r="A1472" s="202"/>
    </row>
    <row r="1473" spans="1:1" ht="14.5" hidden="1" x14ac:dyDescent="0.25">
      <c r="A1473" s="202" t="s">
        <v>295</v>
      </c>
    </row>
    <row r="1474" spans="1:1" ht="14.5" hidden="1" x14ac:dyDescent="0.25">
      <c r="A1474" s="202" t="s">
        <v>296</v>
      </c>
    </row>
    <row r="1475" spans="1:1" ht="14.5" hidden="1" x14ac:dyDescent="0.25">
      <c r="A1475" s="202" t="s">
        <v>283</v>
      </c>
    </row>
    <row r="1476" spans="1:1" ht="14.5" x14ac:dyDescent="0.25">
      <c r="A1476" s="202" t="s">
        <v>863</v>
      </c>
    </row>
    <row r="1477" spans="1:1" ht="14.5" x14ac:dyDescent="0.25">
      <c r="A1477" s="202" t="s">
        <v>1219</v>
      </c>
    </row>
    <row r="1478" spans="1:1" ht="14.5" x14ac:dyDescent="0.25">
      <c r="A1478" s="202" t="s">
        <v>1344</v>
      </c>
    </row>
    <row r="1479" spans="1:1" ht="14.5" hidden="1" x14ac:dyDescent="0.25">
      <c r="A1479" s="202" t="s">
        <v>1345</v>
      </c>
    </row>
    <row r="1480" spans="1:1" ht="14.5" hidden="1" x14ac:dyDescent="0.25">
      <c r="A1480" s="202" t="s">
        <v>1346</v>
      </c>
    </row>
    <row r="1481" spans="1:1" ht="14.5" hidden="1" x14ac:dyDescent="0.25">
      <c r="A1481" s="202" t="s">
        <v>1347</v>
      </c>
    </row>
    <row r="1482" spans="1:1" ht="14.5" hidden="1" x14ac:dyDescent="0.25">
      <c r="A1482" s="202" t="s">
        <v>1348</v>
      </c>
    </row>
    <row r="1483" spans="1:1" ht="14.5" hidden="1" x14ac:dyDescent="0.25">
      <c r="A1483" s="202" t="s">
        <v>1349</v>
      </c>
    </row>
    <row r="1484" spans="1:1" ht="14.5" hidden="1" x14ac:dyDescent="0.25">
      <c r="A1484" s="202" t="s">
        <v>1350</v>
      </c>
    </row>
    <row r="1485" spans="1:1" ht="14.5" hidden="1" x14ac:dyDescent="0.25">
      <c r="A1485" s="202" t="s">
        <v>1351</v>
      </c>
    </row>
    <row r="1486" spans="1:1" ht="14.5" hidden="1" x14ac:dyDescent="0.25">
      <c r="A1486" s="202" t="s">
        <v>1352</v>
      </c>
    </row>
    <row r="1487" spans="1:1" ht="14.5" hidden="1" x14ac:dyDescent="0.25">
      <c r="A1487" s="202" t="s">
        <v>1353</v>
      </c>
    </row>
    <row r="1488" spans="1:1" ht="14.5" hidden="1" x14ac:dyDescent="0.25">
      <c r="A1488" s="202" t="s">
        <v>1354</v>
      </c>
    </row>
    <row r="1489" spans="1:1" ht="14.5" hidden="1" x14ac:dyDescent="0.25">
      <c r="A1489" s="202" t="s">
        <v>1355</v>
      </c>
    </row>
    <row r="1490" spans="1:1" ht="14.5" hidden="1" x14ac:dyDescent="0.25">
      <c r="A1490" s="202" t="s">
        <v>1356</v>
      </c>
    </row>
    <row r="1491" spans="1:1" ht="14.5" hidden="1" x14ac:dyDescent="0.25">
      <c r="A1491" s="202" t="s">
        <v>1357</v>
      </c>
    </row>
    <row r="1492" spans="1:1" ht="14.5" hidden="1" x14ac:dyDescent="0.25">
      <c r="A1492" s="202" t="s">
        <v>1358</v>
      </c>
    </row>
    <row r="1493" spans="1:1" ht="14.5" hidden="1" x14ac:dyDescent="0.25">
      <c r="A1493" s="202" t="s">
        <v>1359</v>
      </c>
    </row>
    <row r="1494" spans="1:1" ht="14.5" hidden="1" x14ac:dyDescent="0.25">
      <c r="A1494" s="202" t="s">
        <v>1360</v>
      </c>
    </row>
    <row r="1495" spans="1:1" ht="14.5" hidden="1" x14ac:dyDescent="0.25">
      <c r="A1495" s="202" t="s">
        <v>1361</v>
      </c>
    </row>
    <row r="1496" spans="1:1" ht="14.5" hidden="1" x14ac:dyDescent="0.25">
      <c r="A1496" s="202" t="s">
        <v>1362</v>
      </c>
    </row>
    <row r="1497" spans="1:1" ht="14.5" hidden="1" x14ac:dyDescent="0.25">
      <c r="A1497" s="202" t="s">
        <v>1363</v>
      </c>
    </row>
    <row r="1498" spans="1:1" ht="14.5" hidden="1" x14ac:dyDescent="0.25">
      <c r="A1498" s="202" t="s">
        <v>1364</v>
      </c>
    </row>
    <row r="1499" spans="1:1" ht="14.5" hidden="1" x14ac:dyDescent="0.25">
      <c r="A1499" s="202" t="s">
        <v>1365</v>
      </c>
    </row>
    <row r="1500" spans="1:1" ht="14.5" hidden="1" x14ac:dyDescent="0.25">
      <c r="A1500" s="202" t="s">
        <v>1366</v>
      </c>
    </row>
    <row r="1501" spans="1:1" ht="14.5" hidden="1" x14ac:dyDescent="0.25">
      <c r="A1501" s="202" t="s">
        <v>321</v>
      </c>
    </row>
    <row r="1502" spans="1:1" ht="14.5" x14ac:dyDescent="0.25">
      <c r="A1502" s="202" t="s">
        <v>1367</v>
      </c>
    </row>
    <row r="1503" spans="1:1" ht="14.5" x14ac:dyDescent="0.25">
      <c r="A1503" s="202">
        <v>999.95936455000003</v>
      </c>
    </row>
    <row r="1504" spans="1:1" ht="14.5" x14ac:dyDescent="0.25">
      <c r="A1504" s="204">
        <v>9.9640720370699996E-5</v>
      </c>
    </row>
    <row r="1505" spans="1:1" ht="14.5" x14ac:dyDescent="0.25">
      <c r="A1505" s="202" t="s">
        <v>292</v>
      </c>
    </row>
    <row r="1506" spans="1:1" ht="14.5" x14ac:dyDescent="0.25">
      <c r="A1506" s="202" t="s">
        <v>1368</v>
      </c>
    </row>
    <row r="1507" spans="1:1" ht="14.5" x14ac:dyDescent="0.25">
      <c r="A1507" s="202"/>
    </row>
    <row r="1508" spans="1:1" ht="14.5" hidden="1" x14ac:dyDescent="0.25">
      <c r="A1508" s="202" t="s">
        <v>1369</v>
      </c>
    </row>
    <row r="1509" spans="1:1" ht="14.5" hidden="1" x14ac:dyDescent="0.25">
      <c r="A1509" s="202" t="s">
        <v>296</v>
      </c>
    </row>
    <row r="1510" spans="1:1" ht="14.5" hidden="1" x14ac:dyDescent="0.25">
      <c r="A1510" s="202" t="s">
        <v>283</v>
      </c>
    </row>
    <row r="1511" spans="1:1" ht="14.5" x14ac:dyDescent="0.25">
      <c r="A1511" s="202" t="s">
        <v>492</v>
      </c>
    </row>
    <row r="1512" spans="1:1" ht="14.5" x14ac:dyDescent="0.25">
      <c r="A1512" s="202" t="s">
        <v>1219</v>
      </c>
    </row>
    <row r="1513" spans="1:1" ht="14.5" x14ac:dyDescent="0.25">
      <c r="A1513" s="202" t="s">
        <v>1802</v>
      </c>
    </row>
    <row r="1514" spans="1:1" ht="14.5" hidden="1" x14ac:dyDescent="0.25">
      <c r="A1514" s="202" t="s">
        <v>1370</v>
      </c>
    </row>
    <row r="1515" spans="1:1" ht="14.5" hidden="1" x14ac:dyDescent="0.25">
      <c r="A1515" s="202" t="s">
        <v>1371</v>
      </c>
    </row>
    <row r="1516" spans="1:1" ht="14.5" hidden="1" x14ac:dyDescent="0.25">
      <c r="A1516" s="202" t="s">
        <v>1372</v>
      </c>
    </row>
    <row r="1517" spans="1:1" ht="14.5" hidden="1" x14ac:dyDescent="0.25">
      <c r="A1517" s="202" t="s">
        <v>1373</v>
      </c>
    </row>
    <row r="1518" spans="1:1" ht="14.5" hidden="1" x14ac:dyDescent="0.25">
      <c r="A1518" s="202" t="s">
        <v>1374</v>
      </c>
    </row>
    <row r="1519" spans="1:1" ht="14.5" hidden="1" x14ac:dyDescent="0.25">
      <c r="A1519" s="202" t="s">
        <v>1375</v>
      </c>
    </row>
    <row r="1520" spans="1:1" ht="14.5" hidden="1" x14ac:dyDescent="0.25">
      <c r="A1520" s="202" t="s">
        <v>1376</v>
      </c>
    </row>
    <row r="1521" spans="1:1" ht="14.5" hidden="1" x14ac:dyDescent="0.25">
      <c r="A1521" s="202" t="s">
        <v>1377</v>
      </c>
    </row>
    <row r="1522" spans="1:1" ht="14.5" hidden="1" x14ac:dyDescent="0.25">
      <c r="A1522" s="202" t="s">
        <v>1378</v>
      </c>
    </row>
    <row r="1523" spans="1:1" ht="14.5" hidden="1" x14ac:dyDescent="0.25">
      <c r="A1523" s="202" t="s">
        <v>1379</v>
      </c>
    </row>
    <row r="1524" spans="1:1" ht="14.5" hidden="1" x14ac:dyDescent="0.25">
      <c r="A1524" s="202" t="s">
        <v>1380</v>
      </c>
    </row>
    <row r="1525" spans="1:1" ht="14.5" hidden="1" x14ac:dyDescent="0.25">
      <c r="A1525" s="202" t="s">
        <v>1381</v>
      </c>
    </row>
    <row r="1526" spans="1:1" ht="14.5" hidden="1" x14ac:dyDescent="0.25">
      <c r="A1526" s="202" t="s">
        <v>1382</v>
      </c>
    </row>
    <row r="1527" spans="1:1" ht="14.5" hidden="1" x14ac:dyDescent="0.25">
      <c r="A1527" s="202" t="s">
        <v>1383</v>
      </c>
    </row>
    <row r="1528" spans="1:1" ht="14.5" hidden="1" x14ac:dyDescent="0.25">
      <c r="A1528" s="202" t="s">
        <v>1384</v>
      </c>
    </row>
    <row r="1529" spans="1:1" ht="14.5" hidden="1" x14ac:dyDescent="0.25">
      <c r="A1529" s="202" t="s">
        <v>1385</v>
      </c>
    </row>
    <row r="1530" spans="1:1" ht="14.5" hidden="1" x14ac:dyDescent="0.25">
      <c r="A1530" s="202" t="s">
        <v>1386</v>
      </c>
    </row>
    <row r="1531" spans="1:1" ht="14.5" hidden="1" x14ac:dyDescent="0.25">
      <c r="A1531" s="202" t="s">
        <v>1387</v>
      </c>
    </row>
    <row r="1532" spans="1:1" ht="14.5" hidden="1" x14ac:dyDescent="0.25">
      <c r="A1532" s="202" t="s">
        <v>1388</v>
      </c>
    </row>
    <row r="1533" spans="1:1" ht="14.5" hidden="1" x14ac:dyDescent="0.25">
      <c r="A1533" s="202" t="s">
        <v>1389</v>
      </c>
    </row>
    <row r="1534" spans="1:1" ht="14.5" hidden="1" x14ac:dyDescent="0.25">
      <c r="A1534" s="202" t="s">
        <v>1390</v>
      </c>
    </row>
    <row r="1535" spans="1:1" ht="14.5" hidden="1" x14ac:dyDescent="0.25">
      <c r="A1535" s="202" t="s">
        <v>1391</v>
      </c>
    </row>
    <row r="1536" spans="1:1" ht="14.5" hidden="1" x14ac:dyDescent="0.25">
      <c r="A1536" s="202" t="s">
        <v>321</v>
      </c>
    </row>
    <row r="1537" spans="1:1" ht="14.5" x14ac:dyDescent="0.25">
      <c r="A1537" s="202" t="s">
        <v>1392</v>
      </c>
    </row>
    <row r="1538" spans="1:1" ht="14.5" x14ac:dyDescent="0.25">
      <c r="A1538" s="202">
        <v>999.95886557999995</v>
      </c>
    </row>
    <row r="1539" spans="1:1" ht="14.5" x14ac:dyDescent="0.25">
      <c r="A1539" s="202">
        <v>1.42710275515E-4</v>
      </c>
    </row>
    <row r="1540" spans="1:1" ht="14.5" x14ac:dyDescent="0.25">
      <c r="A1540" s="202" t="s">
        <v>292</v>
      </c>
    </row>
    <row r="1541" spans="1:1" ht="14.5" x14ac:dyDescent="0.25">
      <c r="A1541" s="202" t="s">
        <v>1393</v>
      </c>
    </row>
    <row r="1542" spans="1:1" ht="14.5" x14ac:dyDescent="0.25">
      <c r="A1542" s="202"/>
    </row>
    <row r="1543" spans="1:1" ht="14.5" hidden="1" x14ac:dyDescent="0.25">
      <c r="A1543" s="202" t="s">
        <v>295</v>
      </c>
    </row>
    <row r="1544" spans="1:1" ht="14.5" hidden="1" x14ac:dyDescent="0.25">
      <c r="A1544" s="202" t="s">
        <v>296</v>
      </c>
    </row>
    <row r="1545" spans="1:1" ht="14.5" hidden="1" x14ac:dyDescent="0.25">
      <c r="A1545" s="202" t="s">
        <v>283</v>
      </c>
    </row>
    <row r="1546" spans="1:1" ht="14.5" x14ac:dyDescent="0.25">
      <c r="A1546" s="202" t="s">
        <v>763</v>
      </c>
    </row>
    <row r="1547" spans="1:1" ht="14.5" x14ac:dyDescent="0.25">
      <c r="A1547" s="202" t="s">
        <v>1294</v>
      </c>
    </row>
    <row r="1548" spans="1:1" ht="14.5" x14ac:dyDescent="0.25">
      <c r="A1548" s="202" t="s">
        <v>1394</v>
      </c>
    </row>
    <row r="1549" spans="1:1" ht="14.5" hidden="1" x14ac:dyDescent="0.25">
      <c r="A1549" s="202" t="s">
        <v>1395</v>
      </c>
    </row>
    <row r="1550" spans="1:1" ht="14.5" hidden="1" x14ac:dyDescent="0.25">
      <c r="A1550" s="202" t="s">
        <v>1396</v>
      </c>
    </row>
    <row r="1551" spans="1:1" ht="14.5" hidden="1" x14ac:dyDescent="0.25">
      <c r="A1551" s="202" t="s">
        <v>1397</v>
      </c>
    </row>
    <row r="1552" spans="1:1" ht="14.5" hidden="1" x14ac:dyDescent="0.25">
      <c r="A1552" s="202" t="s">
        <v>1398</v>
      </c>
    </row>
    <row r="1553" spans="1:1" ht="14.5" hidden="1" x14ac:dyDescent="0.25">
      <c r="A1553" s="202" t="s">
        <v>1399</v>
      </c>
    </row>
    <row r="1554" spans="1:1" ht="14.5" hidden="1" x14ac:dyDescent="0.25">
      <c r="A1554" s="202" t="s">
        <v>1400</v>
      </c>
    </row>
    <row r="1555" spans="1:1" ht="14.5" hidden="1" x14ac:dyDescent="0.25">
      <c r="A1555" s="202" t="s">
        <v>1401</v>
      </c>
    </row>
    <row r="1556" spans="1:1" ht="14.5" hidden="1" x14ac:dyDescent="0.25">
      <c r="A1556" s="202" t="s">
        <v>1402</v>
      </c>
    </row>
    <row r="1557" spans="1:1" ht="14.5" hidden="1" x14ac:dyDescent="0.25">
      <c r="A1557" s="202" t="s">
        <v>1403</v>
      </c>
    </row>
    <row r="1558" spans="1:1" ht="14.5" hidden="1" x14ac:dyDescent="0.25">
      <c r="A1558" s="202" t="s">
        <v>1404</v>
      </c>
    </row>
    <row r="1559" spans="1:1" ht="14.5" hidden="1" x14ac:dyDescent="0.25">
      <c r="A1559" s="202" t="s">
        <v>1405</v>
      </c>
    </row>
    <row r="1560" spans="1:1" ht="14.5" hidden="1" x14ac:dyDescent="0.25">
      <c r="A1560" s="202" t="s">
        <v>1406</v>
      </c>
    </row>
    <row r="1561" spans="1:1" ht="14.5" hidden="1" x14ac:dyDescent="0.25">
      <c r="A1561" s="202" t="s">
        <v>1407</v>
      </c>
    </row>
    <row r="1562" spans="1:1" ht="14.5" hidden="1" x14ac:dyDescent="0.25">
      <c r="A1562" s="202" t="s">
        <v>1408</v>
      </c>
    </row>
    <row r="1563" spans="1:1" ht="14.5" hidden="1" x14ac:dyDescent="0.25">
      <c r="A1563" s="202" t="s">
        <v>1409</v>
      </c>
    </row>
    <row r="1564" spans="1:1" ht="14.5" hidden="1" x14ac:dyDescent="0.25">
      <c r="A1564" s="202" t="s">
        <v>1410</v>
      </c>
    </row>
    <row r="1565" spans="1:1" ht="14.5" hidden="1" x14ac:dyDescent="0.25">
      <c r="A1565" s="202" t="s">
        <v>1411</v>
      </c>
    </row>
    <row r="1566" spans="1:1" ht="14.5" hidden="1" x14ac:dyDescent="0.25">
      <c r="A1566" s="202" t="s">
        <v>1412</v>
      </c>
    </row>
    <row r="1567" spans="1:1" ht="14.5" hidden="1" x14ac:dyDescent="0.25">
      <c r="A1567" s="202" t="s">
        <v>1413</v>
      </c>
    </row>
    <row r="1568" spans="1:1" ht="14.5" hidden="1" x14ac:dyDescent="0.25">
      <c r="A1568" s="202" t="s">
        <v>1414</v>
      </c>
    </row>
    <row r="1569" spans="1:1" ht="14.5" hidden="1" x14ac:dyDescent="0.25">
      <c r="A1569" s="202" t="s">
        <v>1415</v>
      </c>
    </row>
    <row r="1570" spans="1:1" ht="14.5" hidden="1" x14ac:dyDescent="0.25">
      <c r="A1570" s="202" t="s">
        <v>1416</v>
      </c>
    </row>
    <row r="1571" spans="1:1" ht="14.5" hidden="1" x14ac:dyDescent="0.25">
      <c r="A1571" s="202" t="s">
        <v>321</v>
      </c>
    </row>
    <row r="1572" spans="1:1" ht="14.5" x14ac:dyDescent="0.25">
      <c r="A1572" s="202" t="s">
        <v>1417</v>
      </c>
    </row>
    <row r="1573" spans="1:1" ht="14.5" x14ac:dyDescent="0.25">
      <c r="A1573" s="202">
        <v>99.997078512000002</v>
      </c>
    </row>
    <row r="1574" spans="1:1" ht="14.5" x14ac:dyDescent="0.25">
      <c r="A1574" s="204">
        <v>9.3598850342499994E-5</v>
      </c>
    </row>
    <row r="1575" spans="1:1" ht="14.5" x14ac:dyDescent="0.25">
      <c r="A1575" s="202" t="s">
        <v>292</v>
      </c>
    </row>
    <row r="1576" spans="1:1" ht="14.5" x14ac:dyDescent="0.25">
      <c r="A1576" s="202" t="s">
        <v>1418</v>
      </c>
    </row>
    <row r="1577" spans="1:1" ht="14.5" x14ac:dyDescent="0.25">
      <c r="A1577" s="202"/>
    </row>
    <row r="1578" spans="1:1" ht="14.5" hidden="1" x14ac:dyDescent="0.25">
      <c r="A1578" s="202" t="s">
        <v>295</v>
      </c>
    </row>
    <row r="1579" spans="1:1" ht="14.5" hidden="1" x14ac:dyDescent="0.25">
      <c r="A1579" s="202" t="s">
        <v>296</v>
      </c>
    </row>
    <row r="1580" spans="1:1" ht="14.5" hidden="1" x14ac:dyDescent="0.25">
      <c r="A1580" s="202" t="s">
        <v>283</v>
      </c>
    </row>
    <row r="1581" spans="1:1" ht="14.5" x14ac:dyDescent="0.25">
      <c r="A1581" s="202" t="s">
        <v>863</v>
      </c>
    </row>
    <row r="1582" spans="1:1" ht="14.5" x14ac:dyDescent="0.25">
      <c r="A1582" s="202" t="s">
        <v>1419</v>
      </c>
    </row>
    <row r="1583" spans="1:1" ht="14.5" x14ac:dyDescent="0.25">
      <c r="A1583" s="202" t="s">
        <v>1803</v>
      </c>
    </row>
    <row r="1584" spans="1:1" ht="14.5" hidden="1" x14ac:dyDescent="0.25">
      <c r="A1584" s="202" t="s">
        <v>1420</v>
      </c>
    </row>
    <row r="1585" spans="1:1" ht="14.5" hidden="1" x14ac:dyDescent="0.25">
      <c r="A1585" s="202" t="s">
        <v>1421</v>
      </c>
    </row>
    <row r="1586" spans="1:1" ht="14.5" hidden="1" x14ac:dyDescent="0.25">
      <c r="A1586" s="202" t="s">
        <v>1422</v>
      </c>
    </row>
    <row r="1587" spans="1:1" ht="14.5" hidden="1" x14ac:dyDescent="0.25">
      <c r="A1587" s="202" t="s">
        <v>1423</v>
      </c>
    </row>
    <row r="1588" spans="1:1" ht="14.5" hidden="1" x14ac:dyDescent="0.25">
      <c r="A1588" s="202" t="s">
        <v>1424</v>
      </c>
    </row>
    <row r="1589" spans="1:1" ht="14.5" hidden="1" x14ac:dyDescent="0.25">
      <c r="A1589" s="202" t="s">
        <v>1425</v>
      </c>
    </row>
    <row r="1590" spans="1:1" ht="14.5" hidden="1" x14ac:dyDescent="0.25">
      <c r="A1590" s="202" t="s">
        <v>1426</v>
      </c>
    </row>
    <row r="1591" spans="1:1" ht="14.5" hidden="1" x14ac:dyDescent="0.25">
      <c r="A1591" s="202" t="s">
        <v>1427</v>
      </c>
    </row>
    <row r="1592" spans="1:1" ht="14.5" hidden="1" x14ac:dyDescent="0.25">
      <c r="A1592" s="202" t="s">
        <v>1428</v>
      </c>
    </row>
    <row r="1593" spans="1:1" ht="14.5" hidden="1" x14ac:dyDescent="0.25">
      <c r="A1593" s="202" t="s">
        <v>1429</v>
      </c>
    </row>
    <row r="1594" spans="1:1" ht="14.5" hidden="1" x14ac:dyDescent="0.25">
      <c r="A1594" s="202" t="s">
        <v>1430</v>
      </c>
    </row>
    <row r="1595" spans="1:1" ht="14.5" hidden="1" x14ac:dyDescent="0.25">
      <c r="A1595" s="202" t="s">
        <v>1431</v>
      </c>
    </row>
    <row r="1596" spans="1:1" ht="14.5" hidden="1" x14ac:dyDescent="0.25">
      <c r="A1596" s="202" t="s">
        <v>1432</v>
      </c>
    </row>
    <row r="1597" spans="1:1" ht="14.5" hidden="1" x14ac:dyDescent="0.25">
      <c r="A1597" s="202" t="s">
        <v>1433</v>
      </c>
    </row>
    <row r="1598" spans="1:1" ht="14.5" hidden="1" x14ac:dyDescent="0.25">
      <c r="A1598" s="202" t="s">
        <v>1434</v>
      </c>
    </row>
    <row r="1599" spans="1:1" ht="14.5" hidden="1" x14ac:dyDescent="0.25">
      <c r="A1599" s="202" t="s">
        <v>1435</v>
      </c>
    </row>
    <row r="1600" spans="1:1" ht="14.5" hidden="1" x14ac:dyDescent="0.25">
      <c r="A1600" s="202" t="s">
        <v>1436</v>
      </c>
    </row>
    <row r="1601" spans="1:1" ht="14.5" hidden="1" x14ac:dyDescent="0.25">
      <c r="A1601" s="202" t="s">
        <v>1437</v>
      </c>
    </row>
    <row r="1602" spans="1:1" ht="14.5" hidden="1" x14ac:dyDescent="0.25">
      <c r="A1602" s="202" t="s">
        <v>1438</v>
      </c>
    </row>
    <row r="1603" spans="1:1" ht="14.5" hidden="1" x14ac:dyDescent="0.25">
      <c r="A1603" s="202" t="s">
        <v>1439</v>
      </c>
    </row>
    <row r="1604" spans="1:1" ht="14.5" hidden="1" x14ac:dyDescent="0.25">
      <c r="A1604" s="202" t="s">
        <v>1440</v>
      </c>
    </row>
    <row r="1605" spans="1:1" ht="14.5" hidden="1" x14ac:dyDescent="0.25">
      <c r="A1605" s="202" t="s">
        <v>1441</v>
      </c>
    </row>
    <row r="1606" spans="1:1" ht="14.5" hidden="1" x14ac:dyDescent="0.25">
      <c r="A1606" s="202" t="s">
        <v>321</v>
      </c>
    </row>
    <row r="1607" spans="1:1" ht="14.5" x14ac:dyDescent="0.25">
      <c r="A1607" s="202" t="s">
        <v>1442</v>
      </c>
    </row>
    <row r="1608" spans="1:1" ht="14.5" x14ac:dyDescent="0.25">
      <c r="A1608" s="202">
        <v>9.9995585699500005</v>
      </c>
    </row>
    <row r="1609" spans="1:1" ht="14.5" x14ac:dyDescent="0.25">
      <c r="A1609" s="204">
        <v>1.2467946369799999E-5</v>
      </c>
    </row>
    <row r="1610" spans="1:1" ht="14.5" x14ac:dyDescent="0.25">
      <c r="A1610" s="202" t="s">
        <v>292</v>
      </c>
    </row>
    <row r="1611" spans="1:1" ht="14.5" x14ac:dyDescent="0.25">
      <c r="A1611" s="202" t="s">
        <v>1443</v>
      </c>
    </row>
    <row r="1612" spans="1:1" ht="14.5" x14ac:dyDescent="0.25">
      <c r="A1612" s="202"/>
    </row>
    <row r="1613" spans="1:1" ht="14.5" hidden="1" x14ac:dyDescent="0.25">
      <c r="A1613" s="202" t="s">
        <v>295</v>
      </c>
    </row>
    <row r="1614" spans="1:1" ht="14.5" hidden="1" x14ac:dyDescent="0.25">
      <c r="A1614" s="202" t="s">
        <v>296</v>
      </c>
    </row>
    <row r="1615" spans="1:1" ht="14.5" hidden="1" x14ac:dyDescent="0.25">
      <c r="A1615" s="202" t="s">
        <v>283</v>
      </c>
    </row>
    <row r="1616" spans="1:1" ht="14.5" x14ac:dyDescent="0.25">
      <c r="A1616" s="202" t="s">
        <v>863</v>
      </c>
    </row>
    <row r="1617" spans="1:1" ht="14.5" x14ac:dyDescent="0.25">
      <c r="A1617" s="202" t="s">
        <v>1419</v>
      </c>
    </row>
    <row r="1618" spans="1:1" ht="14.5" x14ac:dyDescent="0.25">
      <c r="A1618" s="202" t="s">
        <v>1444</v>
      </c>
    </row>
    <row r="1619" spans="1:1" ht="14.5" hidden="1" x14ac:dyDescent="0.25">
      <c r="A1619" s="202" t="s">
        <v>1445</v>
      </c>
    </row>
    <row r="1620" spans="1:1" ht="14.5" hidden="1" x14ac:dyDescent="0.25">
      <c r="A1620" s="202" t="s">
        <v>1446</v>
      </c>
    </row>
    <row r="1621" spans="1:1" ht="14.5" hidden="1" x14ac:dyDescent="0.25">
      <c r="A1621" s="202" t="s">
        <v>1447</v>
      </c>
    </row>
    <row r="1622" spans="1:1" ht="14.5" hidden="1" x14ac:dyDescent="0.25">
      <c r="A1622" s="202" t="s">
        <v>1448</v>
      </c>
    </row>
    <row r="1623" spans="1:1" ht="14.5" hidden="1" x14ac:dyDescent="0.25">
      <c r="A1623" s="202" t="s">
        <v>1449</v>
      </c>
    </row>
    <row r="1624" spans="1:1" ht="14.5" hidden="1" x14ac:dyDescent="0.25">
      <c r="A1624" s="202" t="s">
        <v>1450</v>
      </c>
    </row>
    <row r="1625" spans="1:1" ht="14.5" hidden="1" x14ac:dyDescent="0.25">
      <c r="A1625" s="202" t="s">
        <v>1451</v>
      </c>
    </row>
    <row r="1626" spans="1:1" ht="14.5" hidden="1" x14ac:dyDescent="0.25">
      <c r="A1626" s="202" t="s">
        <v>1452</v>
      </c>
    </row>
    <row r="1627" spans="1:1" ht="14.5" hidden="1" x14ac:dyDescent="0.25">
      <c r="A1627" s="202" t="s">
        <v>1453</v>
      </c>
    </row>
    <row r="1628" spans="1:1" ht="14.5" hidden="1" x14ac:dyDescent="0.25">
      <c r="A1628" s="202" t="s">
        <v>1454</v>
      </c>
    </row>
    <row r="1629" spans="1:1" ht="14.5" hidden="1" x14ac:dyDescent="0.25">
      <c r="A1629" s="202" t="s">
        <v>1455</v>
      </c>
    </row>
    <row r="1630" spans="1:1" ht="14.5" hidden="1" x14ac:dyDescent="0.25">
      <c r="A1630" s="202" t="s">
        <v>1456</v>
      </c>
    </row>
    <row r="1631" spans="1:1" ht="14.5" hidden="1" x14ac:dyDescent="0.25">
      <c r="A1631" s="202" t="s">
        <v>1457</v>
      </c>
    </row>
    <row r="1632" spans="1:1" ht="14.5" hidden="1" x14ac:dyDescent="0.25">
      <c r="A1632" s="202" t="s">
        <v>1458</v>
      </c>
    </row>
    <row r="1633" spans="1:1" ht="14.5" hidden="1" x14ac:dyDescent="0.25">
      <c r="A1633" s="202" t="s">
        <v>1459</v>
      </c>
    </row>
    <row r="1634" spans="1:1" ht="14.5" hidden="1" x14ac:dyDescent="0.25">
      <c r="A1634" s="202" t="s">
        <v>1460</v>
      </c>
    </row>
    <row r="1635" spans="1:1" ht="14.5" hidden="1" x14ac:dyDescent="0.25">
      <c r="A1635" s="202" t="s">
        <v>1461</v>
      </c>
    </row>
    <row r="1636" spans="1:1" ht="14.5" hidden="1" x14ac:dyDescent="0.25">
      <c r="A1636" s="202" t="s">
        <v>1462</v>
      </c>
    </row>
    <row r="1637" spans="1:1" ht="14.5" hidden="1" x14ac:dyDescent="0.25">
      <c r="A1637" s="202" t="s">
        <v>1463</v>
      </c>
    </row>
    <row r="1638" spans="1:1" ht="14.5" hidden="1" x14ac:dyDescent="0.25">
      <c r="A1638" s="202" t="s">
        <v>1464</v>
      </c>
    </row>
    <row r="1639" spans="1:1" ht="14.5" hidden="1" x14ac:dyDescent="0.25">
      <c r="A1639" s="202" t="s">
        <v>1465</v>
      </c>
    </row>
    <row r="1640" spans="1:1" ht="14.5" hidden="1" x14ac:dyDescent="0.25">
      <c r="A1640" s="202" t="s">
        <v>1466</v>
      </c>
    </row>
    <row r="1641" spans="1:1" ht="14.5" hidden="1" x14ac:dyDescent="0.25">
      <c r="A1641" s="202" t="s">
        <v>321</v>
      </c>
    </row>
    <row r="1642" spans="1:1" ht="14.5" x14ac:dyDescent="0.25">
      <c r="A1642" s="202" t="s">
        <v>1467</v>
      </c>
    </row>
    <row r="1643" spans="1:1" ht="14.5" x14ac:dyDescent="0.25">
      <c r="A1643" s="202">
        <v>9.9999467482500002</v>
      </c>
    </row>
    <row r="1644" spans="1:1" ht="14.5" x14ac:dyDescent="0.25">
      <c r="A1644" s="204">
        <v>1.05003117692E-5</v>
      </c>
    </row>
    <row r="1645" spans="1:1" ht="14.5" x14ac:dyDescent="0.25">
      <c r="A1645" s="202" t="s">
        <v>292</v>
      </c>
    </row>
    <row r="1646" spans="1:1" ht="14.5" x14ac:dyDescent="0.25">
      <c r="A1646" s="202" t="s">
        <v>1468</v>
      </c>
    </row>
    <row r="1647" spans="1:1" ht="14.5" x14ac:dyDescent="0.25">
      <c r="A1647" s="202"/>
    </row>
    <row r="1648" spans="1:1" ht="14.5" hidden="1" x14ac:dyDescent="0.25">
      <c r="A1648" s="202" t="s">
        <v>295</v>
      </c>
    </row>
    <row r="1649" spans="1:1" ht="14.5" hidden="1" x14ac:dyDescent="0.25">
      <c r="A1649" s="202" t="s">
        <v>296</v>
      </c>
    </row>
    <row r="1650" spans="1:1" ht="14.5" hidden="1" x14ac:dyDescent="0.25">
      <c r="A1650" s="202" t="s">
        <v>283</v>
      </c>
    </row>
    <row r="1651" spans="1:1" ht="14.5" x14ac:dyDescent="0.25">
      <c r="A1651" s="202" t="s">
        <v>863</v>
      </c>
    </row>
    <row r="1652" spans="1:1" ht="14.5" x14ac:dyDescent="0.25">
      <c r="A1652" s="202" t="s">
        <v>1294</v>
      </c>
    </row>
    <row r="1653" spans="1:1" ht="14.5" x14ac:dyDescent="0.25">
      <c r="A1653" s="202" t="s">
        <v>1469</v>
      </c>
    </row>
    <row r="1654" spans="1:1" ht="14.5" hidden="1" x14ac:dyDescent="0.25">
      <c r="A1654" s="202" t="s">
        <v>1470</v>
      </c>
    </row>
    <row r="1655" spans="1:1" ht="14.5" hidden="1" x14ac:dyDescent="0.25">
      <c r="A1655" s="202" t="s">
        <v>1471</v>
      </c>
    </row>
    <row r="1656" spans="1:1" ht="14.5" hidden="1" x14ac:dyDescent="0.25">
      <c r="A1656" s="202" t="s">
        <v>1472</v>
      </c>
    </row>
    <row r="1657" spans="1:1" ht="14.5" hidden="1" x14ac:dyDescent="0.25">
      <c r="A1657" s="202" t="s">
        <v>1473</v>
      </c>
    </row>
    <row r="1658" spans="1:1" ht="14.5" hidden="1" x14ac:dyDescent="0.25">
      <c r="A1658" s="202" t="s">
        <v>1474</v>
      </c>
    </row>
    <row r="1659" spans="1:1" ht="14.5" hidden="1" x14ac:dyDescent="0.25">
      <c r="A1659" s="202" t="s">
        <v>1475</v>
      </c>
    </row>
    <row r="1660" spans="1:1" ht="14.5" hidden="1" x14ac:dyDescent="0.25">
      <c r="A1660" s="202" t="s">
        <v>1476</v>
      </c>
    </row>
    <row r="1661" spans="1:1" ht="14.5" hidden="1" x14ac:dyDescent="0.25">
      <c r="A1661" s="202" t="s">
        <v>1477</v>
      </c>
    </row>
    <row r="1662" spans="1:1" ht="14.5" hidden="1" x14ac:dyDescent="0.25">
      <c r="A1662" s="202" t="s">
        <v>1478</v>
      </c>
    </row>
    <row r="1663" spans="1:1" ht="14.5" hidden="1" x14ac:dyDescent="0.25">
      <c r="A1663" s="202" t="s">
        <v>1479</v>
      </c>
    </row>
    <row r="1664" spans="1:1" ht="14.5" hidden="1" x14ac:dyDescent="0.25">
      <c r="A1664" s="202" t="s">
        <v>1480</v>
      </c>
    </row>
    <row r="1665" spans="1:1" ht="14.5" hidden="1" x14ac:dyDescent="0.25">
      <c r="A1665" s="202" t="s">
        <v>1481</v>
      </c>
    </row>
    <row r="1666" spans="1:1" ht="14.5" hidden="1" x14ac:dyDescent="0.25">
      <c r="A1666" s="202" t="s">
        <v>1482</v>
      </c>
    </row>
    <row r="1667" spans="1:1" ht="14.5" hidden="1" x14ac:dyDescent="0.25">
      <c r="A1667" s="202" t="s">
        <v>1483</v>
      </c>
    </row>
    <row r="1668" spans="1:1" ht="14.5" hidden="1" x14ac:dyDescent="0.25">
      <c r="A1668" s="202" t="s">
        <v>1484</v>
      </c>
    </row>
    <row r="1669" spans="1:1" ht="14.5" hidden="1" x14ac:dyDescent="0.25">
      <c r="A1669" s="202" t="s">
        <v>1485</v>
      </c>
    </row>
    <row r="1670" spans="1:1" ht="14.5" hidden="1" x14ac:dyDescent="0.25">
      <c r="A1670" s="202" t="s">
        <v>1486</v>
      </c>
    </row>
    <row r="1671" spans="1:1" ht="14.5" hidden="1" x14ac:dyDescent="0.25">
      <c r="A1671" s="202" t="s">
        <v>1487</v>
      </c>
    </row>
    <row r="1672" spans="1:1" ht="14.5" hidden="1" x14ac:dyDescent="0.25">
      <c r="A1672" s="202" t="s">
        <v>1488</v>
      </c>
    </row>
    <row r="1673" spans="1:1" ht="14.5" hidden="1" x14ac:dyDescent="0.25">
      <c r="A1673" s="202" t="s">
        <v>1489</v>
      </c>
    </row>
    <row r="1674" spans="1:1" ht="14.5" hidden="1" x14ac:dyDescent="0.25">
      <c r="A1674" s="202" t="s">
        <v>1490</v>
      </c>
    </row>
    <row r="1675" spans="1:1" ht="14.5" hidden="1" x14ac:dyDescent="0.25">
      <c r="A1675" s="202" t="s">
        <v>1491</v>
      </c>
    </row>
    <row r="1676" spans="1:1" ht="14.5" hidden="1" x14ac:dyDescent="0.25">
      <c r="A1676" s="202" t="s">
        <v>321</v>
      </c>
    </row>
    <row r="1677" spans="1:1" ht="14.5" x14ac:dyDescent="0.25">
      <c r="A1677" s="202" t="s">
        <v>1492</v>
      </c>
    </row>
    <row r="1678" spans="1:1" ht="14.5" x14ac:dyDescent="0.25">
      <c r="A1678" s="202">
        <v>99.9990467075</v>
      </c>
    </row>
    <row r="1679" spans="1:1" ht="14.5" x14ac:dyDescent="0.25">
      <c r="A1679" s="202">
        <v>1.00117225128E-4</v>
      </c>
    </row>
    <row r="1680" spans="1:1" ht="14.5" x14ac:dyDescent="0.25">
      <c r="A1680" s="202" t="s">
        <v>292</v>
      </c>
    </row>
    <row r="1681" spans="1:1" ht="14.5" x14ac:dyDescent="0.25">
      <c r="A1681" s="202" t="s">
        <v>1493</v>
      </c>
    </row>
    <row r="1682" spans="1:1" ht="14.5" x14ac:dyDescent="0.25">
      <c r="A1682" s="202"/>
    </row>
    <row r="1683" spans="1:1" ht="14.5" hidden="1" x14ac:dyDescent="0.25">
      <c r="A1683" s="202" t="s">
        <v>295</v>
      </c>
    </row>
    <row r="1684" spans="1:1" ht="14.5" hidden="1" x14ac:dyDescent="0.25">
      <c r="A1684" s="202" t="s">
        <v>296</v>
      </c>
    </row>
    <row r="1685" spans="1:1" ht="14.5" hidden="1" x14ac:dyDescent="0.25">
      <c r="A1685" s="202" t="s">
        <v>283</v>
      </c>
    </row>
    <row r="1686" spans="1:1" ht="14.5" x14ac:dyDescent="0.25">
      <c r="A1686" s="202" t="s">
        <v>863</v>
      </c>
    </row>
    <row r="1687" spans="1:1" ht="14.5" x14ac:dyDescent="0.25">
      <c r="A1687" s="202" t="s">
        <v>764</v>
      </c>
    </row>
    <row r="1688" spans="1:1" ht="14.5" x14ac:dyDescent="0.25">
      <c r="A1688" s="202" t="s">
        <v>1494</v>
      </c>
    </row>
    <row r="1689" spans="1:1" ht="14.5" hidden="1" x14ac:dyDescent="0.25">
      <c r="A1689" s="202" t="s">
        <v>1495</v>
      </c>
    </row>
    <row r="1690" spans="1:1" ht="14.5" hidden="1" x14ac:dyDescent="0.25">
      <c r="A1690" s="202" t="s">
        <v>1496</v>
      </c>
    </row>
    <row r="1691" spans="1:1" ht="14.5" hidden="1" x14ac:dyDescent="0.25">
      <c r="A1691" s="202" t="s">
        <v>1497</v>
      </c>
    </row>
    <row r="1692" spans="1:1" ht="14.5" hidden="1" x14ac:dyDescent="0.25">
      <c r="A1692" s="202" t="s">
        <v>1498</v>
      </c>
    </row>
    <row r="1693" spans="1:1" ht="14.5" hidden="1" x14ac:dyDescent="0.25">
      <c r="A1693" s="202" t="s">
        <v>1499</v>
      </c>
    </row>
    <row r="1694" spans="1:1" ht="14.5" hidden="1" x14ac:dyDescent="0.25">
      <c r="A1694" s="202" t="s">
        <v>1500</v>
      </c>
    </row>
    <row r="1695" spans="1:1" ht="14.5" hidden="1" x14ac:dyDescent="0.25">
      <c r="A1695" s="202" t="s">
        <v>1501</v>
      </c>
    </row>
    <row r="1696" spans="1:1" ht="14.5" hidden="1" x14ac:dyDescent="0.25">
      <c r="A1696" s="202" t="s">
        <v>1502</v>
      </c>
    </row>
    <row r="1697" spans="1:1" ht="14.5" hidden="1" x14ac:dyDescent="0.25">
      <c r="A1697" s="202" t="s">
        <v>1503</v>
      </c>
    </row>
    <row r="1698" spans="1:1" ht="14.5" hidden="1" x14ac:dyDescent="0.25">
      <c r="A1698" s="202" t="s">
        <v>1504</v>
      </c>
    </row>
    <row r="1699" spans="1:1" ht="14.5" hidden="1" x14ac:dyDescent="0.25">
      <c r="A1699" s="202" t="s">
        <v>1505</v>
      </c>
    </row>
    <row r="1700" spans="1:1" ht="14.5" hidden="1" x14ac:dyDescent="0.25">
      <c r="A1700" s="202" t="s">
        <v>1506</v>
      </c>
    </row>
    <row r="1701" spans="1:1" ht="14.5" hidden="1" x14ac:dyDescent="0.25">
      <c r="A1701" s="202" t="s">
        <v>1507</v>
      </c>
    </row>
    <row r="1702" spans="1:1" ht="14.5" hidden="1" x14ac:dyDescent="0.25">
      <c r="A1702" s="202" t="s">
        <v>1508</v>
      </c>
    </row>
    <row r="1703" spans="1:1" ht="14.5" hidden="1" x14ac:dyDescent="0.25">
      <c r="A1703" s="202" t="s">
        <v>1509</v>
      </c>
    </row>
    <row r="1704" spans="1:1" ht="14.5" hidden="1" x14ac:dyDescent="0.25">
      <c r="A1704" s="202" t="s">
        <v>1510</v>
      </c>
    </row>
    <row r="1705" spans="1:1" ht="14.5" hidden="1" x14ac:dyDescent="0.25">
      <c r="A1705" s="202" t="s">
        <v>1511</v>
      </c>
    </row>
    <row r="1706" spans="1:1" ht="14.5" hidden="1" x14ac:dyDescent="0.25">
      <c r="A1706" s="202" t="s">
        <v>1512</v>
      </c>
    </row>
    <row r="1707" spans="1:1" ht="14.5" hidden="1" x14ac:dyDescent="0.25">
      <c r="A1707" s="202" t="s">
        <v>1513</v>
      </c>
    </row>
    <row r="1708" spans="1:1" ht="14.5" hidden="1" x14ac:dyDescent="0.25">
      <c r="A1708" s="202" t="s">
        <v>1514</v>
      </c>
    </row>
    <row r="1709" spans="1:1" ht="14.5" hidden="1" x14ac:dyDescent="0.25">
      <c r="A1709" s="202" t="s">
        <v>1515</v>
      </c>
    </row>
    <row r="1710" spans="1:1" ht="14.5" hidden="1" x14ac:dyDescent="0.25">
      <c r="A1710" s="202" t="s">
        <v>1516</v>
      </c>
    </row>
    <row r="1711" spans="1:1" ht="14.5" hidden="1" x14ac:dyDescent="0.25">
      <c r="A1711" s="202" t="s">
        <v>321</v>
      </c>
    </row>
    <row r="1712" spans="1:1" ht="14.5" x14ac:dyDescent="0.25">
      <c r="A1712" s="202" t="s">
        <v>1517</v>
      </c>
    </row>
    <row r="1713" spans="1:1" ht="14.5" x14ac:dyDescent="0.25">
      <c r="A1713" s="202">
        <v>100001.72666</v>
      </c>
    </row>
    <row r="1714" spans="1:1" ht="14.5" x14ac:dyDescent="0.25">
      <c r="A1714" s="202">
        <v>1.91986128883E-2</v>
      </c>
    </row>
    <row r="1715" spans="1:1" ht="14.5" x14ac:dyDescent="0.25">
      <c r="A1715" s="202" t="s">
        <v>292</v>
      </c>
    </row>
    <row r="1716" spans="1:1" ht="14.5" x14ac:dyDescent="0.25">
      <c r="A1716" s="202" t="s">
        <v>1518</v>
      </c>
    </row>
    <row r="1717" spans="1:1" ht="14.5" x14ac:dyDescent="0.25">
      <c r="A1717" s="202"/>
    </row>
    <row r="1718" spans="1:1" ht="14.5" hidden="1" x14ac:dyDescent="0.25">
      <c r="A1718" s="202" t="s">
        <v>295</v>
      </c>
    </row>
    <row r="1719" spans="1:1" ht="14.5" hidden="1" x14ac:dyDescent="0.25">
      <c r="A1719" s="202" t="s">
        <v>296</v>
      </c>
    </row>
    <row r="1720" spans="1:1" ht="14.5" hidden="1" x14ac:dyDescent="0.25">
      <c r="A1720" s="202" t="s">
        <v>283</v>
      </c>
    </row>
    <row r="1721" spans="1:1" ht="14.5" x14ac:dyDescent="0.25">
      <c r="A1721" s="202" t="s">
        <v>863</v>
      </c>
    </row>
    <row r="1722" spans="1:1" ht="14.5" x14ac:dyDescent="0.25">
      <c r="A1722" s="202" t="s">
        <v>764</v>
      </c>
    </row>
    <row r="1723" spans="1:1" ht="14.5" x14ac:dyDescent="0.25">
      <c r="A1723" s="202" t="s">
        <v>1519</v>
      </c>
    </row>
    <row r="1724" spans="1:1" ht="14.5" hidden="1" x14ac:dyDescent="0.25">
      <c r="A1724" s="202" t="s">
        <v>1520</v>
      </c>
    </row>
    <row r="1725" spans="1:1" ht="14.5" hidden="1" x14ac:dyDescent="0.25">
      <c r="A1725" s="202" t="s">
        <v>1521</v>
      </c>
    </row>
    <row r="1726" spans="1:1" ht="14.5" hidden="1" x14ac:dyDescent="0.25">
      <c r="A1726" s="202" t="s">
        <v>1522</v>
      </c>
    </row>
    <row r="1727" spans="1:1" ht="14.5" hidden="1" x14ac:dyDescent="0.25">
      <c r="A1727" s="202" t="s">
        <v>1523</v>
      </c>
    </row>
    <row r="1728" spans="1:1" ht="14.5" hidden="1" x14ac:dyDescent="0.25">
      <c r="A1728" s="202" t="s">
        <v>1524</v>
      </c>
    </row>
    <row r="1729" spans="1:1" ht="14.5" hidden="1" x14ac:dyDescent="0.25">
      <c r="A1729" s="202" t="s">
        <v>1525</v>
      </c>
    </row>
    <row r="1730" spans="1:1" ht="14.5" hidden="1" x14ac:dyDescent="0.25">
      <c r="A1730" s="202" t="s">
        <v>1526</v>
      </c>
    </row>
    <row r="1731" spans="1:1" ht="14.5" hidden="1" x14ac:dyDescent="0.25">
      <c r="A1731" s="202" t="s">
        <v>1527</v>
      </c>
    </row>
    <row r="1732" spans="1:1" ht="14.5" hidden="1" x14ac:dyDescent="0.25">
      <c r="A1732" s="202" t="s">
        <v>1528</v>
      </c>
    </row>
    <row r="1733" spans="1:1" ht="14.5" hidden="1" x14ac:dyDescent="0.25">
      <c r="A1733" s="202" t="s">
        <v>1529</v>
      </c>
    </row>
    <row r="1734" spans="1:1" ht="14.5" hidden="1" x14ac:dyDescent="0.25">
      <c r="A1734" s="202" t="s">
        <v>1530</v>
      </c>
    </row>
    <row r="1735" spans="1:1" ht="14.5" hidden="1" x14ac:dyDescent="0.25">
      <c r="A1735" s="202" t="s">
        <v>1531</v>
      </c>
    </row>
    <row r="1736" spans="1:1" ht="14.5" hidden="1" x14ac:dyDescent="0.25">
      <c r="A1736" s="202" t="s">
        <v>1532</v>
      </c>
    </row>
    <row r="1737" spans="1:1" ht="14.5" hidden="1" x14ac:dyDescent="0.25">
      <c r="A1737" s="202" t="s">
        <v>1533</v>
      </c>
    </row>
    <row r="1738" spans="1:1" ht="14.5" hidden="1" x14ac:dyDescent="0.25">
      <c r="A1738" s="202" t="s">
        <v>1534</v>
      </c>
    </row>
    <row r="1739" spans="1:1" ht="14.5" hidden="1" x14ac:dyDescent="0.25">
      <c r="A1739" s="202" t="s">
        <v>1535</v>
      </c>
    </row>
    <row r="1740" spans="1:1" ht="14.5" hidden="1" x14ac:dyDescent="0.25">
      <c r="A1740" s="202" t="s">
        <v>1536</v>
      </c>
    </row>
    <row r="1741" spans="1:1" ht="14.5" hidden="1" x14ac:dyDescent="0.25">
      <c r="A1741" s="202" t="s">
        <v>1537</v>
      </c>
    </row>
    <row r="1742" spans="1:1" ht="14.5" hidden="1" x14ac:dyDescent="0.25">
      <c r="A1742" s="202" t="s">
        <v>1538</v>
      </c>
    </row>
    <row r="1743" spans="1:1" ht="14.5" hidden="1" x14ac:dyDescent="0.25">
      <c r="A1743" s="202" t="s">
        <v>1539</v>
      </c>
    </row>
    <row r="1744" spans="1:1" ht="14.5" hidden="1" x14ac:dyDescent="0.25">
      <c r="A1744" s="202" t="s">
        <v>1540</v>
      </c>
    </row>
    <row r="1745" spans="1:1" ht="14.5" hidden="1" x14ac:dyDescent="0.25">
      <c r="A1745" s="202" t="s">
        <v>1541</v>
      </c>
    </row>
    <row r="1746" spans="1:1" ht="14.5" hidden="1" x14ac:dyDescent="0.25">
      <c r="A1746" s="202" t="s">
        <v>321</v>
      </c>
    </row>
    <row r="1747" spans="1:1" ht="14.5" x14ac:dyDescent="0.25">
      <c r="A1747" s="202" t="s">
        <v>1542</v>
      </c>
    </row>
    <row r="1748" spans="1:1" ht="14.5" x14ac:dyDescent="0.25">
      <c r="A1748" s="202">
        <v>100001.53829500001</v>
      </c>
    </row>
    <row r="1749" spans="1:1" ht="14.5" x14ac:dyDescent="0.25">
      <c r="A1749" s="202">
        <v>9.2966023781000003E-3</v>
      </c>
    </row>
    <row r="1750" spans="1:1" ht="14.5" x14ac:dyDescent="0.25">
      <c r="A1750" s="202" t="s">
        <v>292</v>
      </c>
    </row>
    <row r="1751" spans="1:1" ht="14.5" x14ac:dyDescent="0.25">
      <c r="A1751" s="202"/>
    </row>
    <row r="1752" spans="1:1" ht="14.5" hidden="1" x14ac:dyDescent="0.25">
      <c r="A1752" s="202" t="s">
        <v>295</v>
      </c>
    </row>
    <row r="1753" spans="1:1" ht="14.5" hidden="1" x14ac:dyDescent="0.25">
      <c r="A1753" s="202" t="s">
        <v>296</v>
      </c>
    </row>
    <row r="1754" spans="1:1" ht="14.5" hidden="1" x14ac:dyDescent="0.25">
      <c r="A1754" s="202" t="s">
        <v>283</v>
      </c>
    </row>
    <row r="1755" spans="1:1" ht="14.5" x14ac:dyDescent="0.25">
      <c r="A1755" s="202" t="s">
        <v>763</v>
      </c>
    </row>
    <row r="1756" spans="1:1" ht="14.5" x14ac:dyDescent="0.25">
      <c r="A1756" s="202" t="s">
        <v>420</v>
      </c>
    </row>
    <row r="1757" spans="1:1" ht="14.5" x14ac:dyDescent="0.25">
      <c r="A1757" s="202" t="s">
        <v>1543</v>
      </c>
    </row>
    <row r="1758" spans="1:1" ht="14.5" hidden="1" x14ac:dyDescent="0.25">
      <c r="A1758" s="202" t="s">
        <v>1544</v>
      </c>
    </row>
    <row r="1759" spans="1:1" ht="14.5" hidden="1" x14ac:dyDescent="0.25">
      <c r="A1759" s="202" t="s">
        <v>1545</v>
      </c>
    </row>
    <row r="1760" spans="1:1" ht="14.5" hidden="1" x14ac:dyDescent="0.25">
      <c r="A1760" s="202" t="s">
        <v>1546</v>
      </c>
    </row>
    <row r="1761" spans="1:1" ht="14.5" hidden="1" x14ac:dyDescent="0.25">
      <c r="A1761" s="202" t="s">
        <v>1547</v>
      </c>
    </row>
    <row r="1762" spans="1:1" ht="14.5" hidden="1" x14ac:dyDescent="0.25">
      <c r="A1762" s="202" t="s">
        <v>1548</v>
      </c>
    </row>
    <row r="1763" spans="1:1" ht="14.5" hidden="1" x14ac:dyDescent="0.25">
      <c r="A1763" s="202" t="s">
        <v>1549</v>
      </c>
    </row>
    <row r="1764" spans="1:1" ht="14.5" hidden="1" x14ac:dyDescent="0.25">
      <c r="A1764" s="202" t="s">
        <v>1550</v>
      </c>
    </row>
    <row r="1765" spans="1:1" ht="14.5" hidden="1" x14ac:dyDescent="0.25">
      <c r="A1765" s="202" t="s">
        <v>1551</v>
      </c>
    </row>
    <row r="1766" spans="1:1" ht="14.5" hidden="1" x14ac:dyDescent="0.25">
      <c r="A1766" s="202" t="s">
        <v>1552</v>
      </c>
    </row>
    <row r="1767" spans="1:1" ht="14.5" hidden="1" x14ac:dyDescent="0.25">
      <c r="A1767" s="202" t="s">
        <v>1553</v>
      </c>
    </row>
    <row r="1768" spans="1:1" ht="14.5" hidden="1" x14ac:dyDescent="0.25">
      <c r="A1768" s="202" t="s">
        <v>1554</v>
      </c>
    </row>
    <row r="1769" spans="1:1" ht="14.5" hidden="1" x14ac:dyDescent="0.25">
      <c r="A1769" s="202" t="s">
        <v>1555</v>
      </c>
    </row>
    <row r="1770" spans="1:1" ht="14.5" hidden="1" x14ac:dyDescent="0.25">
      <c r="A1770" s="202" t="s">
        <v>1556</v>
      </c>
    </row>
    <row r="1771" spans="1:1" ht="14.5" hidden="1" x14ac:dyDescent="0.25">
      <c r="A1771" s="202" t="s">
        <v>1557</v>
      </c>
    </row>
    <row r="1772" spans="1:1" ht="14.5" hidden="1" x14ac:dyDescent="0.25">
      <c r="A1772" s="202" t="s">
        <v>1558</v>
      </c>
    </row>
    <row r="1773" spans="1:1" ht="14.5" hidden="1" x14ac:dyDescent="0.25">
      <c r="A1773" s="202" t="s">
        <v>1559</v>
      </c>
    </row>
    <row r="1774" spans="1:1" ht="14.5" hidden="1" x14ac:dyDescent="0.25">
      <c r="A1774" s="202" t="s">
        <v>1560</v>
      </c>
    </row>
    <row r="1775" spans="1:1" ht="14.5" hidden="1" x14ac:dyDescent="0.25">
      <c r="A1775" s="202" t="s">
        <v>1561</v>
      </c>
    </row>
    <row r="1776" spans="1:1" ht="14.5" hidden="1" x14ac:dyDescent="0.25">
      <c r="A1776" s="202" t="s">
        <v>1562</v>
      </c>
    </row>
    <row r="1777" spans="1:1" ht="14.5" hidden="1" x14ac:dyDescent="0.25">
      <c r="A1777" s="202" t="s">
        <v>1563</v>
      </c>
    </row>
    <row r="1778" spans="1:1" ht="14.5" hidden="1" x14ac:dyDescent="0.25">
      <c r="A1778" s="202" t="s">
        <v>1564</v>
      </c>
    </row>
    <row r="1779" spans="1:1" ht="14.5" hidden="1" x14ac:dyDescent="0.25">
      <c r="A1779" s="202" t="s">
        <v>1565</v>
      </c>
    </row>
    <row r="1780" spans="1:1" ht="14.5" hidden="1" x14ac:dyDescent="0.25">
      <c r="A1780" s="202" t="s">
        <v>321</v>
      </c>
    </row>
    <row r="1781" spans="1:1" ht="14.5" x14ac:dyDescent="0.25">
      <c r="A1781" s="202" t="s">
        <v>1566</v>
      </c>
    </row>
    <row r="1782" spans="1:1" ht="14.5" x14ac:dyDescent="0.25">
      <c r="A1782" s="202">
        <v>10000.275986000001</v>
      </c>
    </row>
    <row r="1783" spans="1:1" ht="14.5" x14ac:dyDescent="0.25">
      <c r="A1783" s="202">
        <v>1.5075612932900001E-3</v>
      </c>
    </row>
    <row r="1784" spans="1:1" ht="14.5" x14ac:dyDescent="0.25">
      <c r="A1784" s="202" t="s">
        <v>292</v>
      </c>
    </row>
    <row r="1785" spans="1:1" ht="14.5" x14ac:dyDescent="0.25">
      <c r="A1785" s="202" t="s">
        <v>1567</v>
      </c>
    </row>
    <row r="1786" spans="1:1" ht="14.5" x14ac:dyDescent="0.25">
      <c r="A1786" s="202"/>
    </row>
    <row r="1787" spans="1:1" ht="14.5" hidden="1" x14ac:dyDescent="0.25">
      <c r="A1787" s="202" t="s">
        <v>295</v>
      </c>
    </row>
    <row r="1788" spans="1:1" ht="14.5" hidden="1" x14ac:dyDescent="0.25">
      <c r="A1788" s="202" t="s">
        <v>296</v>
      </c>
    </row>
    <row r="1789" spans="1:1" ht="14.5" hidden="1" x14ac:dyDescent="0.25">
      <c r="A1789" s="202" t="s">
        <v>283</v>
      </c>
    </row>
    <row r="1790" spans="1:1" ht="14.5" x14ac:dyDescent="0.25">
      <c r="A1790" s="202" t="s">
        <v>763</v>
      </c>
    </row>
    <row r="1791" spans="1:1" ht="14.5" x14ac:dyDescent="0.25">
      <c r="A1791" s="202" t="s">
        <v>1294</v>
      </c>
    </row>
    <row r="1792" spans="1:1" ht="14.5" x14ac:dyDescent="0.25">
      <c r="A1792" s="202" t="s">
        <v>1568</v>
      </c>
    </row>
    <row r="1793" spans="1:1" ht="14.5" hidden="1" x14ac:dyDescent="0.25">
      <c r="A1793" s="202" t="s">
        <v>1569</v>
      </c>
    </row>
    <row r="1794" spans="1:1" ht="14.5" hidden="1" x14ac:dyDescent="0.25">
      <c r="A1794" s="202" t="s">
        <v>1570</v>
      </c>
    </row>
    <row r="1795" spans="1:1" ht="14.5" hidden="1" x14ac:dyDescent="0.25">
      <c r="A1795" s="202" t="s">
        <v>1571</v>
      </c>
    </row>
    <row r="1796" spans="1:1" ht="14.5" hidden="1" x14ac:dyDescent="0.25">
      <c r="A1796" s="202" t="s">
        <v>1572</v>
      </c>
    </row>
    <row r="1797" spans="1:1" ht="14.5" hidden="1" x14ac:dyDescent="0.25">
      <c r="A1797" s="202" t="s">
        <v>1573</v>
      </c>
    </row>
    <row r="1798" spans="1:1" ht="14.5" hidden="1" x14ac:dyDescent="0.25">
      <c r="A1798" s="202" t="s">
        <v>1574</v>
      </c>
    </row>
    <row r="1799" spans="1:1" ht="14.5" hidden="1" x14ac:dyDescent="0.25">
      <c r="A1799" s="202" t="s">
        <v>1575</v>
      </c>
    </row>
    <row r="1800" spans="1:1" ht="14.5" hidden="1" x14ac:dyDescent="0.25">
      <c r="A1800" s="202" t="s">
        <v>1576</v>
      </c>
    </row>
    <row r="1801" spans="1:1" ht="14.5" hidden="1" x14ac:dyDescent="0.25">
      <c r="A1801" s="202" t="s">
        <v>1577</v>
      </c>
    </row>
    <row r="1802" spans="1:1" ht="14.5" hidden="1" x14ac:dyDescent="0.25">
      <c r="A1802" s="202" t="s">
        <v>1578</v>
      </c>
    </row>
    <row r="1803" spans="1:1" ht="14.5" hidden="1" x14ac:dyDescent="0.25">
      <c r="A1803" s="202" t="s">
        <v>1579</v>
      </c>
    </row>
    <row r="1804" spans="1:1" ht="14.5" hidden="1" x14ac:dyDescent="0.25">
      <c r="A1804" s="202" t="s">
        <v>1580</v>
      </c>
    </row>
    <row r="1805" spans="1:1" ht="14.5" hidden="1" x14ac:dyDescent="0.25">
      <c r="A1805" s="202" t="s">
        <v>1581</v>
      </c>
    </row>
    <row r="1806" spans="1:1" ht="14.5" hidden="1" x14ac:dyDescent="0.25">
      <c r="A1806" s="202" t="s">
        <v>1582</v>
      </c>
    </row>
    <row r="1807" spans="1:1" ht="14.5" hidden="1" x14ac:dyDescent="0.25">
      <c r="A1807" s="202" t="s">
        <v>1583</v>
      </c>
    </row>
    <row r="1808" spans="1:1" ht="14.5" hidden="1" x14ac:dyDescent="0.25">
      <c r="A1808" s="202" t="s">
        <v>1584</v>
      </c>
    </row>
    <row r="1809" spans="1:1" ht="14.5" hidden="1" x14ac:dyDescent="0.25">
      <c r="A1809" s="202" t="s">
        <v>1585</v>
      </c>
    </row>
    <row r="1810" spans="1:1" ht="14.5" hidden="1" x14ac:dyDescent="0.25">
      <c r="A1810" s="202" t="s">
        <v>1586</v>
      </c>
    </row>
    <row r="1811" spans="1:1" ht="14.5" hidden="1" x14ac:dyDescent="0.25">
      <c r="A1811" s="202" t="s">
        <v>1587</v>
      </c>
    </row>
    <row r="1812" spans="1:1" ht="14.5" hidden="1" x14ac:dyDescent="0.25">
      <c r="A1812" s="202" t="s">
        <v>1588</v>
      </c>
    </row>
    <row r="1813" spans="1:1" ht="14.5" hidden="1" x14ac:dyDescent="0.25">
      <c r="A1813" s="202" t="s">
        <v>1589</v>
      </c>
    </row>
    <row r="1814" spans="1:1" ht="14.5" hidden="1" x14ac:dyDescent="0.25">
      <c r="A1814" s="202" t="s">
        <v>1590</v>
      </c>
    </row>
    <row r="1815" spans="1:1" ht="14.5" hidden="1" x14ac:dyDescent="0.25">
      <c r="A1815" s="202" t="s">
        <v>321</v>
      </c>
    </row>
    <row r="1816" spans="1:1" ht="14.5" x14ac:dyDescent="0.25">
      <c r="A1816" s="202" t="s">
        <v>1591</v>
      </c>
    </row>
    <row r="1817" spans="1:1" ht="14.5" x14ac:dyDescent="0.25">
      <c r="A1817" s="202">
        <v>100.013168335</v>
      </c>
    </row>
    <row r="1818" spans="1:1" ht="14.5" x14ac:dyDescent="0.25">
      <c r="A1818" s="202">
        <v>1.19322156918E-4</v>
      </c>
    </row>
    <row r="1819" spans="1:1" ht="14.5" x14ac:dyDescent="0.25">
      <c r="A1819" s="202" t="s">
        <v>292</v>
      </c>
    </row>
    <row r="1820" spans="1:1" ht="14.5" x14ac:dyDescent="0.25">
      <c r="A1820" s="202" t="s">
        <v>1592</v>
      </c>
    </row>
    <row r="1821" spans="1:1" ht="14.5" x14ac:dyDescent="0.25">
      <c r="A1821" s="202"/>
    </row>
    <row r="1822" spans="1:1" ht="14.5" hidden="1" x14ac:dyDescent="0.25">
      <c r="A1822" s="202" t="s">
        <v>282</v>
      </c>
    </row>
    <row r="1823" spans="1:1" ht="14.5" hidden="1" x14ac:dyDescent="0.25">
      <c r="A1823" s="202" t="s">
        <v>283</v>
      </c>
    </row>
    <row r="1824" spans="1:1" ht="14.5" hidden="1" x14ac:dyDescent="0.25">
      <c r="A1824" s="202" t="s">
        <v>1593</v>
      </c>
    </row>
    <row r="1825" spans="1:1" ht="14.5" x14ac:dyDescent="0.25">
      <c r="A1825" s="202" t="s">
        <v>1594</v>
      </c>
    </row>
    <row r="1826" spans="1:1" ht="14.5" x14ac:dyDescent="0.25">
      <c r="A1826" s="202" t="s">
        <v>286</v>
      </c>
    </row>
    <row r="1827" spans="1:1" ht="14.5" x14ac:dyDescent="0.25">
      <c r="A1827" s="202" t="s">
        <v>287</v>
      </c>
    </row>
    <row r="1828" spans="1:1" ht="14.5" x14ac:dyDescent="0.25">
      <c r="A1828" s="202" t="s">
        <v>1595</v>
      </c>
    </row>
    <row r="1829" spans="1:1" ht="14.5" x14ac:dyDescent="0.25">
      <c r="A1829" s="202" t="s">
        <v>1594</v>
      </c>
    </row>
    <row r="1830" spans="1:1" ht="14.5" x14ac:dyDescent="0.25">
      <c r="A1830" s="202" t="s">
        <v>1596</v>
      </c>
    </row>
    <row r="1831" spans="1:1" ht="14.5" hidden="1" x14ac:dyDescent="0.25">
      <c r="A1831" s="202" t="s">
        <v>291</v>
      </c>
    </row>
    <row r="1832" spans="1:1" ht="14.5" hidden="1" x14ac:dyDescent="0.25">
      <c r="A1832" s="202" t="s">
        <v>292</v>
      </c>
    </row>
    <row r="1833" spans="1:1" ht="14.5" x14ac:dyDescent="0.25">
      <c r="A1833" s="202"/>
    </row>
    <row r="1834" spans="1:1" ht="14.5" hidden="1" x14ac:dyDescent="0.25">
      <c r="A1834" s="202" t="s">
        <v>295</v>
      </c>
    </row>
    <row r="1835" spans="1:1" ht="14.5" hidden="1" x14ac:dyDescent="0.25">
      <c r="A1835" s="202" t="s">
        <v>1597</v>
      </c>
    </row>
    <row r="1836" spans="1:1" ht="14.5" hidden="1" x14ac:dyDescent="0.25">
      <c r="A1836" s="202" t="s">
        <v>283</v>
      </c>
    </row>
    <row r="1837" spans="1:1" ht="14.5" x14ac:dyDescent="0.25">
      <c r="A1837" s="202" t="s">
        <v>763</v>
      </c>
    </row>
    <row r="1838" spans="1:1" ht="14.5" x14ac:dyDescent="0.25">
      <c r="A1838" s="202" t="s">
        <v>864</v>
      </c>
    </row>
    <row r="1839" spans="1:1" ht="14.5" x14ac:dyDescent="0.25">
      <c r="A1839" s="202" t="s">
        <v>1598</v>
      </c>
    </row>
    <row r="1840" spans="1:1" ht="14.5" hidden="1" x14ac:dyDescent="0.25">
      <c r="A1840" s="202" t="s">
        <v>1599</v>
      </c>
    </row>
    <row r="1841" spans="1:1" ht="14.5" hidden="1" x14ac:dyDescent="0.25">
      <c r="A1841" s="202" t="s">
        <v>1600</v>
      </c>
    </row>
    <row r="1842" spans="1:1" ht="14.5" hidden="1" x14ac:dyDescent="0.25">
      <c r="A1842" s="202" t="s">
        <v>1601</v>
      </c>
    </row>
    <row r="1843" spans="1:1" ht="14.5" hidden="1" x14ac:dyDescent="0.25">
      <c r="A1843" s="202" t="s">
        <v>1602</v>
      </c>
    </row>
    <row r="1844" spans="1:1" ht="14.5" hidden="1" x14ac:dyDescent="0.25">
      <c r="A1844" s="202" t="s">
        <v>1603</v>
      </c>
    </row>
    <row r="1845" spans="1:1" ht="14.5" hidden="1" x14ac:dyDescent="0.25">
      <c r="A1845" s="202" t="s">
        <v>1604</v>
      </c>
    </row>
    <row r="1846" spans="1:1" ht="14.5" hidden="1" x14ac:dyDescent="0.25">
      <c r="A1846" s="202" t="s">
        <v>1605</v>
      </c>
    </row>
    <row r="1847" spans="1:1" ht="14.5" hidden="1" x14ac:dyDescent="0.25">
      <c r="A1847" s="202" t="s">
        <v>1606</v>
      </c>
    </row>
    <row r="1848" spans="1:1" ht="14.5" hidden="1" x14ac:dyDescent="0.25">
      <c r="A1848" s="202" t="s">
        <v>1607</v>
      </c>
    </row>
    <row r="1849" spans="1:1" ht="14.5" hidden="1" x14ac:dyDescent="0.25">
      <c r="A1849" s="202" t="s">
        <v>1608</v>
      </c>
    </row>
    <row r="1850" spans="1:1" ht="14.5" hidden="1" x14ac:dyDescent="0.25">
      <c r="A1850" s="202" t="s">
        <v>1609</v>
      </c>
    </row>
    <row r="1851" spans="1:1" ht="14.5" hidden="1" x14ac:dyDescent="0.25">
      <c r="A1851" s="202" t="s">
        <v>1610</v>
      </c>
    </row>
    <row r="1852" spans="1:1" ht="14.5" hidden="1" x14ac:dyDescent="0.25">
      <c r="A1852" s="202" t="s">
        <v>1611</v>
      </c>
    </row>
    <row r="1853" spans="1:1" ht="14.5" hidden="1" x14ac:dyDescent="0.25">
      <c r="A1853" s="202" t="s">
        <v>1612</v>
      </c>
    </row>
    <row r="1854" spans="1:1" ht="14.5" hidden="1" x14ac:dyDescent="0.25">
      <c r="A1854" s="202" t="s">
        <v>1613</v>
      </c>
    </row>
    <row r="1855" spans="1:1" ht="14.5" hidden="1" x14ac:dyDescent="0.25">
      <c r="A1855" s="202" t="s">
        <v>1614</v>
      </c>
    </row>
    <row r="1856" spans="1:1" ht="14.5" hidden="1" x14ac:dyDescent="0.25">
      <c r="A1856" s="202" t="s">
        <v>1615</v>
      </c>
    </row>
    <row r="1857" spans="1:1" ht="14.5" hidden="1" x14ac:dyDescent="0.25">
      <c r="A1857" s="202" t="s">
        <v>1616</v>
      </c>
    </row>
    <row r="1858" spans="1:1" ht="14.5" hidden="1" x14ac:dyDescent="0.25">
      <c r="A1858" s="202" t="s">
        <v>1617</v>
      </c>
    </row>
    <row r="1859" spans="1:1" ht="14.5" hidden="1" x14ac:dyDescent="0.25">
      <c r="A1859" s="202" t="s">
        <v>1618</v>
      </c>
    </row>
    <row r="1860" spans="1:1" ht="14.5" hidden="1" x14ac:dyDescent="0.25">
      <c r="A1860" s="202" t="s">
        <v>1619</v>
      </c>
    </row>
    <row r="1861" spans="1:1" ht="14.5" hidden="1" x14ac:dyDescent="0.25">
      <c r="A1861" s="202" t="s">
        <v>1620</v>
      </c>
    </row>
    <row r="1862" spans="1:1" ht="14.5" hidden="1" x14ac:dyDescent="0.25">
      <c r="A1862" s="202" t="s">
        <v>321</v>
      </c>
    </row>
    <row r="1863" spans="1:1" ht="14.5" x14ac:dyDescent="0.25">
      <c r="A1863" s="202" t="s">
        <v>1621</v>
      </c>
    </row>
    <row r="1864" spans="1:1" ht="14.5" x14ac:dyDescent="0.25">
      <c r="A1864" s="202">
        <v>999996.418175</v>
      </c>
    </row>
    <row r="1865" spans="1:1" ht="14.5" x14ac:dyDescent="0.25">
      <c r="A1865" s="202">
        <v>0.150588375435</v>
      </c>
    </row>
    <row r="1866" spans="1:1" ht="14.5" x14ac:dyDescent="0.25">
      <c r="A1866" s="202" t="s">
        <v>292</v>
      </c>
    </row>
    <row r="1867" spans="1:1" ht="14.5" x14ac:dyDescent="0.25">
      <c r="A1867" s="202" t="s">
        <v>1622</v>
      </c>
    </row>
    <row r="1868" spans="1:1" ht="14.5" x14ac:dyDescent="0.25">
      <c r="A1868" s="202"/>
    </row>
    <row r="1869" spans="1:1" ht="14.5" hidden="1" x14ac:dyDescent="0.25">
      <c r="A1869" s="202" t="s">
        <v>295</v>
      </c>
    </row>
    <row r="1870" spans="1:1" ht="14.5" hidden="1" x14ac:dyDescent="0.25">
      <c r="A1870" s="202" t="s">
        <v>1597</v>
      </c>
    </row>
    <row r="1871" spans="1:1" ht="14.5" hidden="1" x14ac:dyDescent="0.25">
      <c r="A1871" s="202" t="s">
        <v>283</v>
      </c>
    </row>
    <row r="1872" spans="1:1" ht="14.5" x14ac:dyDescent="0.25">
      <c r="A1872" s="202" t="s">
        <v>763</v>
      </c>
    </row>
    <row r="1873" spans="1:1" ht="14.5" x14ac:dyDescent="0.25">
      <c r="A1873" s="202" t="s">
        <v>864</v>
      </c>
    </row>
    <row r="1874" spans="1:1" ht="14.5" x14ac:dyDescent="0.25">
      <c r="A1874" s="202" t="s">
        <v>1598</v>
      </c>
    </row>
    <row r="1875" spans="1:1" ht="14.5" hidden="1" x14ac:dyDescent="0.25">
      <c r="A1875" s="202" t="s">
        <v>1623</v>
      </c>
    </row>
    <row r="1876" spans="1:1" ht="14.5" hidden="1" x14ac:dyDescent="0.25">
      <c r="A1876" s="202" t="s">
        <v>1624</v>
      </c>
    </row>
    <row r="1877" spans="1:1" ht="14.5" hidden="1" x14ac:dyDescent="0.25">
      <c r="A1877" s="202" t="s">
        <v>1625</v>
      </c>
    </row>
    <row r="1878" spans="1:1" ht="14.5" hidden="1" x14ac:dyDescent="0.25">
      <c r="A1878" s="202" t="s">
        <v>1626</v>
      </c>
    </row>
    <row r="1879" spans="1:1" ht="14.5" hidden="1" x14ac:dyDescent="0.25">
      <c r="A1879" s="202" t="s">
        <v>1627</v>
      </c>
    </row>
    <row r="1880" spans="1:1" ht="14.5" hidden="1" x14ac:dyDescent="0.25">
      <c r="A1880" s="202" t="s">
        <v>1628</v>
      </c>
    </row>
    <row r="1881" spans="1:1" ht="14.5" hidden="1" x14ac:dyDescent="0.25">
      <c r="A1881" s="202" t="s">
        <v>1629</v>
      </c>
    </row>
    <row r="1882" spans="1:1" ht="14.5" hidden="1" x14ac:dyDescent="0.25">
      <c r="A1882" s="202" t="s">
        <v>1630</v>
      </c>
    </row>
    <row r="1883" spans="1:1" ht="14.5" hidden="1" x14ac:dyDescent="0.25">
      <c r="A1883" s="202" t="s">
        <v>1631</v>
      </c>
    </row>
    <row r="1884" spans="1:1" ht="14.5" hidden="1" x14ac:dyDescent="0.25">
      <c r="A1884" s="202" t="s">
        <v>1632</v>
      </c>
    </row>
    <row r="1885" spans="1:1" ht="14.5" hidden="1" x14ac:dyDescent="0.25">
      <c r="A1885" s="202" t="s">
        <v>1633</v>
      </c>
    </row>
    <row r="1886" spans="1:1" ht="14.5" hidden="1" x14ac:dyDescent="0.25">
      <c r="A1886" s="202" t="s">
        <v>1634</v>
      </c>
    </row>
    <row r="1887" spans="1:1" ht="14.5" hidden="1" x14ac:dyDescent="0.25">
      <c r="A1887" s="202" t="s">
        <v>1635</v>
      </c>
    </row>
    <row r="1888" spans="1:1" ht="14.5" hidden="1" x14ac:dyDescent="0.25">
      <c r="A1888" s="202" t="s">
        <v>1636</v>
      </c>
    </row>
    <row r="1889" spans="1:1" ht="14.5" hidden="1" x14ac:dyDescent="0.25">
      <c r="A1889" s="202" t="s">
        <v>1637</v>
      </c>
    </row>
    <row r="1890" spans="1:1" ht="14.5" hidden="1" x14ac:dyDescent="0.25">
      <c r="A1890" s="202" t="s">
        <v>1638</v>
      </c>
    </row>
    <row r="1891" spans="1:1" ht="14.5" hidden="1" x14ac:dyDescent="0.25">
      <c r="A1891" s="202" t="s">
        <v>1639</v>
      </c>
    </row>
    <row r="1892" spans="1:1" ht="14.5" hidden="1" x14ac:dyDescent="0.25">
      <c r="A1892" s="202" t="s">
        <v>1640</v>
      </c>
    </row>
    <row r="1893" spans="1:1" ht="14.5" hidden="1" x14ac:dyDescent="0.25">
      <c r="A1893" s="202" t="s">
        <v>1641</v>
      </c>
    </row>
    <row r="1894" spans="1:1" ht="14.5" hidden="1" x14ac:dyDescent="0.25">
      <c r="A1894" s="202" t="s">
        <v>1642</v>
      </c>
    </row>
    <row r="1895" spans="1:1" ht="14.5" hidden="1" x14ac:dyDescent="0.25">
      <c r="A1895" s="202" t="s">
        <v>1643</v>
      </c>
    </row>
    <row r="1896" spans="1:1" ht="14.5" hidden="1" x14ac:dyDescent="0.25">
      <c r="A1896" s="202" t="s">
        <v>1644</v>
      </c>
    </row>
    <row r="1897" spans="1:1" ht="14.5" hidden="1" x14ac:dyDescent="0.25">
      <c r="A1897" s="202" t="s">
        <v>321</v>
      </c>
    </row>
    <row r="1898" spans="1:1" ht="14.5" x14ac:dyDescent="0.25">
      <c r="A1898" s="202" t="s">
        <v>1645</v>
      </c>
    </row>
    <row r="1899" spans="1:1" ht="14.5" x14ac:dyDescent="0.25">
      <c r="A1899" s="202">
        <v>999997.08704500005</v>
      </c>
    </row>
    <row r="1900" spans="1:1" ht="14.5" x14ac:dyDescent="0.25">
      <c r="A1900" s="202">
        <v>0.11704008524200001</v>
      </c>
    </row>
    <row r="1901" spans="1:1" ht="14.5" x14ac:dyDescent="0.25">
      <c r="A1901" s="202" t="s">
        <v>292</v>
      </c>
    </row>
    <row r="1902" spans="1:1" ht="14.5" x14ac:dyDescent="0.25">
      <c r="A1902" s="202" t="s">
        <v>1646</v>
      </c>
    </row>
    <row r="1903" spans="1:1" ht="14.5" x14ac:dyDescent="0.25">
      <c r="A1903" s="202"/>
    </row>
    <row r="1904" spans="1:1" ht="14.5" hidden="1" x14ac:dyDescent="0.25">
      <c r="A1904" s="202" t="s">
        <v>295</v>
      </c>
    </row>
    <row r="1905" spans="1:1" ht="14.5" hidden="1" x14ac:dyDescent="0.25">
      <c r="A1905" s="202" t="s">
        <v>1597</v>
      </c>
    </row>
    <row r="1906" spans="1:1" ht="14.5" hidden="1" x14ac:dyDescent="0.25">
      <c r="A1906" s="202" t="s">
        <v>283</v>
      </c>
    </row>
    <row r="1907" spans="1:1" ht="14.5" x14ac:dyDescent="0.25">
      <c r="A1907" s="202" t="s">
        <v>1647</v>
      </c>
    </row>
    <row r="1908" spans="1:1" ht="14.5" x14ac:dyDescent="0.25">
      <c r="A1908" s="202" t="s">
        <v>420</v>
      </c>
    </row>
    <row r="1909" spans="1:1" ht="14.5" x14ac:dyDescent="0.25">
      <c r="A1909" s="202" t="s">
        <v>299</v>
      </c>
    </row>
    <row r="1910" spans="1:1" ht="14.5" hidden="1" x14ac:dyDescent="0.25">
      <c r="A1910" s="202" t="s">
        <v>1648</v>
      </c>
    </row>
    <row r="1911" spans="1:1" ht="14.5" hidden="1" x14ac:dyDescent="0.25">
      <c r="A1911" s="202" t="s">
        <v>1649</v>
      </c>
    </row>
    <row r="1912" spans="1:1" ht="14.5" hidden="1" x14ac:dyDescent="0.25">
      <c r="A1912" s="202" t="s">
        <v>1650</v>
      </c>
    </row>
    <row r="1913" spans="1:1" ht="14.5" hidden="1" x14ac:dyDescent="0.25">
      <c r="A1913" s="202" t="s">
        <v>1651</v>
      </c>
    </row>
    <row r="1914" spans="1:1" ht="14.5" hidden="1" x14ac:dyDescent="0.25">
      <c r="A1914" s="202" t="s">
        <v>1652</v>
      </c>
    </row>
    <row r="1915" spans="1:1" ht="14.5" hidden="1" x14ac:dyDescent="0.25">
      <c r="A1915" s="202" t="s">
        <v>1653</v>
      </c>
    </row>
    <row r="1916" spans="1:1" ht="14.5" hidden="1" x14ac:dyDescent="0.25">
      <c r="A1916" s="202" t="s">
        <v>1654</v>
      </c>
    </row>
    <row r="1917" spans="1:1" ht="14.5" hidden="1" x14ac:dyDescent="0.25">
      <c r="A1917" s="202" t="s">
        <v>1655</v>
      </c>
    </row>
    <row r="1918" spans="1:1" ht="14.5" hidden="1" x14ac:dyDescent="0.25">
      <c r="A1918" s="202" t="s">
        <v>1656</v>
      </c>
    </row>
    <row r="1919" spans="1:1" ht="14.5" hidden="1" x14ac:dyDescent="0.25">
      <c r="A1919" s="202" t="s">
        <v>1657</v>
      </c>
    </row>
    <row r="1920" spans="1:1" ht="14.5" hidden="1" x14ac:dyDescent="0.25">
      <c r="A1920" s="202" t="s">
        <v>1658</v>
      </c>
    </row>
    <row r="1921" spans="1:1" ht="14.5" hidden="1" x14ac:dyDescent="0.25">
      <c r="A1921" s="202" t="s">
        <v>1659</v>
      </c>
    </row>
    <row r="1922" spans="1:1" ht="14.5" hidden="1" x14ac:dyDescent="0.25">
      <c r="A1922" s="202" t="s">
        <v>1660</v>
      </c>
    </row>
    <row r="1923" spans="1:1" ht="14.5" hidden="1" x14ac:dyDescent="0.25">
      <c r="A1923" s="202" t="s">
        <v>1661</v>
      </c>
    </row>
    <row r="1924" spans="1:1" ht="14.5" hidden="1" x14ac:dyDescent="0.25">
      <c r="A1924" s="202" t="s">
        <v>1662</v>
      </c>
    </row>
    <row r="1925" spans="1:1" ht="14.5" hidden="1" x14ac:dyDescent="0.25">
      <c r="A1925" s="202" t="s">
        <v>1663</v>
      </c>
    </row>
    <row r="1926" spans="1:1" ht="14.5" hidden="1" x14ac:dyDescent="0.25">
      <c r="A1926" s="202" t="s">
        <v>1664</v>
      </c>
    </row>
    <row r="1927" spans="1:1" ht="14.5" hidden="1" x14ac:dyDescent="0.25">
      <c r="A1927" s="202" t="s">
        <v>1665</v>
      </c>
    </row>
    <row r="1928" spans="1:1" ht="14.5" hidden="1" x14ac:dyDescent="0.25">
      <c r="A1928" s="202" t="s">
        <v>1666</v>
      </c>
    </row>
    <row r="1929" spans="1:1" ht="14.5" hidden="1" x14ac:dyDescent="0.25">
      <c r="A1929" s="202" t="s">
        <v>1667</v>
      </c>
    </row>
    <row r="1930" spans="1:1" ht="14.5" hidden="1" x14ac:dyDescent="0.25">
      <c r="A1930" s="202" t="s">
        <v>1668</v>
      </c>
    </row>
    <row r="1931" spans="1:1" ht="14.5" hidden="1" x14ac:dyDescent="0.25">
      <c r="A1931" s="202" t="s">
        <v>1669</v>
      </c>
    </row>
    <row r="1932" spans="1:1" ht="14.5" hidden="1" x14ac:dyDescent="0.25">
      <c r="A1932" s="202" t="s">
        <v>321</v>
      </c>
    </row>
    <row r="1933" spans="1:1" ht="14.5" hidden="1" x14ac:dyDescent="0.25">
      <c r="A1933" s="202" t="s">
        <v>1670</v>
      </c>
    </row>
    <row r="1934" spans="1:1" ht="14.5" x14ac:dyDescent="0.25">
      <c r="A1934" s="202">
        <v>9969.1879614499994</v>
      </c>
    </row>
    <row r="1935" spans="1:1" ht="14.5" x14ac:dyDescent="0.25">
      <c r="A1935" s="202">
        <v>1.76823913204E-3</v>
      </c>
    </row>
    <row r="1936" spans="1:1" ht="14.5" x14ac:dyDescent="0.25">
      <c r="A1936" s="202" t="s">
        <v>292</v>
      </c>
    </row>
    <row r="1937" spans="1:1" ht="14.5" x14ac:dyDescent="0.25">
      <c r="A1937" s="202" t="s">
        <v>1671</v>
      </c>
    </row>
    <row r="1938" spans="1:1" ht="14.5" x14ac:dyDescent="0.25">
      <c r="A1938" s="202"/>
    </row>
    <row r="1939" spans="1:1" ht="14.5" hidden="1" x14ac:dyDescent="0.25">
      <c r="A1939" s="202" t="s">
        <v>295</v>
      </c>
    </row>
    <row r="1940" spans="1:1" ht="14.5" hidden="1" x14ac:dyDescent="0.25">
      <c r="A1940" s="202" t="s">
        <v>1597</v>
      </c>
    </row>
    <row r="1941" spans="1:1" ht="14.5" hidden="1" x14ac:dyDescent="0.25">
      <c r="A1941" s="202" t="s">
        <v>283</v>
      </c>
    </row>
    <row r="1942" spans="1:1" ht="14.5" x14ac:dyDescent="0.25">
      <c r="A1942" s="202" t="s">
        <v>863</v>
      </c>
    </row>
    <row r="1943" spans="1:1" ht="14.5" x14ac:dyDescent="0.25">
      <c r="A1943" s="202" t="s">
        <v>420</v>
      </c>
    </row>
    <row r="1944" spans="1:1" ht="14.5" x14ac:dyDescent="0.25">
      <c r="A1944" s="202" t="s">
        <v>1672</v>
      </c>
    </row>
    <row r="1945" spans="1:1" ht="14.5" hidden="1" x14ac:dyDescent="0.25">
      <c r="A1945" s="202" t="s">
        <v>1673</v>
      </c>
    </row>
    <row r="1946" spans="1:1" ht="14.5" hidden="1" x14ac:dyDescent="0.25">
      <c r="A1946" s="202" t="s">
        <v>1674</v>
      </c>
    </row>
    <row r="1947" spans="1:1" ht="14.5" hidden="1" x14ac:dyDescent="0.25">
      <c r="A1947" s="202" t="s">
        <v>1675</v>
      </c>
    </row>
    <row r="1948" spans="1:1" ht="14.5" hidden="1" x14ac:dyDescent="0.25">
      <c r="A1948" s="202" t="s">
        <v>1676</v>
      </c>
    </row>
    <row r="1949" spans="1:1" ht="14.5" hidden="1" x14ac:dyDescent="0.25">
      <c r="A1949" s="202" t="s">
        <v>1677</v>
      </c>
    </row>
    <row r="1950" spans="1:1" ht="14.5" hidden="1" x14ac:dyDescent="0.25">
      <c r="A1950" s="202" t="s">
        <v>1678</v>
      </c>
    </row>
    <row r="1951" spans="1:1" ht="14.5" hidden="1" x14ac:dyDescent="0.25">
      <c r="A1951" s="202" t="s">
        <v>1679</v>
      </c>
    </row>
    <row r="1952" spans="1:1" ht="14.5" hidden="1" x14ac:dyDescent="0.25">
      <c r="A1952" s="202" t="s">
        <v>1680</v>
      </c>
    </row>
    <row r="1953" spans="1:1" ht="14.5" hidden="1" x14ac:dyDescent="0.25">
      <c r="A1953" s="202" t="s">
        <v>1681</v>
      </c>
    </row>
    <row r="1954" spans="1:1" ht="14.5" hidden="1" x14ac:dyDescent="0.25">
      <c r="A1954" s="202" t="s">
        <v>1682</v>
      </c>
    </row>
    <row r="1955" spans="1:1" ht="14.5" hidden="1" x14ac:dyDescent="0.25">
      <c r="A1955" s="202" t="s">
        <v>1683</v>
      </c>
    </row>
    <row r="1956" spans="1:1" ht="14.5" hidden="1" x14ac:dyDescent="0.25">
      <c r="A1956" s="202" t="s">
        <v>1684</v>
      </c>
    </row>
    <row r="1957" spans="1:1" ht="14.5" hidden="1" x14ac:dyDescent="0.25">
      <c r="A1957" s="202" t="s">
        <v>1685</v>
      </c>
    </row>
    <row r="1958" spans="1:1" ht="14.5" hidden="1" x14ac:dyDescent="0.25">
      <c r="A1958" s="202" t="s">
        <v>1686</v>
      </c>
    </row>
    <row r="1959" spans="1:1" ht="14.5" hidden="1" x14ac:dyDescent="0.25">
      <c r="A1959" s="202" t="s">
        <v>1687</v>
      </c>
    </row>
    <row r="1960" spans="1:1" ht="14.5" hidden="1" x14ac:dyDescent="0.25">
      <c r="A1960" s="202" t="s">
        <v>1688</v>
      </c>
    </row>
    <row r="1961" spans="1:1" ht="14.5" hidden="1" x14ac:dyDescent="0.25">
      <c r="A1961" s="202" t="s">
        <v>1689</v>
      </c>
    </row>
    <row r="1962" spans="1:1" ht="14.5" hidden="1" x14ac:dyDescent="0.25">
      <c r="A1962" s="202" t="s">
        <v>1690</v>
      </c>
    </row>
    <row r="1963" spans="1:1" ht="14.5" hidden="1" x14ac:dyDescent="0.25">
      <c r="A1963" s="202" t="s">
        <v>1691</v>
      </c>
    </row>
    <row r="1964" spans="1:1" ht="14.5" hidden="1" x14ac:dyDescent="0.25">
      <c r="A1964" s="202" t="s">
        <v>1692</v>
      </c>
    </row>
    <row r="1965" spans="1:1" ht="14.5" hidden="1" x14ac:dyDescent="0.25">
      <c r="A1965" s="202" t="s">
        <v>1693</v>
      </c>
    </row>
    <row r="1966" spans="1:1" ht="14.5" hidden="1" x14ac:dyDescent="0.25">
      <c r="A1966" s="202" t="s">
        <v>1694</v>
      </c>
    </row>
    <row r="1967" spans="1:1" ht="14.5" hidden="1" x14ac:dyDescent="0.25">
      <c r="A1967" s="202" t="s">
        <v>321</v>
      </c>
    </row>
    <row r="1968" spans="1:1" ht="14.5" x14ac:dyDescent="0.25">
      <c r="A1968" s="202" t="s">
        <v>1695</v>
      </c>
    </row>
    <row r="1969" spans="1:1" ht="14.5" x14ac:dyDescent="0.25">
      <c r="A1969" s="202">
        <v>9999.9697684999992</v>
      </c>
    </row>
    <row r="1970" spans="1:1" ht="14.5" x14ac:dyDescent="0.25">
      <c r="A1970" s="202">
        <v>1.23816661998E-3</v>
      </c>
    </row>
    <row r="1971" spans="1:1" ht="14.5" x14ac:dyDescent="0.25">
      <c r="A1971" s="202" t="s">
        <v>292</v>
      </c>
    </row>
    <row r="1972" spans="1:1" ht="14.5" x14ac:dyDescent="0.25">
      <c r="A1972" s="202" t="s">
        <v>1696</v>
      </c>
    </row>
    <row r="1973" spans="1:1" ht="14.5" x14ac:dyDescent="0.25">
      <c r="A1973" s="202"/>
    </row>
    <row r="1974" spans="1:1" ht="14.5" hidden="1" x14ac:dyDescent="0.25">
      <c r="A1974" s="202" t="s">
        <v>295</v>
      </c>
    </row>
    <row r="1975" spans="1:1" ht="14.5" hidden="1" x14ac:dyDescent="0.25">
      <c r="A1975" s="202" t="s">
        <v>1597</v>
      </c>
    </row>
    <row r="1976" spans="1:1" ht="14.5" hidden="1" x14ac:dyDescent="0.25">
      <c r="A1976" s="202" t="s">
        <v>283</v>
      </c>
    </row>
    <row r="1977" spans="1:1" ht="14.5" x14ac:dyDescent="0.25">
      <c r="A1977" s="202" t="s">
        <v>1647</v>
      </c>
    </row>
    <row r="1978" spans="1:1" ht="14.5" x14ac:dyDescent="0.25">
      <c r="A1978" s="202" t="s">
        <v>420</v>
      </c>
    </row>
    <row r="1979" spans="1:1" ht="14.5" x14ac:dyDescent="0.25">
      <c r="A1979" s="202" t="s">
        <v>1697</v>
      </c>
    </row>
    <row r="1980" spans="1:1" ht="14.5" hidden="1" x14ac:dyDescent="0.25">
      <c r="A1980" s="202" t="s">
        <v>1698</v>
      </c>
    </row>
    <row r="1981" spans="1:1" ht="14.5" hidden="1" x14ac:dyDescent="0.25">
      <c r="A1981" s="202" t="s">
        <v>1699</v>
      </c>
    </row>
    <row r="1982" spans="1:1" ht="14.5" hidden="1" x14ac:dyDescent="0.25">
      <c r="A1982" s="202" t="s">
        <v>1700</v>
      </c>
    </row>
    <row r="1983" spans="1:1" ht="14.5" hidden="1" x14ac:dyDescent="0.25">
      <c r="A1983" s="202" t="s">
        <v>1701</v>
      </c>
    </row>
    <row r="1984" spans="1:1" ht="14.5" hidden="1" x14ac:dyDescent="0.25">
      <c r="A1984" s="202" t="s">
        <v>1702</v>
      </c>
    </row>
    <row r="1985" spans="1:1" ht="14.5" hidden="1" x14ac:dyDescent="0.25">
      <c r="A1985" s="202" t="s">
        <v>1703</v>
      </c>
    </row>
    <row r="1986" spans="1:1" ht="14.5" hidden="1" x14ac:dyDescent="0.25">
      <c r="A1986" s="202" t="s">
        <v>1704</v>
      </c>
    </row>
    <row r="1987" spans="1:1" ht="14.5" hidden="1" x14ac:dyDescent="0.25">
      <c r="A1987" s="202" t="s">
        <v>1705</v>
      </c>
    </row>
    <row r="1988" spans="1:1" ht="14.5" hidden="1" x14ac:dyDescent="0.25">
      <c r="A1988" s="202" t="s">
        <v>1706</v>
      </c>
    </row>
    <row r="1989" spans="1:1" ht="14.5" hidden="1" x14ac:dyDescent="0.25">
      <c r="A1989" s="202" t="s">
        <v>1707</v>
      </c>
    </row>
    <row r="1990" spans="1:1" ht="14.5" hidden="1" x14ac:dyDescent="0.25">
      <c r="A1990" s="202" t="s">
        <v>1708</v>
      </c>
    </row>
    <row r="1991" spans="1:1" ht="14.5" hidden="1" x14ac:dyDescent="0.25">
      <c r="A1991" s="202" t="s">
        <v>1709</v>
      </c>
    </row>
    <row r="1992" spans="1:1" ht="14.5" hidden="1" x14ac:dyDescent="0.25">
      <c r="A1992" s="202" t="s">
        <v>1710</v>
      </c>
    </row>
    <row r="1993" spans="1:1" ht="14.5" hidden="1" x14ac:dyDescent="0.25">
      <c r="A1993" s="202" t="s">
        <v>1711</v>
      </c>
    </row>
    <row r="1994" spans="1:1" ht="14.5" hidden="1" x14ac:dyDescent="0.25">
      <c r="A1994" s="202" t="s">
        <v>1712</v>
      </c>
    </row>
    <row r="1995" spans="1:1" ht="14.5" hidden="1" x14ac:dyDescent="0.25">
      <c r="A1995" s="202" t="s">
        <v>1713</v>
      </c>
    </row>
    <row r="1996" spans="1:1" ht="14.5" hidden="1" x14ac:dyDescent="0.25">
      <c r="A1996" s="202" t="s">
        <v>1714</v>
      </c>
    </row>
    <row r="1997" spans="1:1" ht="14.5" hidden="1" x14ac:dyDescent="0.25">
      <c r="A1997" s="202" t="s">
        <v>1715</v>
      </c>
    </row>
    <row r="1998" spans="1:1" ht="14.5" hidden="1" x14ac:dyDescent="0.25">
      <c r="A1998" s="202" t="s">
        <v>1716</v>
      </c>
    </row>
    <row r="1999" spans="1:1" ht="14.5" hidden="1" x14ac:dyDescent="0.25">
      <c r="A1999" s="202" t="s">
        <v>1717</v>
      </c>
    </row>
    <row r="2000" spans="1:1" ht="14.5" hidden="1" x14ac:dyDescent="0.25">
      <c r="A2000" s="202" t="s">
        <v>1718</v>
      </c>
    </row>
    <row r="2001" spans="1:1" ht="14.5" hidden="1" x14ac:dyDescent="0.25">
      <c r="A2001" s="202" t="s">
        <v>1719</v>
      </c>
    </row>
    <row r="2002" spans="1:1" ht="14.5" hidden="1" x14ac:dyDescent="0.25">
      <c r="A2002" s="202" t="s">
        <v>321</v>
      </c>
    </row>
    <row r="2003" spans="1:1" ht="14.5" x14ac:dyDescent="0.25">
      <c r="A2003" s="202" t="s">
        <v>1720</v>
      </c>
    </row>
    <row r="2004" spans="1:1" ht="14.5" x14ac:dyDescent="0.25">
      <c r="A2004" s="202">
        <v>10000.0556075</v>
      </c>
    </row>
    <row r="2005" spans="1:1" ht="14.5" x14ac:dyDescent="0.25">
      <c r="A2005" s="202">
        <v>1.57064477219E-3</v>
      </c>
    </row>
    <row r="2006" spans="1:1" ht="14.5" x14ac:dyDescent="0.25">
      <c r="A2006" s="202" t="s">
        <v>292</v>
      </c>
    </row>
    <row r="2007" spans="1:1" ht="14.5" x14ac:dyDescent="0.25">
      <c r="A2007" s="202"/>
    </row>
    <row r="2008" spans="1:1" ht="14.5" hidden="1" x14ac:dyDescent="0.25">
      <c r="A2008" s="202" t="s">
        <v>295</v>
      </c>
    </row>
    <row r="2009" spans="1:1" ht="14.5" hidden="1" x14ac:dyDescent="0.25">
      <c r="A2009" s="202" t="s">
        <v>1597</v>
      </c>
    </row>
    <row r="2010" spans="1:1" ht="14.5" hidden="1" x14ac:dyDescent="0.25">
      <c r="A2010" s="202" t="s">
        <v>283</v>
      </c>
    </row>
    <row r="2011" spans="1:1" ht="14.5" x14ac:dyDescent="0.25">
      <c r="A2011" s="202" t="s">
        <v>863</v>
      </c>
    </row>
    <row r="2012" spans="1:1" ht="14.5" x14ac:dyDescent="0.25">
      <c r="A2012" s="202" t="s">
        <v>420</v>
      </c>
    </row>
    <row r="2013" spans="1:1" ht="14.5" x14ac:dyDescent="0.25">
      <c r="A2013" s="202" t="s">
        <v>1721</v>
      </c>
    </row>
    <row r="2014" spans="1:1" ht="14.5" hidden="1" x14ac:dyDescent="0.25">
      <c r="A2014" s="202" t="s">
        <v>1722</v>
      </c>
    </row>
    <row r="2015" spans="1:1" ht="14.5" hidden="1" x14ac:dyDescent="0.25">
      <c r="A2015" s="202" t="s">
        <v>1723</v>
      </c>
    </row>
    <row r="2016" spans="1:1" ht="14.5" hidden="1" x14ac:dyDescent="0.25">
      <c r="A2016" s="202" t="s">
        <v>1724</v>
      </c>
    </row>
    <row r="2017" spans="1:1" ht="14.5" hidden="1" x14ac:dyDescent="0.25">
      <c r="A2017" s="202" t="s">
        <v>1725</v>
      </c>
    </row>
    <row r="2018" spans="1:1" ht="14.5" hidden="1" x14ac:dyDescent="0.25">
      <c r="A2018" s="202" t="s">
        <v>1726</v>
      </c>
    </row>
    <row r="2019" spans="1:1" ht="14.5" hidden="1" x14ac:dyDescent="0.25">
      <c r="A2019" s="202" t="s">
        <v>1727</v>
      </c>
    </row>
    <row r="2020" spans="1:1" ht="14.5" hidden="1" x14ac:dyDescent="0.25">
      <c r="A2020" s="202" t="s">
        <v>1728</v>
      </c>
    </row>
    <row r="2021" spans="1:1" ht="14.5" hidden="1" x14ac:dyDescent="0.25">
      <c r="A2021" s="202" t="s">
        <v>1729</v>
      </c>
    </row>
    <row r="2022" spans="1:1" ht="14.5" hidden="1" x14ac:dyDescent="0.25">
      <c r="A2022" s="202" t="s">
        <v>1730</v>
      </c>
    </row>
    <row r="2023" spans="1:1" ht="14.5" hidden="1" x14ac:dyDescent="0.25">
      <c r="A2023" s="202" t="s">
        <v>1731</v>
      </c>
    </row>
    <row r="2024" spans="1:1" ht="14.5" hidden="1" x14ac:dyDescent="0.25">
      <c r="A2024" s="202" t="s">
        <v>1732</v>
      </c>
    </row>
    <row r="2025" spans="1:1" ht="14.5" hidden="1" x14ac:dyDescent="0.25">
      <c r="A2025" s="202" t="s">
        <v>1733</v>
      </c>
    </row>
    <row r="2026" spans="1:1" ht="14.5" hidden="1" x14ac:dyDescent="0.25">
      <c r="A2026" s="202" t="s">
        <v>1734</v>
      </c>
    </row>
    <row r="2027" spans="1:1" ht="14.5" hidden="1" x14ac:dyDescent="0.25">
      <c r="A2027" s="202" t="s">
        <v>1735</v>
      </c>
    </row>
    <row r="2028" spans="1:1" ht="14.5" hidden="1" x14ac:dyDescent="0.25">
      <c r="A2028" s="202" t="s">
        <v>1736</v>
      </c>
    </row>
    <row r="2029" spans="1:1" ht="14.5" hidden="1" x14ac:dyDescent="0.25">
      <c r="A2029" s="202" t="s">
        <v>1737</v>
      </c>
    </row>
    <row r="2030" spans="1:1" ht="14.5" hidden="1" x14ac:dyDescent="0.25">
      <c r="A2030" s="202" t="s">
        <v>1738</v>
      </c>
    </row>
    <row r="2031" spans="1:1" ht="14.5" hidden="1" x14ac:dyDescent="0.25">
      <c r="A2031" s="202" t="s">
        <v>1739</v>
      </c>
    </row>
    <row r="2032" spans="1:1" ht="14.5" hidden="1" x14ac:dyDescent="0.25">
      <c r="A2032" s="202" t="s">
        <v>1740</v>
      </c>
    </row>
    <row r="2033" spans="1:1" ht="14.5" hidden="1" x14ac:dyDescent="0.25">
      <c r="A2033" s="202" t="s">
        <v>1741</v>
      </c>
    </row>
    <row r="2034" spans="1:1" ht="14.5" hidden="1" x14ac:dyDescent="0.25">
      <c r="A2034" s="202" t="s">
        <v>1742</v>
      </c>
    </row>
    <row r="2035" spans="1:1" ht="14.5" hidden="1" x14ac:dyDescent="0.25">
      <c r="A2035" s="202" t="s">
        <v>1743</v>
      </c>
    </row>
    <row r="2036" spans="1:1" ht="14.5" hidden="1" x14ac:dyDescent="0.25">
      <c r="A2036" s="202" t="s">
        <v>321</v>
      </c>
    </row>
    <row r="2037" spans="1:1" ht="14.5" x14ac:dyDescent="0.25">
      <c r="A2037" s="202" t="s">
        <v>1744</v>
      </c>
    </row>
    <row r="2038" spans="1:1" ht="14.5" x14ac:dyDescent="0.25">
      <c r="A2038" s="202">
        <v>10000.0533885</v>
      </c>
    </row>
    <row r="2039" spans="1:1" ht="14.5" x14ac:dyDescent="0.25">
      <c r="A2039" s="202">
        <v>1.37004139401E-3</v>
      </c>
    </row>
    <row r="2040" spans="1:1" ht="14.5" x14ac:dyDescent="0.25">
      <c r="A2040" s="202" t="s">
        <v>292</v>
      </c>
    </row>
    <row r="2041" spans="1:1" ht="14.5" x14ac:dyDescent="0.25">
      <c r="A2041" s="202"/>
    </row>
    <row r="2042" spans="1:1" ht="14.5" hidden="1" x14ac:dyDescent="0.25">
      <c r="A2042" s="202" t="s">
        <v>295</v>
      </c>
    </row>
    <row r="2043" spans="1:1" ht="14.5" hidden="1" x14ac:dyDescent="0.25">
      <c r="A2043" s="202" t="s">
        <v>1597</v>
      </c>
    </row>
    <row r="2044" spans="1:1" ht="14.5" hidden="1" x14ac:dyDescent="0.25">
      <c r="A2044" s="202" t="s">
        <v>283</v>
      </c>
    </row>
    <row r="2045" spans="1:1" ht="14.5" x14ac:dyDescent="0.25">
      <c r="A2045" s="202" t="s">
        <v>1647</v>
      </c>
    </row>
    <row r="2046" spans="1:1" ht="14.5" x14ac:dyDescent="0.25">
      <c r="A2046" s="202" t="s">
        <v>864</v>
      </c>
    </row>
    <row r="2047" spans="1:1" ht="14.5" x14ac:dyDescent="0.25">
      <c r="A2047" s="202" t="s">
        <v>1745</v>
      </c>
    </row>
    <row r="2048" spans="1:1" ht="14.5" hidden="1" x14ac:dyDescent="0.25">
      <c r="A2048" s="202" t="s">
        <v>1746</v>
      </c>
    </row>
    <row r="2049" spans="1:1" ht="14.5" hidden="1" x14ac:dyDescent="0.25">
      <c r="A2049" s="202" t="s">
        <v>1747</v>
      </c>
    </row>
    <row r="2050" spans="1:1" ht="14.5" hidden="1" x14ac:dyDescent="0.25">
      <c r="A2050" s="202" t="s">
        <v>1748</v>
      </c>
    </row>
    <row r="2051" spans="1:1" ht="14.5" hidden="1" x14ac:dyDescent="0.25">
      <c r="A2051" s="202" t="s">
        <v>1749</v>
      </c>
    </row>
    <row r="2052" spans="1:1" ht="14.5" hidden="1" x14ac:dyDescent="0.25">
      <c r="A2052" s="202" t="s">
        <v>1750</v>
      </c>
    </row>
    <row r="2053" spans="1:1" ht="14.5" hidden="1" x14ac:dyDescent="0.25">
      <c r="A2053" s="202" t="s">
        <v>1751</v>
      </c>
    </row>
    <row r="2054" spans="1:1" ht="14.5" hidden="1" x14ac:dyDescent="0.25">
      <c r="A2054" s="202" t="s">
        <v>1752</v>
      </c>
    </row>
    <row r="2055" spans="1:1" ht="14.5" hidden="1" x14ac:dyDescent="0.25">
      <c r="A2055" s="202" t="s">
        <v>1753</v>
      </c>
    </row>
    <row r="2056" spans="1:1" ht="14.5" hidden="1" x14ac:dyDescent="0.25">
      <c r="A2056" s="202" t="s">
        <v>1754</v>
      </c>
    </row>
    <row r="2057" spans="1:1" ht="14.5" hidden="1" x14ac:dyDescent="0.25">
      <c r="A2057" s="202" t="s">
        <v>1755</v>
      </c>
    </row>
    <row r="2058" spans="1:1" ht="14.5" hidden="1" x14ac:dyDescent="0.25">
      <c r="A2058" s="202" t="s">
        <v>1756</v>
      </c>
    </row>
    <row r="2059" spans="1:1" ht="14.5" hidden="1" x14ac:dyDescent="0.25">
      <c r="A2059" s="202" t="s">
        <v>1757</v>
      </c>
    </row>
    <row r="2060" spans="1:1" ht="14.5" hidden="1" x14ac:dyDescent="0.25">
      <c r="A2060" s="202" t="s">
        <v>1758</v>
      </c>
    </row>
    <row r="2061" spans="1:1" ht="14.5" hidden="1" x14ac:dyDescent="0.25">
      <c r="A2061" s="202" t="s">
        <v>1759</v>
      </c>
    </row>
    <row r="2062" spans="1:1" ht="14.5" hidden="1" x14ac:dyDescent="0.25">
      <c r="A2062" s="202" t="s">
        <v>1760</v>
      </c>
    </row>
    <row r="2063" spans="1:1" ht="14.5" hidden="1" x14ac:dyDescent="0.25">
      <c r="A2063" s="202" t="s">
        <v>1761</v>
      </c>
    </row>
    <row r="2064" spans="1:1" ht="14.5" hidden="1" x14ac:dyDescent="0.25">
      <c r="A2064" s="202" t="s">
        <v>1762</v>
      </c>
    </row>
    <row r="2065" spans="1:1" ht="14.5" hidden="1" x14ac:dyDescent="0.25">
      <c r="A2065" s="202" t="s">
        <v>1763</v>
      </c>
    </row>
    <row r="2066" spans="1:1" ht="14.5" hidden="1" x14ac:dyDescent="0.25">
      <c r="A2066" s="202" t="s">
        <v>1764</v>
      </c>
    </row>
    <row r="2067" spans="1:1" ht="14.5" hidden="1" x14ac:dyDescent="0.25">
      <c r="A2067" s="202" t="s">
        <v>1765</v>
      </c>
    </row>
    <row r="2068" spans="1:1" ht="14.5" hidden="1" x14ac:dyDescent="0.25">
      <c r="A2068" s="202" t="s">
        <v>1766</v>
      </c>
    </row>
    <row r="2069" spans="1:1" ht="14.5" hidden="1" x14ac:dyDescent="0.25">
      <c r="A2069" s="202" t="s">
        <v>1767</v>
      </c>
    </row>
    <row r="2070" spans="1:1" ht="14.5" hidden="1" x14ac:dyDescent="0.25">
      <c r="A2070" s="202" t="s">
        <v>321</v>
      </c>
    </row>
    <row r="2071" spans="1:1" ht="14.5" x14ac:dyDescent="0.25">
      <c r="A2071" s="202" t="s">
        <v>1768</v>
      </c>
    </row>
    <row r="2072" spans="1:1" ht="14.5" x14ac:dyDescent="0.25">
      <c r="A2072" s="202">
        <v>1000004.1528</v>
      </c>
    </row>
    <row r="2073" spans="1:1" ht="14.5" x14ac:dyDescent="0.25">
      <c r="A2073" s="202">
        <v>0.26189061597899999</v>
      </c>
    </row>
    <row r="2074" spans="1:1" ht="14.5" x14ac:dyDescent="0.25">
      <c r="A2074" s="202" t="s">
        <v>292</v>
      </c>
    </row>
    <row r="2075" spans="1:1" ht="14.5" x14ac:dyDescent="0.25">
      <c r="A2075" s="202"/>
    </row>
    <row r="2076" spans="1:1" ht="14.5" hidden="1" x14ac:dyDescent="0.25">
      <c r="A2076" s="202" t="s">
        <v>295</v>
      </c>
    </row>
    <row r="2077" spans="1:1" ht="14.5" hidden="1" x14ac:dyDescent="0.25">
      <c r="A2077" s="202" t="s">
        <v>1597</v>
      </c>
    </row>
    <row r="2078" spans="1:1" ht="14.5" hidden="1" x14ac:dyDescent="0.25">
      <c r="A2078" s="202" t="s">
        <v>283</v>
      </c>
    </row>
    <row r="2079" spans="1:1" ht="14.5" x14ac:dyDescent="0.25">
      <c r="A2079" s="202" t="s">
        <v>1647</v>
      </c>
    </row>
    <row r="2080" spans="1:1" ht="14.5" x14ac:dyDescent="0.25">
      <c r="A2080" s="202" t="s">
        <v>864</v>
      </c>
    </row>
    <row r="2081" spans="1:1" ht="14.5" x14ac:dyDescent="0.25">
      <c r="A2081" s="202" t="s">
        <v>1769</v>
      </c>
    </row>
    <row r="2082" spans="1:1" ht="14.5" hidden="1" x14ac:dyDescent="0.25">
      <c r="A2082" s="202" t="s">
        <v>1770</v>
      </c>
    </row>
    <row r="2083" spans="1:1" ht="14.5" hidden="1" x14ac:dyDescent="0.25">
      <c r="A2083" s="202" t="s">
        <v>1771</v>
      </c>
    </row>
    <row r="2084" spans="1:1" ht="14.5" hidden="1" x14ac:dyDescent="0.25">
      <c r="A2084" s="202" t="s">
        <v>1772</v>
      </c>
    </row>
    <row r="2085" spans="1:1" ht="14.5" hidden="1" x14ac:dyDescent="0.25">
      <c r="A2085" s="202" t="s">
        <v>1773</v>
      </c>
    </row>
    <row r="2086" spans="1:1" ht="14.5" hidden="1" x14ac:dyDescent="0.25">
      <c r="A2086" s="202" t="s">
        <v>1774</v>
      </c>
    </row>
    <row r="2087" spans="1:1" ht="14.5" hidden="1" x14ac:dyDescent="0.25">
      <c r="A2087" s="202" t="s">
        <v>1775</v>
      </c>
    </row>
    <row r="2088" spans="1:1" ht="14.5" hidden="1" x14ac:dyDescent="0.25">
      <c r="A2088" s="202" t="s">
        <v>1776</v>
      </c>
    </row>
    <row r="2089" spans="1:1" ht="14.5" hidden="1" x14ac:dyDescent="0.25">
      <c r="A2089" s="202" t="s">
        <v>1777</v>
      </c>
    </row>
    <row r="2090" spans="1:1" ht="14.5" hidden="1" x14ac:dyDescent="0.25">
      <c r="A2090" s="202" t="s">
        <v>1778</v>
      </c>
    </row>
    <row r="2091" spans="1:1" ht="14.5" hidden="1" x14ac:dyDescent="0.25">
      <c r="A2091" s="202" t="s">
        <v>1779</v>
      </c>
    </row>
    <row r="2092" spans="1:1" ht="14.5" hidden="1" x14ac:dyDescent="0.25">
      <c r="A2092" s="202" t="s">
        <v>1780</v>
      </c>
    </row>
    <row r="2093" spans="1:1" ht="14.5" hidden="1" x14ac:dyDescent="0.25">
      <c r="A2093" s="202" t="s">
        <v>1781</v>
      </c>
    </row>
    <row r="2094" spans="1:1" ht="14.5" hidden="1" x14ac:dyDescent="0.25">
      <c r="A2094" s="202" t="s">
        <v>1782</v>
      </c>
    </row>
    <row r="2095" spans="1:1" ht="14.5" hidden="1" x14ac:dyDescent="0.25">
      <c r="A2095" s="202" t="s">
        <v>1783</v>
      </c>
    </row>
    <row r="2096" spans="1:1" ht="14.5" hidden="1" x14ac:dyDescent="0.25">
      <c r="A2096" s="202" t="s">
        <v>1784</v>
      </c>
    </row>
    <row r="2097" spans="1:2" ht="14.5" hidden="1" x14ac:dyDescent="0.25">
      <c r="A2097" s="202" t="s">
        <v>1785</v>
      </c>
    </row>
    <row r="2098" spans="1:2" ht="14.5" hidden="1" x14ac:dyDescent="0.25">
      <c r="A2098" s="202" t="s">
        <v>1786</v>
      </c>
    </row>
    <row r="2099" spans="1:2" ht="14.5" hidden="1" x14ac:dyDescent="0.25">
      <c r="A2099" s="202" t="s">
        <v>1787</v>
      </c>
    </row>
    <row r="2100" spans="1:2" ht="14.5" hidden="1" x14ac:dyDescent="0.25">
      <c r="A2100" s="202" t="s">
        <v>1788</v>
      </c>
    </row>
    <row r="2101" spans="1:2" ht="14.5" hidden="1" x14ac:dyDescent="0.25">
      <c r="A2101" s="202" t="s">
        <v>1789</v>
      </c>
    </row>
    <row r="2102" spans="1:2" ht="14.5" hidden="1" x14ac:dyDescent="0.25">
      <c r="A2102" s="202" t="s">
        <v>1790</v>
      </c>
    </row>
    <row r="2103" spans="1:2" ht="14.5" hidden="1" x14ac:dyDescent="0.25">
      <c r="A2103" s="202" t="s">
        <v>1791</v>
      </c>
    </row>
    <row r="2104" spans="1:2" ht="14.5" hidden="1" x14ac:dyDescent="0.25">
      <c r="A2104" s="202" t="s">
        <v>321</v>
      </c>
    </row>
    <row r="2105" spans="1:2" ht="14.5" x14ac:dyDescent="0.25">
      <c r="A2105" s="202" t="s">
        <v>1792</v>
      </c>
    </row>
    <row r="2106" spans="1:2" ht="14.5" x14ac:dyDescent="0.25">
      <c r="A2106" s="202">
        <v>1000004.86755</v>
      </c>
    </row>
    <row r="2107" spans="1:2" ht="14.5" x14ac:dyDescent="0.25">
      <c r="A2107" s="202">
        <v>0.14038911151799999</v>
      </c>
    </row>
    <row r="2108" spans="1:2" ht="14.5" x14ac:dyDescent="0.25">
      <c r="A2108" s="202" t="s">
        <v>292</v>
      </c>
    </row>
    <row r="2109" spans="1:2" ht="14.5" x14ac:dyDescent="0.25">
      <c r="A2109" s="202" t="s">
        <v>1793</v>
      </c>
    </row>
    <row r="2111" spans="1:2" x14ac:dyDescent="0.25">
      <c r="A2111" t="s">
        <v>2443</v>
      </c>
    </row>
    <row r="2112" spans="1:2" x14ac:dyDescent="0.25">
      <c r="A2112" t="s">
        <v>2173</v>
      </c>
      <c r="B2112" s="203">
        <v>50.027822100000002</v>
      </c>
    </row>
    <row r="2113" spans="1:4" x14ac:dyDescent="0.25">
      <c r="A2113" t="s">
        <v>2176</v>
      </c>
      <c r="B2113">
        <v>33.299999999999997</v>
      </c>
    </row>
    <row r="2114" spans="1:4" x14ac:dyDescent="0.25">
      <c r="A2114" t="s">
        <v>2381</v>
      </c>
      <c r="B2114" s="203">
        <v>12000</v>
      </c>
      <c r="C2114" t="s">
        <v>2178</v>
      </c>
      <c r="D2114" t="s">
        <v>2444</v>
      </c>
    </row>
    <row r="2115" spans="1:4" x14ac:dyDescent="0.25">
      <c r="A2115" t="s">
        <v>2383</v>
      </c>
      <c r="B2115">
        <v>10000.00598</v>
      </c>
      <c r="C2115" t="s">
        <v>2384</v>
      </c>
      <c r="D2115">
        <v>10000.007879999999</v>
      </c>
    </row>
    <row r="2116" spans="1:4" x14ac:dyDescent="0.25">
      <c r="A2116" t="s">
        <v>2385</v>
      </c>
      <c r="B2116" t="s">
        <v>2445</v>
      </c>
      <c r="C2116" t="s">
        <v>2444</v>
      </c>
      <c r="D2116" t="s">
        <v>2387</v>
      </c>
    </row>
    <row r="2117" spans="1:4" x14ac:dyDescent="0.25">
      <c r="A2117" t="s">
        <v>2388</v>
      </c>
      <c r="B2117">
        <v>10000.0148145</v>
      </c>
    </row>
    <row r="2118" spans="1:4" x14ac:dyDescent="0.25">
      <c r="A2118" t="s">
        <v>2389</v>
      </c>
      <c r="B2118">
        <v>1.86717924517395E-3</v>
      </c>
    </row>
    <row r="2119" spans="1:4" x14ac:dyDescent="0.25">
      <c r="A2119" t="s">
        <v>2390</v>
      </c>
      <c r="B2119">
        <v>3.3326396743456499</v>
      </c>
      <c r="C2119" t="s">
        <v>2391</v>
      </c>
    </row>
    <row r="2120" spans="1:4" x14ac:dyDescent="0.25">
      <c r="A2120" t="s">
        <v>2392</v>
      </c>
    </row>
    <row r="2121" spans="1:4" x14ac:dyDescent="0.25">
      <c r="A2121" t="s">
        <v>2446</v>
      </c>
    </row>
    <row r="2122" spans="1:4" x14ac:dyDescent="0.25">
      <c r="A2122" t="s">
        <v>2173</v>
      </c>
      <c r="B2122" s="203">
        <v>50.031359299999998</v>
      </c>
    </row>
    <row r="2123" spans="1:4" x14ac:dyDescent="0.25">
      <c r="A2123" t="s">
        <v>2176</v>
      </c>
      <c r="B2123">
        <v>33.299999999999997</v>
      </c>
    </row>
    <row r="2124" spans="1:4" x14ac:dyDescent="0.25">
      <c r="A2124" t="s">
        <v>2381</v>
      </c>
      <c r="B2124" s="203">
        <v>12000</v>
      </c>
      <c r="C2124" t="s">
        <v>2178</v>
      </c>
      <c r="D2124" t="s">
        <v>2447</v>
      </c>
    </row>
    <row r="2125" spans="1:4" x14ac:dyDescent="0.25">
      <c r="A2125" t="s">
        <v>2383</v>
      </c>
      <c r="B2125">
        <v>9984.9589680000008</v>
      </c>
      <c r="C2125" t="s">
        <v>2384</v>
      </c>
      <c r="D2125">
        <v>9984.9613379999992</v>
      </c>
    </row>
    <row r="2126" spans="1:4" x14ac:dyDescent="0.25">
      <c r="A2126" t="s">
        <v>2385</v>
      </c>
      <c r="B2126" t="s">
        <v>2448</v>
      </c>
      <c r="C2126" t="s">
        <v>2447</v>
      </c>
      <c r="D2126" t="s">
        <v>2387</v>
      </c>
    </row>
    <row r="2127" spans="1:4" x14ac:dyDescent="0.25">
      <c r="A2127" t="s">
        <v>2388</v>
      </c>
      <c r="B2127">
        <v>9984.9603241700006</v>
      </c>
    </row>
    <row r="2128" spans="1:4" x14ac:dyDescent="0.25">
      <c r="A2128" t="s">
        <v>2389</v>
      </c>
      <c r="B2128">
        <v>2.1670077776521301E-3</v>
      </c>
    </row>
    <row r="2129" spans="1:4" x14ac:dyDescent="0.25">
      <c r="A2129" t="s">
        <v>2390</v>
      </c>
      <c r="B2129">
        <v>3.3167809247970501</v>
      </c>
      <c r="C2129" t="s">
        <v>2391</v>
      </c>
    </row>
    <row r="2130" spans="1:4" x14ac:dyDescent="0.25">
      <c r="A2130" t="s">
        <v>2392</v>
      </c>
    </row>
    <row r="2131" spans="1:4" x14ac:dyDescent="0.25">
      <c r="A2131" t="s">
        <v>2380</v>
      </c>
    </row>
    <row r="2132" spans="1:4" x14ac:dyDescent="0.25">
      <c r="A2132" t="s">
        <v>2173</v>
      </c>
      <c r="B2132" s="203">
        <v>49.9639411</v>
      </c>
    </row>
    <row r="2133" spans="1:4" x14ac:dyDescent="0.25">
      <c r="A2133" t="s">
        <v>2176</v>
      </c>
      <c r="B2133">
        <v>33.299999999999997</v>
      </c>
    </row>
    <row r="2134" spans="1:4" x14ac:dyDescent="0.25">
      <c r="A2134" t="s">
        <v>2381</v>
      </c>
      <c r="B2134" s="203">
        <v>10000</v>
      </c>
      <c r="C2134" t="s">
        <v>2178</v>
      </c>
      <c r="D2134" t="s">
        <v>2382</v>
      </c>
    </row>
    <row r="2135" spans="1:4" x14ac:dyDescent="0.25">
      <c r="A2135" t="s">
        <v>2383</v>
      </c>
      <c r="B2135">
        <v>9999.6165980000005</v>
      </c>
      <c r="C2135" t="s">
        <v>2384</v>
      </c>
      <c r="D2135">
        <v>9999.6179169999996</v>
      </c>
    </row>
    <row r="2136" spans="1:4" x14ac:dyDescent="0.25">
      <c r="A2136" t="s">
        <v>2385</v>
      </c>
      <c r="B2136" t="s">
        <v>2386</v>
      </c>
      <c r="C2136" t="s">
        <v>2382</v>
      </c>
      <c r="D2136" t="s">
        <v>2387</v>
      </c>
    </row>
    <row r="2137" spans="1:4" x14ac:dyDescent="0.25">
      <c r="A2137" t="s">
        <v>2388</v>
      </c>
      <c r="B2137">
        <v>9999.6176042900006</v>
      </c>
    </row>
    <row r="2138" spans="1:4" x14ac:dyDescent="0.25">
      <c r="A2138" t="s">
        <v>2389</v>
      </c>
      <c r="B2138">
        <v>2.5389564717559201E-3</v>
      </c>
    </row>
    <row r="2139" spans="1:4" x14ac:dyDescent="0.25">
      <c r="A2139" t="s">
        <v>2390</v>
      </c>
      <c r="B2139">
        <v>3.3163714528083799</v>
      </c>
      <c r="C2139" t="s">
        <v>2391</v>
      </c>
    </row>
    <row r="2140" spans="1:4" x14ac:dyDescent="0.25">
      <c r="A2140" t="s">
        <v>2392</v>
      </c>
    </row>
    <row r="2141" spans="1:4" x14ac:dyDescent="0.25">
      <c r="A2141" t="s">
        <v>2393</v>
      </c>
    </row>
    <row r="2142" spans="1:4" x14ac:dyDescent="0.25">
      <c r="A2142" t="s">
        <v>2173</v>
      </c>
      <c r="B2142" s="203">
        <v>49.986183099999998</v>
      </c>
    </row>
    <row r="2143" spans="1:4" x14ac:dyDescent="0.25">
      <c r="A2143" t="s">
        <v>2176</v>
      </c>
      <c r="B2143">
        <v>33.4</v>
      </c>
    </row>
    <row r="2144" spans="1:4" x14ac:dyDescent="0.25">
      <c r="A2144" t="s">
        <v>2381</v>
      </c>
      <c r="B2144" s="203">
        <v>10000</v>
      </c>
      <c r="C2144" t="s">
        <v>2178</v>
      </c>
      <c r="D2144" t="s">
        <v>2394</v>
      </c>
    </row>
    <row r="2145" spans="1:4" x14ac:dyDescent="0.25">
      <c r="A2145" t="s">
        <v>2383</v>
      </c>
      <c r="B2145">
        <v>9999.6168099999995</v>
      </c>
      <c r="C2145" t="s">
        <v>2384</v>
      </c>
      <c r="D2145">
        <v>9999.6182320000007</v>
      </c>
    </row>
    <row r="2146" spans="1:4" x14ac:dyDescent="0.25">
      <c r="A2146" t="s">
        <v>2385</v>
      </c>
      <c r="B2146" t="s">
        <v>2395</v>
      </c>
      <c r="C2146" t="s">
        <v>2394</v>
      </c>
      <c r="D2146" t="s">
        <v>2387</v>
      </c>
    </row>
    <row r="2147" spans="1:4" x14ac:dyDescent="0.25">
      <c r="A2147" t="s">
        <v>2388</v>
      </c>
      <c r="B2147">
        <v>9999.6182169200001</v>
      </c>
    </row>
    <row r="2148" spans="1:4" x14ac:dyDescent="0.25">
      <c r="A2148" t="s">
        <v>2389</v>
      </c>
      <c r="B2148">
        <v>2.2937730536544501E-3</v>
      </c>
    </row>
    <row r="2149" spans="1:4" x14ac:dyDescent="0.25">
      <c r="A2149" t="s">
        <v>2390</v>
      </c>
      <c r="B2149">
        <v>3.3170848210652601</v>
      </c>
      <c r="C2149" t="s">
        <v>2391</v>
      </c>
    </row>
    <row r="2150" spans="1:4" x14ac:dyDescent="0.25">
      <c r="A2150" t="s">
        <v>2392</v>
      </c>
    </row>
    <row r="2151" spans="1:4" x14ac:dyDescent="0.25">
      <c r="A2151" t="s">
        <v>2396</v>
      </c>
    </row>
    <row r="2152" spans="1:4" x14ac:dyDescent="0.25">
      <c r="A2152" t="s">
        <v>2173</v>
      </c>
      <c r="B2152" s="203">
        <v>49.984603800000002</v>
      </c>
    </row>
    <row r="2153" spans="1:4" x14ac:dyDescent="0.25">
      <c r="A2153" t="s">
        <v>2176</v>
      </c>
      <c r="B2153">
        <v>33.5</v>
      </c>
    </row>
    <row r="2154" spans="1:4" x14ac:dyDescent="0.25">
      <c r="A2154" t="s">
        <v>2381</v>
      </c>
      <c r="B2154" t="s">
        <v>2397</v>
      </c>
      <c r="C2154" t="s">
        <v>2178</v>
      </c>
      <c r="D2154" t="s">
        <v>2398</v>
      </c>
    </row>
    <row r="2155" spans="1:4" x14ac:dyDescent="0.25">
      <c r="A2155" t="s">
        <v>2383</v>
      </c>
      <c r="B2155">
        <v>999.96004530000005</v>
      </c>
      <c r="C2155" t="s">
        <v>2384</v>
      </c>
      <c r="D2155">
        <v>999.96012610000002</v>
      </c>
    </row>
    <row r="2156" spans="1:4" x14ac:dyDescent="0.25">
      <c r="A2156" t="s">
        <v>2385</v>
      </c>
      <c r="B2156" t="s">
        <v>2399</v>
      </c>
      <c r="C2156" t="s">
        <v>2398</v>
      </c>
      <c r="D2156" t="s">
        <v>2387</v>
      </c>
    </row>
    <row r="2157" spans="1:4" x14ac:dyDescent="0.25">
      <c r="A2157" t="s">
        <v>2388</v>
      </c>
      <c r="B2157">
        <v>999.95993125699999</v>
      </c>
    </row>
    <row r="2158" spans="1:4" x14ac:dyDescent="0.25">
      <c r="A2158" t="s">
        <v>2389</v>
      </c>
      <c r="B2158">
        <v>3.4004300893945697E-4</v>
      </c>
    </row>
    <row r="2159" spans="1:4" x14ac:dyDescent="0.25">
      <c r="A2159" t="s">
        <v>2390</v>
      </c>
      <c r="B2159">
        <v>3.3153755307197499</v>
      </c>
      <c r="C2159" t="s">
        <v>2391</v>
      </c>
    </row>
    <row r="2160" spans="1:4" x14ac:dyDescent="0.25">
      <c r="A2160" t="s">
        <v>2392</v>
      </c>
    </row>
    <row r="2161" spans="1:4" x14ac:dyDescent="0.25">
      <c r="A2161" t="s">
        <v>2400</v>
      </c>
    </row>
    <row r="2162" spans="1:4" x14ac:dyDescent="0.25">
      <c r="A2162" t="s">
        <v>2173</v>
      </c>
      <c r="B2162" s="203">
        <v>49.989294700000002</v>
      </c>
    </row>
    <row r="2163" spans="1:4" x14ac:dyDescent="0.25">
      <c r="A2163" t="s">
        <v>2176</v>
      </c>
      <c r="B2163">
        <v>33.5</v>
      </c>
    </row>
    <row r="2164" spans="1:4" x14ac:dyDescent="0.25">
      <c r="A2164" t="s">
        <v>2381</v>
      </c>
      <c r="B2164" s="203">
        <v>1000</v>
      </c>
      <c r="C2164" t="s">
        <v>2178</v>
      </c>
      <c r="D2164" t="s">
        <v>2401</v>
      </c>
    </row>
    <row r="2165" spans="1:4" x14ac:dyDescent="0.25">
      <c r="A2165" t="s">
        <v>2383</v>
      </c>
      <c r="B2165">
        <v>999.97239630000001</v>
      </c>
      <c r="C2165" t="s">
        <v>2384</v>
      </c>
      <c r="D2165">
        <v>999.97236480000004</v>
      </c>
    </row>
    <row r="2166" spans="1:4" x14ac:dyDescent="0.25">
      <c r="A2166" t="s">
        <v>2385</v>
      </c>
      <c r="B2166" t="s">
        <v>2402</v>
      </c>
      <c r="C2166" t="s">
        <v>2506</v>
      </c>
      <c r="D2166" t="s">
        <v>2387</v>
      </c>
    </row>
    <row r="2167" spans="1:4" x14ac:dyDescent="0.25">
      <c r="A2167" t="s">
        <v>2388</v>
      </c>
      <c r="B2167">
        <v>999.97203598399994</v>
      </c>
    </row>
    <row r="2168" spans="1:4" x14ac:dyDescent="0.25">
      <c r="A2168" t="s">
        <v>2389</v>
      </c>
      <c r="B2168">
        <v>2.6674448209693401E-4</v>
      </c>
    </row>
    <row r="2169" spans="1:4" x14ac:dyDescent="0.25">
      <c r="A2169" t="s">
        <v>2390</v>
      </c>
      <c r="B2169">
        <v>3.3183455944061202</v>
      </c>
      <c r="C2169" t="s">
        <v>2391</v>
      </c>
    </row>
    <row r="2170" spans="1:4" x14ac:dyDescent="0.25">
      <c r="A2170" t="s">
        <v>2392</v>
      </c>
    </row>
    <row r="2171" spans="1:4" x14ac:dyDescent="0.25">
      <c r="A2171" t="s">
        <v>2403</v>
      </c>
    </row>
    <row r="2172" spans="1:4" x14ac:dyDescent="0.25">
      <c r="A2172" t="s">
        <v>2173</v>
      </c>
      <c r="B2172" s="203">
        <v>49.9302578</v>
      </c>
    </row>
    <row r="2173" spans="1:4" x14ac:dyDescent="0.25">
      <c r="A2173" t="s">
        <v>2176</v>
      </c>
      <c r="B2173">
        <v>33.4</v>
      </c>
    </row>
    <row r="2174" spans="1:4" x14ac:dyDescent="0.25">
      <c r="A2174" t="s">
        <v>2381</v>
      </c>
      <c r="B2174" s="203">
        <v>1000</v>
      </c>
      <c r="C2174" t="s">
        <v>2178</v>
      </c>
      <c r="D2174" t="s">
        <v>2404</v>
      </c>
    </row>
    <row r="2175" spans="1:4" x14ac:dyDescent="0.25">
      <c r="A2175" t="s">
        <v>2383</v>
      </c>
      <c r="B2175">
        <v>999.96066489999998</v>
      </c>
      <c r="C2175" t="s">
        <v>2384</v>
      </c>
      <c r="D2175">
        <v>999.96051220000004</v>
      </c>
    </row>
    <row r="2176" spans="1:4" x14ac:dyDescent="0.25">
      <c r="A2176" t="s">
        <v>2385</v>
      </c>
      <c r="B2176" t="s">
        <v>2405</v>
      </c>
      <c r="C2176" t="s">
        <v>2404</v>
      </c>
      <c r="D2176" t="s">
        <v>2387</v>
      </c>
    </row>
    <row r="2177" spans="1:4" x14ac:dyDescent="0.25">
      <c r="A2177" t="s">
        <v>2388</v>
      </c>
      <c r="B2177">
        <v>999.96035695600006</v>
      </c>
    </row>
    <row r="2178" spans="1:4" x14ac:dyDescent="0.25">
      <c r="A2178" t="s">
        <v>2389</v>
      </c>
      <c r="B2178">
        <v>2.6334460862850799E-4</v>
      </c>
    </row>
    <row r="2179" spans="1:4" x14ac:dyDescent="0.25">
      <c r="A2179" t="s">
        <v>2390</v>
      </c>
      <c r="B2179">
        <v>3.31680219968159</v>
      </c>
      <c r="C2179" t="s">
        <v>2391</v>
      </c>
    </row>
    <row r="2180" spans="1:4" x14ac:dyDescent="0.25">
      <c r="A2180" t="s">
        <v>2392</v>
      </c>
    </row>
    <row r="2181" spans="1:4" x14ac:dyDescent="0.25">
      <c r="A2181" t="s">
        <v>2406</v>
      </c>
    </row>
    <row r="2182" spans="1:4" x14ac:dyDescent="0.25">
      <c r="A2182" t="s">
        <v>2173</v>
      </c>
      <c r="B2182" s="203">
        <v>49.998476500000002</v>
      </c>
    </row>
    <row r="2183" spans="1:4" x14ac:dyDescent="0.25">
      <c r="A2183" t="s">
        <v>2176</v>
      </c>
      <c r="B2183">
        <v>33.5</v>
      </c>
    </row>
    <row r="2184" spans="1:4" x14ac:dyDescent="0.25">
      <c r="A2184" t="s">
        <v>2381</v>
      </c>
      <c r="B2184" s="203">
        <v>100</v>
      </c>
      <c r="C2184" t="s">
        <v>2178</v>
      </c>
      <c r="D2184" t="s">
        <v>2407</v>
      </c>
    </row>
    <row r="2185" spans="1:4" x14ac:dyDescent="0.25">
      <c r="A2185" t="s">
        <v>2383</v>
      </c>
      <c r="B2185">
        <v>99.996135129999999</v>
      </c>
      <c r="C2185" t="s">
        <v>2384</v>
      </c>
      <c r="D2185">
        <v>99.996219789999998</v>
      </c>
    </row>
    <row r="2186" spans="1:4" x14ac:dyDescent="0.25">
      <c r="A2186" t="s">
        <v>2385</v>
      </c>
      <c r="B2186" t="s">
        <v>2408</v>
      </c>
      <c r="C2186" t="s">
        <v>2407</v>
      </c>
      <c r="D2186" t="s">
        <v>2387</v>
      </c>
    </row>
    <row r="2187" spans="1:4" x14ac:dyDescent="0.25">
      <c r="A2187" t="s">
        <v>2388</v>
      </c>
      <c r="B2187">
        <v>99.995983096199893</v>
      </c>
    </row>
    <row r="2188" spans="1:4" x14ac:dyDescent="0.25">
      <c r="A2188" t="s">
        <v>2389</v>
      </c>
      <c r="B2188">
        <v>1.9027274116886601E-4</v>
      </c>
    </row>
    <row r="2189" spans="1:4" x14ac:dyDescent="0.25">
      <c r="A2189" t="s">
        <v>2390</v>
      </c>
      <c r="B2189">
        <v>3.3170809666315701</v>
      </c>
      <c r="C2189" t="s">
        <v>2391</v>
      </c>
    </row>
    <row r="2190" spans="1:4" x14ac:dyDescent="0.25">
      <c r="A2190" t="s">
        <v>2392</v>
      </c>
    </row>
    <row r="2191" spans="1:4" x14ac:dyDescent="0.25">
      <c r="A2191" t="s">
        <v>2409</v>
      </c>
    </row>
    <row r="2192" spans="1:4" x14ac:dyDescent="0.25">
      <c r="A2192" t="s">
        <v>2173</v>
      </c>
      <c r="B2192" s="203">
        <v>49.9532466</v>
      </c>
    </row>
    <row r="2193" spans="1:4" x14ac:dyDescent="0.25">
      <c r="A2193" t="s">
        <v>2176</v>
      </c>
      <c r="B2193">
        <v>33.5</v>
      </c>
    </row>
    <row r="2194" spans="1:4" x14ac:dyDescent="0.25">
      <c r="A2194" t="s">
        <v>2381</v>
      </c>
      <c r="B2194" s="203">
        <v>100</v>
      </c>
      <c r="C2194" t="s">
        <v>2178</v>
      </c>
      <c r="D2194" s="205" t="s">
        <v>2450</v>
      </c>
    </row>
    <row r="2195" spans="1:4" x14ac:dyDescent="0.25">
      <c r="A2195" t="s">
        <v>2383</v>
      </c>
      <c r="B2195">
        <v>999.96630879999998</v>
      </c>
      <c r="C2195" t="s">
        <v>2384</v>
      </c>
      <c r="D2195">
        <v>999.96630579999999</v>
      </c>
    </row>
    <row r="2196" spans="1:4" x14ac:dyDescent="0.25">
      <c r="A2196" t="s">
        <v>2385</v>
      </c>
      <c r="B2196" t="s">
        <v>2411</v>
      </c>
      <c r="C2196" t="s">
        <v>2410</v>
      </c>
      <c r="D2196" t="s">
        <v>2387</v>
      </c>
    </row>
    <row r="2197" spans="1:4" x14ac:dyDescent="0.25">
      <c r="A2197" t="s">
        <v>2388</v>
      </c>
      <c r="B2197">
        <v>999.96633857100005</v>
      </c>
    </row>
    <row r="2198" spans="1:4" x14ac:dyDescent="0.25">
      <c r="A2198" t="s">
        <v>2389</v>
      </c>
      <c r="B2198">
        <v>2.2752113688991E-4</v>
      </c>
    </row>
    <row r="2199" spans="1:4" x14ac:dyDescent="0.25">
      <c r="A2199" t="s">
        <v>2390</v>
      </c>
      <c r="B2199">
        <v>3.3171622196833201</v>
      </c>
      <c r="C2199" t="s">
        <v>2391</v>
      </c>
    </row>
    <row r="2200" spans="1:4" x14ac:dyDescent="0.25">
      <c r="A2200" t="s">
        <v>2392</v>
      </c>
    </row>
    <row r="2201" spans="1:4" x14ac:dyDescent="0.25">
      <c r="A2201" t="s">
        <v>2412</v>
      </c>
    </row>
    <row r="2202" spans="1:4" x14ac:dyDescent="0.25">
      <c r="A2202" t="s">
        <v>2173</v>
      </c>
      <c r="B2202" s="203">
        <v>49.962570499999998</v>
      </c>
    </row>
    <row r="2203" spans="1:4" x14ac:dyDescent="0.25">
      <c r="A2203" t="s">
        <v>2176</v>
      </c>
      <c r="B2203">
        <v>33.4</v>
      </c>
    </row>
    <row r="2204" spans="1:4" x14ac:dyDescent="0.25">
      <c r="A2204" t="s">
        <v>2381</v>
      </c>
      <c r="B2204" s="203">
        <v>100</v>
      </c>
      <c r="C2204" t="s">
        <v>2178</v>
      </c>
      <c r="D2204" s="205" t="s">
        <v>2413</v>
      </c>
    </row>
    <row r="2205" spans="1:4" x14ac:dyDescent="0.25">
      <c r="A2205" t="s">
        <v>2383</v>
      </c>
      <c r="B2205">
        <v>999.96615099999997</v>
      </c>
      <c r="C2205" t="s">
        <v>2384</v>
      </c>
      <c r="D2205">
        <v>999.96646669999996</v>
      </c>
    </row>
    <row r="2206" spans="1:4" x14ac:dyDescent="0.25">
      <c r="A2206" t="s">
        <v>2385</v>
      </c>
      <c r="B2206" t="s">
        <v>2414</v>
      </c>
      <c r="C2206" t="s">
        <v>2413</v>
      </c>
      <c r="D2206" t="s">
        <v>2387</v>
      </c>
    </row>
    <row r="2207" spans="1:4" x14ac:dyDescent="0.25">
      <c r="A2207" t="s">
        <v>2388</v>
      </c>
      <c r="B2207">
        <v>999.96610409699997</v>
      </c>
    </row>
    <row r="2208" spans="1:4" x14ac:dyDescent="0.25">
      <c r="A2208" t="s">
        <v>2389</v>
      </c>
      <c r="B2208">
        <v>6.3946364116536803E-4</v>
      </c>
    </row>
    <row r="2209" spans="1:4" x14ac:dyDescent="0.25">
      <c r="A2209" t="s">
        <v>2390</v>
      </c>
      <c r="B2209">
        <v>3.31637260913848</v>
      </c>
      <c r="C2209" t="s">
        <v>2391</v>
      </c>
    </row>
    <row r="2210" spans="1:4" x14ac:dyDescent="0.25">
      <c r="A2210" t="s">
        <v>2392</v>
      </c>
    </row>
    <row r="2211" spans="1:4" x14ac:dyDescent="0.25">
      <c r="A2211" t="s">
        <v>2415</v>
      </c>
    </row>
    <row r="2212" spans="1:4" x14ac:dyDescent="0.25">
      <c r="A2212" t="s">
        <v>2173</v>
      </c>
      <c r="B2212" s="203">
        <v>49.9091089</v>
      </c>
    </row>
    <row r="2213" spans="1:4" x14ac:dyDescent="0.25">
      <c r="A2213" t="s">
        <v>2176</v>
      </c>
      <c r="B2213">
        <v>33.4</v>
      </c>
    </row>
    <row r="2214" spans="1:4" x14ac:dyDescent="0.25">
      <c r="A2214" t="s">
        <v>2381</v>
      </c>
      <c r="B2214" s="203">
        <v>100</v>
      </c>
      <c r="C2214" t="s">
        <v>2178</v>
      </c>
      <c r="D2214" t="s">
        <v>2416</v>
      </c>
    </row>
    <row r="2215" spans="1:4" x14ac:dyDescent="0.25">
      <c r="A2215" t="s">
        <v>2383</v>
      </c>
      <c r="B2215">
        <v>99.997609749999995</v>
      </c>
      <c r="C2215" t="s">
        <v>2384</v>
      </c>
      <c r="D2215">
        <v>99.99741994</v>
      </c>
    </row>
    <row r="2216" spans="1:4" x14ac:dyDescent="0.25">
      <c r="A2216" t="s">
        <v>2385</v>
      </c>
      <c r="B2216" t="s">
        <v>2417</v>
      </c>
      <c r="C2216" t="s">
        <v>2416</v>
      </c>
      <c r="D2216" t="s">
        <v>2387</v>
      </c>
    </row>
    <row r="2217" spans="1:4" x14ac:dyDescent="0.25">
      <c r="A2217" t="s">
        <v>2388</v>
      </c>
      <c r="B2217">
        <v>99.997733086899999</v>
      </c>
    </row>
    <row r="2218" spans="1:4" x14ac:dyDescent="0.25">
      <c r="A2218" t="s">
        <v>2389</v>
      </c>
      <c r="B2218">
        <v>1.56447815372602E-4</v>
      </c>
    </row>
    <row r="2219" spans="1:4" x14ac:dyDescent="0.25">
      <c r="A2219" t="s">
        <v>2390</v>
      </c>
      <c r="B2219">
        <v>3.31608521938323</v>
      </c>
      <c r="C2219" t="s">
        <v>2391</v>
      </c>
    </row>
    <row r="2220" spans="1:4" x14ac:dyDescent="0.25">
      <c r="A2220" t="s">
        <v>2392</v>
      </c>
    </row>
    <row r="2221" spans="1:4" x14ac:dyDescent="0.25">
      <c r="A2221" t="s">
        <v>2418</v>
      </c>
    </row>
    <row r="2222" spans="1:4" x14ac:dyDescent="0.25">
      <c r="A2222" t="s">
        <v>2173</v>
      </c>
      <c r="B2222" s="203">
        <v>50.004306999999997</v>
      </c>
    </row>
    <row r="2223" spans="1:4" x14ac:dyDescent="0.25">
      <c r="A2223" t="s">
        <v>2176</v>
      </c>
      <c r="B2223">
        <v>33.4</v>
      </c>
    </row>
    <row r="2224" spans="1:4" x14ac:dyDescent="0.25">
      <c r="A2224" t="s">
        <v>2381</v>
      </c>
      <c r="B2224" s="203">
        <v>10</v>
      </c>
      <c r="C2224" t="s">
        <v>2178</v>
      </c>
      <c r="D2224" t="s">
        <v>2419</v>
      </c>
    </row>
    <row r="2225" spans="1:4" x14ac:dyDescent="0.25">
      <c r="A2225" t="s">
        <v>2383</v>
      </c>
      <c r="B2225">
        <v>9.9996556190000003</v>
      </c>
      <c r="C2225" t="s">
        <v>2384</v>
      </c>
      <c r="D2225">
        <v>9.9996432629999994</v>
      </c>
    </row>
    <row r="2226" spans="1:4" x14ac:dyDescent="0.25">
      <c r="A2226" t="s">
        <v>2385</v>
      </c>
      <c r="B2226" t="s">
        <v>2420</v>
      </c>
      <c r="C2226" t="s">
        <v>2419</v>
      </c>
      <c r="D2226" t="s">
        <v>2387</v>
      </c>
    </row>
    <row r="2227" spans="1:4" x14ac:dyDescent="0.25">
      <c r="A2227" t="s">
        <v>2388</v>
      </c>
      <c r="B2227">
        <v>9.9996417850500006</v>
      </c>
    </row>
    <row r="2228" spans="1:4" x14ac:dyDescent="0.25">
      <c r="A2228" t="s">
        <v>2389</v>
      </c>
      <c r="B2228" s="203">
        <v>1.8982922093372298E-5</v>
      </c>
    </row>
    <row r="2229" spans="1:4" x14ac:dyDescent="0.25">
      <c r="A2229" t="s">
        <v>2390</v>
      </c>
      <c r="B2229">
        <v>3.3163668354352298</v>
      </c>
      <c r="C2229" t="s">
        <v>2391</v>
      </c>
    </row>
    <row r="2230" spans="1:4" x14ac:dyDescent="0.25">
      <c r="A2230" t="s">
        <v>2392</v>
      </c>
    </row>
    <row r="2231" spans="1:4" x14ac:dyDescent="0.25">
      <c r="A2231" t="s">
        <v>2421</v>
      </c>
    </row>
    <row r="2232" spans="1:4" x14ac:dyDescent="0.25">
      <c r="A2232" t="s">
        <v>2173</v>
      </c>
      <c r="B2232" s="203">
        <v>49.952625099999999</v>
      </c>
    </row>
    <row r="2233" spans="1:4" x14ac:dyDescent="0.25">
      <c r="A2233" t="s">
        <v>2176</v>
      </c>
      <c r="B2233">
        <v>33.4</v>
      </c>
    </row>
    <row r="2234" spans="1:4" x14ac:dyDescent="0.25">
      <c r="A2234" t="s">
        <v>2381</v>
      </c>
      <c r="B2234" s="203">
        <v>10</v>
      </c>
      <c r="C2234" t="s">
        <v>2178</v>
      </c>
      <c r="D2234" t="s">
        <v>2422</v>
      </c>
    </row>
    <row r="2235" spans="1:4" x14ac:dyDescent="0.25">
      <c r="A2235" t="s">
        <v>2383</v>
      </c>
      <c r="B2235">
        <v>10.00003884</v>
      </c>
      <c r="C2235" t="s">
        <v>2384</v>
      </c>
      <c r="D2235">
        <v>10.000061909999999</v>
      </c>
    </row>
    <row r="2236" spans="1:4" x14ac:dyDescent="0.25">
      <c r="A2236" t="s">
        <v>2385</v>
      </c>
      <c r="B2236" t="s">
        <v>2423</v>
      </c>
      <c r="C2236" t="s">
        <v>2422</v>
      </c>
      <c r="D2236" t="s">
        <v>2387</v>
      </c>
    </row>
    <row r="2237" spans="1:4" x14ac:dyDescent="0.25">
      <c r="A2237" t="s">
        <v>2388</v>
      </c>
      <c r="B2237">
        <v>10.0000845213</v>
      </c>
    </row>
    <row r="2238" spans="1:4" x14ac:dyDescent="0.25">
      <c r="A2238" t="s">
        <v>2389</v>
      </c>
      <c r="B2238" s="203">
        <v>1.69182482709258E-5</v>
      </c>
    </row>
    <row r="2239" spans="1:4" x14ac:dyDescent="0.25">
      <c r="A2239" t="s">
        <v>2390</v>
      </c>
      <c r="B2239">
        <v>3.3309299627939799</v>
      </c>
      <c r="C2239" t="s">
        <v>2391</v>
      </c>
    </row>
    <row r="2240" spans="1:4" x14ac:dyDescent="0.25">
      <c r="A2240" t="s">
        <v>2392</v>
      </c>
    </row>
    <row r="2241" spans="1:4" x14ac:dyDescent="0.25">
      <c r="A2241" t="s">
        <v>2424</v>
      </c>
    </row>
    <row r="2242" spans="1:4" x14ac:dyDescent="0.25">
      <c r="A2242" t="s">
        <v>2173</v>
      </c>
      <c r="B2242" s="203">
        <v>49.9945053</v>
      </c>
    </row>
    <row r="2243" spans="1:4" x14ac:dyDescent="0.25">
      <c r="A2243" t="s">
        <v>2176</v>
      </c>
      <c r="B2243">
        <v>33.4</v>
      </c>
    </row>
    <row r="2244" spans="1:4" x14ac:dyDescent="0.25">
      <c r="A2244" t="s">
        <v>2381</v>
      </c>
      <c r="B2244" s="203">
        <v>100</v>
      </c>
      <c r="C2244" t="s">
        <v>2178</v>
      </c>
      <c r="D2244" t="s">
        <v>2425</v>
      </c>
    </row>
    <row r="2245" spans="1:4" x14ac:dyDescent="0.25">
      <c r="A2245" t="s">
        <v>2383</v>
      </c>
      <c r="B2245">
        <v>100.0011595</v>
      </c>
      <c r="C2245" t="s">
        <v>2384</v>
      </c>
      <c r="D2245">
        <v>100.000867</v>
      </c>
    </row>
    <row r="2246" spans="1:4" x14ac:dyDescent="0.25">
      <c r="A2246" t="s">
        <v>2385</v>
      </c>
      <c r="B2246" t="s">
        <v>2426</v>
      </c>
      <c r="C2246" t="s">
        <v>2425</v>
      </c>
      <c r="D2246" t="s">
        <v>2387</v>
      </c>
    </row>
    <row r="2247" spans="1:4" x14ac:dyDescent="0.25">
      <c r="A2247" t="s">
        <v>2388</v>
      </c>
      <c r="B2247">
        <v>100.00091660299999</v>
      </c>
    </row>
    <row r="2248" spans="1:4" x14ac:dyDescent="0.25">
      <c r="A2248" t="s">
        <v>2389</v>
      </c>
      <c r="B2248">
        <v>1.5355676241661501E-4</v>
      </c>
    </row>
    <row r="2249" spans="1:4" x14ac:dyDescent="0.25">
      <c r="A2249" t="s">
        <v>2390</v>
      </c>
      <c r="B2249">
        <v>3.31641999880472</v>
      </c>
      <c r="C2249" t="s">
        <v>2391</v>
      </c>
    </row>
    <row r="2250" spans="1:4" x14ac:dyDescent="0.25">
      <c r="A2250" t="s">
        <v>2392</v>
      </c>
    </row>
    <row r="2251" spans="1:4" x14ac:dyDescent="0.25">
      <c r="A2251" t="s">
        <v>2427</v>
      </c>
    </row>
    <row r="2252" spans="1:4" x14ac:dyDescent="0.25">
      <c r="A2252" t="s">
        <v>2173</v>
      </c>
      <c r="B2252" s="203">
        <v>50.026485700000002</v>
      </c>
    </row>
    <row r="2253" spans="1:4" x14ac:dyDescent="0.25">
      <c r="A2253" t="s">
        <v>2176</v>
      </c>
      <c r="B2253">
        <v>33.4</v>
      </c>
    </row>
    <row r="2254" spans="1:4" x14ac:dyDescent="0.25">
      <c r="A2254" t="s">
        <v>2381</v>
      </c>
      <c r="B2254" s="203">
        <v>100</v>
      </c>
      <c r="C2254" t="s">
        <v>2178</v>
      </c>
      <c r="D2254" t="s">
        <v>2428</v>
      </c>
    </row>
    <row r="2255" spans="1:4" x14ac:dyDescent="0.25">
      <c r="A2255" t="s">
        <v>2383</v>
      </c>
      <c r="B2255">
        <v>100.000947</v>
      </c>
      <c r="C2255" t="s">
        <v>2384</v>
      </c>
      <c r="D2255">
        <v>100.0010492</v>
      </c>
    </row>
    <row r="2256" spans="1:4" x14ac:dyDescent="0.25">
      <c r="A2256" t="s">
        <v>2385</v>
      </c>
      <c r="B2256" t="s">
        <v>2429</v>
      </c>
      <c r="C2256" t="s">
        <v>2428</v>
      </c>
      <c r="D2256" t="s">
        <v>2387</v>
      </c>
    </row>
    <row r="2257" spans="1:4" x14ac:dyDescent="0.25">
      <c r="A2257" t="s">
        <v>2388</v>
      </c>
      <c r="B2257">
        <v>100.00094193599899</v>
      </c>
    </row>
    <row r="2258" spans="1:4" x14ac:dyDescent="0.25">
      <c r="A2258" t="s">
        <v>2389</v>
      </c>
      <c r="B2258">
        <v>2.2843106314649099E-4</v>
      </c>
    </row>
    <row r="2259" spans="1:4" x14ac:dyDescent="0.25">
      <c r="A2259" t="s">
        <v>2390</v>
      </c>
      <c r="B2259">
        <v>3.3174802263577701</v>
      </c>
      <c r="C2259" t="s">
        <v>2391</v>
      </c>
    </row>
    <row r="2260" spans="1:4" x14ac:dyDescent="0.25">
      <c r="A2260" t="s">
        <v>2392</v>
      </c>
    </row>
    <row r="2261" spans="1:4" x14ac:dyDescent="0.25">
      <c r="A2261" t="s">
        <v>2430</v>
      </c>
    </row>
    <row r="2262" spans="1:4" x14ac:dyDescent="0.25">
      <c r="A2262" t="s">
        <v>2173</v>
      </c>
      <c r="B2262" s="203">
        <v>49.976652399999999</v>
      </c>
    </row>
    <row r="2263" spans="1:4" x14ac:dyDescent="0.25">
      <c r="A2263" t="s">
        <v>2176</v>
      </c>
      <c r="B2263">
        <v>33.4</v>
      </c>
    </row>
    <row r="2264" spans="1:4" x14ac:dyDescent="0.25">
      <c r="A2264" t="s">
        <v>2381</v>
      </c>
      <c r="B2264" s="203">
        <v>100000</v>
      </c>
      <c r="C2264" t="s">
        <v>2178</v>
      </c>
      <c r="D2264" t="s">
        <v>119</v>
      </c>
    </row>
    <row r="2265" spans="1:4" x14ac:dyDescent="0.25">
      <c r="A2265" t="s">
        <v>2383</v>
      </c>
      <c r="B2265">
        <v>100003.33259999999</v>
      </c>
      <c r="C2265" t="s">
        <v>2384</v>
      </c>
      <c r="D2265">
        <v>100003.40640000001</v>
      </c>
    </row>
    <row r="2266" spans="1:4" x14ac:dyDescent="0.25">
      <c r="A2266" t="s">
        <v>2385</v>
      </c>
      <c r="B2266" t="s">
        <v>2431</v>
      </c>
      <c r="C2266" t="s">
        <v>119</v>
      </c>
      <c r="D2266" t="s">
        <v>2387</v>
      </c>
    </row>
    <row r="2267" spans="1:4" x14ac:dyDescent="0.25">
      <c r="A2267" t="s">
        <v>2388</v>
      </c>
      <c r="B2267">
        <v>100003.319945</v>
      </c>
    </row>
    <row r="2268" spans="1:4" x14ac:dyDescent="0.25">
      <c r="A2268" t="s">
        <v>2389</v>
      </c>
      <c r="B2268">
        <v>4.2297747808129497E-2</v>
      </c>
    </row>
    <row r="2269" spans="1:4" x14ac:dyDescent="0.25">
      <c r="A2269" t="s">
        <v>2390</v>
      </c>
      <c r="B2269">
        <v>3.3851031939188601</v>
      </c>
      <c r="C2269" t="s">
        <v>2391</v>
      </c>
    </row>
    <row r="2270" spans="1:4" x14ac:dyDescent="0.25">
      <c r="A2270" t="s">
        <v>2392</v>
      </c>
    </row>
    <row r="2271" spans="1:4" x14ac:dyDescent="0.25">
      <c r="A2271" t="s">
        <v>2432</v>
      </c>
    </row>
    <row r="2272" spans="1:4" x14ac:dyDescent="0.25">
      <c r="A2272" t="s">
        <v>2173</v>
      </c>
      <c r="B2272" s="203">
        <v>49.971775399999999</v>
      </c>
    </row>
    <row r="2273" spans="1:4" x14ac:dyDescent="0.25">
      <c r="A2273" t="s">
        <v>2176</v>
      </c>
      <c r="B2273">
        <v>33.4</v>
      </c>
    </row>
    <row r="2274" spans="1:4" x14ac:dyDescent="0.25">
      <c r="A2274" t="s">
        <v>2381</v>
      </c>
      <c r="B2274" s="203">
        <v>12000</v>
      </c>
      <c r="C2274" t="s">
        <v>2178</v>
      </c>
      <c r="D2274" t="s">
        <v>2433</v>
      </c>
    </row>
    <row r="2275" spans="1:4" x14ac:dyDescent="0.25">
      <c r="A2275" t="s">
        <v>2383</v>
      </c>
      <c r="B2275">
        <v>10000.31078</v>
      </c>
      <c r="C2275" t="s">
        <v>2384</v>
      </c>
      <c r="D2275">
        <v>10000.33712</v>
      </c>
    </row>
    <row r="2276" spans="1:4" x14ac:dyDescent="0.25">
      <c r="A2276" t="s">
        <v>2385</v>
      </c>
      <c r="B2276" t="s">
        <v>2434</v>
      </c>
      <c r="C2276" t="s">
        <v>2433</v>
      </c>
      <c r="D2276" t="s">
        <v>2387</v>
      </c>
    </row>
    <row r="2277" spans="1:4" x14ac:dyDescent="0.25">
      <c r="A2277" t="s">
        <v>2388</v>
      </c>
      <c r="B2277">
        <v>10000.3233009</v>
      </c>
    </row>
    <row r="2278" spans="1:4" x14ac:dyDescent="0.25">
      <c r="A2278" t="s">
        <v>2389</v>
      </c>
      <c r="B2278">
        <v>8.1506895161202898E-3</v>
      </c>
    </row>
    <row r="2279" spans="1:4" x14ac:dyDescent="0.25">
      <c r="A2279" t="s">
        <v>2390</v>
      </c>
      <c r="B2279">
        <v>3.3846051812171898</v>
      </c>
      <c r="C2279" t="s">
        <v>2391</v>
      </c>
    </row>
    <row r="2280" spans="1:4" x14ac:dyDescent="0.25">
      <c r="A2280" t="s">
        <v>2392</v>
      </c>
    </row>
    <row r="2281" spans="1:4" x14ac:dyDescent="0.25">
      <c r="A2281" t="s">
        <v>2435</v>
      </c>
    </row>
    <row r="2282" spans="1:4" x14ac:dyDescent="0.25">
      <c r="A2282" t="s">
        <v>2173</v>
      </c>
      <c r="B2282" s="203">
        <v>49.969923799999997</v>
      </c>
    </row>
    <row r="2283" spans="1:4" x14ac:dyDescent="0.25">
      <c r="A2283" t="s">
        <v>2176</v>
      </c>
      <c r="B2283">
        <v>33.4</v>
      </c>
    </row>
    <row r="2284" spans="1:4" x14ac:dyDescent="0.25">
      <c r="A2284" t="s">
        <v>2381</v>
      </c>
      <c r="B2284" s="203">
        <v>100</v>
      </c>
      <c r="C2284" t="s">
        <v>2178</v>
      </c>
      <c r="D2284" t="s">
        <v>2436</v>
      </c>
    </row>
    <row r="2285" spans="1:4" x14ac:dyDescent="0.25">
      <c r="A2285" t="s">
        <v>2383</v>
      </c>
      <c r="B2285">
        <v>100.0147843</v>
      </c>
      <c r="C2285" t="s">
        <v>2384</v>
      </c>
      <c r="D2285">
        <v>100.0145569</v>
      </c>
    </row>
    <row r="2286" spans="1:4" x14ac:dyDescent="0.25">
      <c r="A2286" t="s">
        <v>2385</v>
      </c>
      <c r="B2286" t="s">
        <v>2437</v>
      </c>
      <c r="C2286" t="s">
        <v>2436</v>
      </c>
      <c r="D2286" t="s">
        <v>2387</v>
      </c>
    </row>
    <row r="2287" spans="1:4" x14ac:dyDescent="0.25">
      <c r="A2287" t="s">
        <v>2388</v>
      </c>
      <c r="B2287">
        <v>100.01475664</v>
      </c>
    </row>
    <row r="2288" spans="1:4" x14ac:dyDescent="0.25">
      <c r="A2288" t="s">
        <v>2389</v>
      </c>
      <c r="B2288">
        <v>1.9899247282827401E-4</v>
      </c>
    </row>
    <row r="2289" spans="1:3" x14ac:dyDescent="0.25">
      <c r="A2289" t="s">
        <v>2390</v>
      </c>
      <c r="B2289">
        <v>3.3178133328755601</v>
      </c>
      <c r="C2289" t="s">
        <v>2391</v>
      </c>
    </row>
    <row r="2290" spans="1:3" x14ac:dyDescent="0.25">
      <c r="A2290" t="s">
        <v>2392</v>
      </c>
    </row>
    <row r="2291" spans="1:3" x14ac:dyDescent="0.25">
      <c r="A2291" t="s">
        <v>2438</v>
      </c>
    </row>
    <row r="2292" spans="1:3" x14ac:dyDescent="0.25">
      <c r="A2292" t="s">
        <v>2439</v>
      </c>
    </row>
    <row r="2293" spans="1:3" x14ac:dyDescent="0.25">
      <c r="A2293" t="s">
        <v>283</v>
      </c>
    </row>
    <row r="2294" spans="1:3" x14ac:dyDescent="0.25">
      <c r="A2294" t="s">
        <v>2173</v>
      </c>
      <c r="B2294" s="203">
        <v>49.973419800000002</v>
      </c>
    </row>
    <row r="2295" spans="1:3" x14ac:dyDescent="0.25">
      <c r="A2295" t="s">
        <v>2176</v>
      </c>
      <c r="B2295">
        <v>33.5</v>
      </c>
    </row>
    <row r="2296" spans="1:3" x14ac:dyDescent="0.25">
      <c r="A2296" t="s">
        <v>2440</v>
      </c>
    </row>
    <row r="2297" spans="1:3" x14ac:dyDescent="0.25">
      <c r="A2297" t="s">
        <v>287</v>
      </c>
    </row>
    <row r="2298" spans="1:3" x14ac:dyDescent="0.25">
      <c r="A2298" t="s">
        <v>2390</v>
      </c>
      <c r="B2298">
        <v>16.0507982333501</v>
      </c>
      <c r="C2298" t="s">
        <v>2391</v>
      </c>
    </row>
    <row r="2299" spans="1:3" x14ac:dyDescent="0.25">
      <c r="A2299" t="s">
        <v>2176</v>
      </c>
      <c r="B2299">
        <v>33.5</v>
      </c>
    </row>
    <row r="2300" spans="1:3" x14ac:dyDescent="0.25">
      <c r="A2300" t="s">
        <v>2441</v>
      </c>
    </row>
    <row r="2301" spans="1:3" x14ac:dyDescent="0.25">
      <c r="A2301" t="s">
        <v>2442</v>
      </c>
    </row>
    <row r="2302" spans="1:3" x14ac:dyDescent="0.25">
      <c r="A2302" t="s">
        <v>2439</v>
      </c>
    </row>
    <row r="2303" spans="1:3" x14ac:dyDescent="0.25">
      <c r="A2303" t="s">
        <v>283</v>
      </c>
    </row>
    <row r="2304" spans="1:3" x14ac:dyDescent="0.25">
      <c r="A2304" t="s">
        <v>2173</v>
      </c>
      <c r="B2304" s="203">
        <v>49.997985900000003</v>
      </c>
    </row>
    <row r="2305" spans="1:4" x14ac:dyDescent="0.25">
      <c r="A2305" t="s">
        <v>2176</v>
      </c>
      <c r="B2305">
        <v>32.9</v>
      </c>
    </row>
    <row r="2306" spans="1:4" x14ac:dyDescent="0.25">
      <c r="A2306" t="s">
        <v>2440</v>
      </c>
    </row>
    <row r="2307" spans="1:4" x14ac:dyDescent="0.25">
      <c r="A2307" t="s">
        <v>287</v>
      </c>
    </row>
    <row r="2308" spans="1:4" x14ac:dyDescent="0.25">
      <c r="A2308" t="s">
        <v>2390</v>
      </c>
      <c r="B2308">
        <v>15.799619364738399</v>
      </c>
      <c r="C2308" t="s">
        <v>2391</v>
      </c>
    </row>
    <row r="2309" spans="1:4" x14ac:dyDescent="0.25">
      <c r="A2309" t="s">
        <v>2176</v>
      </c>
      <c r="B2309">
        <v>32.9</v>
      </c>
    </row>
    <row r="2310" spans="1:4" x14ac:dyDescent="0.25">
      <c r="A2310" t="s">
        <v>2441</v>
      </c>
    </row>
    <row r="2311" spans="1:4" x14ac:dyDescent="0.25">
      <c r="A2311" t="s">
        <v>2507</v>
      </c>
    </row>
    <row r="2312" spans="1:4" x14ac:dyDescent="0.25">
      <c r="A2312" t="s">
        <v>2508</v>
      </c>
    </row>
    <row r="2313" spans="1:4" x14ac:dyDescent="0.25">
      <c r="A2313" t="s">
        <v>2173</v>
      </c>
      <c r="B2313" s="203">
        <v>49.958096500000003</v>
      </c>
    </row>
    <row r="2314" spans="1:4" x14ac:dyDescent="0.25">
      <c r="A2314" t="s">
        <v>2176</v>
      </c>
      <c r="B2314">
        <v>32.9</v>
      </c>
    </row>
    <row r="2315" spans="1:4" x14ac:dyDescent="0.25">
      <c r="A2315" t="s">
        <v>2381</v>
      </c>
      <c r="B2315" s="203">
        <v>10</v>
      </c>
      <c r="C2315" t="s">
        <v>2178</v>
      </c>
      <c r="D2315" t="s">
        <v>2509</v>
      </c>
    </row>
    <row r="2316" spans="1:4" x14ac:dyDescent="0.25">
      <c r="A2316" t="s">
        <v>2383</v>
      </c>
      <c r="B2316">
        <v>-1.000002112</v>
      </c>
      <c r="C2316" t="s">
        <v>2384</v>
      </c>
      <c r="D2316">
        <v>-1.000005982</v>
      </c>
    </row>
    <row r="2317" spans="1:4" x14ac:dyDescent="0.25">
      <c r="A2317" t="s">
        <v>2510</v>
      </c>
    </row>
    <row r="2318" spans="1:4" x14ac:dyDescent="0.25">
      <c r="A2318" t="s">
        <v>2173</v>
      </c>
      <c r="B2318" s="203">
        <v>50.010709800000001</v>
      </c>
    </row>
    <row r="2319" spans="1:4" x14ac:dyDescent="0.25">
      <c r="A2319" t="s">
        <v>2176</v>
      </c>
      <c r="B2319">
        <v>32.9</v>
      </c>
    </row>
    <row r="2320" spans="1:4" x14ac:dyDescent="0.25">
      <c r="A2320" t="s">
        <v>2381</v>
      </c>
      <c r="B2320" t="s">
        <v>2511</v>
      </c>
      <c r="C2320" t="s">
        <v>2178</v>
      </c>
      <c r="D2320" t="s">
        <v>2512</v>
      </c>
    </row>
    <row r="2321" spans="1:4" x14ac:dyDescent="0.25">
      <c r="A2321" t="s">
        <v>2510</v>
      </c>
    </row>
    <row r="2322" spans="1:4" x14ac:dyDescent="0.25">
      <c r="A2322" t="s">
        <v>2173</v>
      </c>
      <c r="B2322" s="203">
        <v>49.980823399999998</v>
      </c>
    </row>
    <row r="2323" spans="1:4" x14ac:dyDescent="0.25">
      <c r="A2323" t="s">
        <v>2176</v>
      </c>
      <c r="B2323">
        <v>32.9</v>
      </c>
    </row>
    <row r="2324" spans="1:4" x14ac:dyDescent="0.25">
      <c r="A2324" t="s">
        <v>2381</v>
      </c>
      <c r="B2324" s="203">
        <v>10</v>
      </c>
      <c r="C2324" t="s">
        <v>2178</v>
      </c>
      <c r="D2324" t="s">
        <v>2512</v>
      </c>
    </row>
    <row r="2325" spans="1:4" x14ac:dyDescent="0.25">
      <c r="A2325" t="s">
        <v>2383</v>
      </c>
      <c r="B2325">
        <v>0.9999948313</v>
      </c>
      <c r="C2325" t="s">
        <v>2384</v>
      </c>
      <c r="D2325">
        <v>1.0000175790000001</v>
      </c>
    </row>
    <row r="2326" spans="1:4" x14ac:dyDescent="0.25">
      <c r="A2326" t="s">
        <v>2385</v>
      </c>
      <c r="B2326" t="s">
        <v>2513</v>
      </c>
      <c r="C2326" t="s">
        <v>2512</v>
      </c>
      <c r="D2326" t="s">
        <v>2387</v>
      </c>
    </row>
    <row r="2327" spans="1:4" x14ac:dyDescent="0.25">
      <c r="A2327" t="s">
        <v>2388</v>
      </c>
      <c r="B2327">
        <v>1.0000021826779999</v>
      </c>
    </row>
    <row r="2328" spans="1:4" x14ac:dyDescent="0.25">
      <c r="A2328" t="s">
        <v>2389</v>
      </c>
      <c r="B2328" s="203">
        <v>1.01872688658301E-5</v>
      </c>
    </row>
    <row r="2329" spans="1:4" x14ac:dyDescent="0.25">
      <c r="A2329" t="s">
        <v>2390</v>
      </c>
      <c r="B2329">
        <v>4.7430841088294899</v>
      </c>
      <c r="C2329" t="s">
        <v>2391</v>
      </c>
    </row>
    <row r="2330" spans="1:4" x14ac:dyDescent="0.25">
      <c r="A2330" t="s">
        <v>2392</v>
      </c>
    </row>
    <row r="2331" spans="1:4" x14ac:dyDescent="0.25">
      <c r="A2331" t="s">
        <v>2514</v>
      </c>
    </row>
    <row r="2332" spans="1:4" x14ac:dyDescent="0.25">
      <c r="A2332" t="s">
        <v>2173</v>
      </c>
      <c r="B2332" s="203">
        <v>50.052715900000003</v>
      </c>
    </row>
    <row r="2333" spans="1:4" x14ac:dyDescent="0.25">
      <c r="A2333" t="s">
        <v>2176</v>
      </c>
      <c r="B2333">
        <v>32.9</v>
      </c>
    </row>
    <row r="2334" spans="1:4" x14ac:dyDescent="0.25">
      <c r="A2334" t="s">
        <v>2381</v>
      </c>
      <c r="B2334" s="203">
        <v>10000</v>
      </c>
      <c r="C2334" t="s">
        <v>2178</v>
      </c>
      <c r="D2334" t="s">
        <v>2515</v>
      </c>
    </row>
    <row r="2335" spans="1:4" x14ac:dyDescent="0.25">
      <c r="A2335" t="s">
        <v>2383</v>
      </c>
      <c r="B2335">
        <v>10000.12823</v>
      </c>
      <c r="C2335" t="s">
        <v>2384</v>
      </c>
      <c r="D2335">
        <v>10000.13082</v>
      </c>
    </row>
    <row r="2336" spans="1:4" x14ac:dyDescent="0.25">
      <c r="A2336" t="s">
        <v>2385</v>
      </c>
      <c r="B2336" t="s">
        <v>2516</v>
      </c>
      <c r="C2336" t="s">
        <v>2515</v>
      </c>
      <c r="D2336" t="s">
        <v>2387</v>
      </c>
    </row>
    <row r="2337" spans="1:4" x14ac:dyDescent="0.25">
      <c r="A2337" t="s">
        <v>2388</v>
      </c>
      <c r="B2337">
        <v>10000.134140599999</v>
      </c>
    </row>
    <row r="2338" spans="1:4" x14ac:dyDescent="0.25">
      <c r="A2338" t="s">
        <v>2389</v>
      </c>
      <c r="B2338">
        <v>1.83793682097717E-3</v>
      </c>
    </row>
    <row r="2339" spans="1:4" x14ac:dyDescent="0.25">
      <c r="A2339" t="s">
        <v>2390</v>
      </c>
      <c r="B2339">
        <v>4.74479169448216</v>
      </c>
      <c r="C2339" t="s">
        <v>2391</v>
      </c>
    </row>
    <row r="2340" spans="1:4" x14ac:dyDescent="0.25">
      <c r="A2340" t="s">
        <v>2392</v>
      </c>
    </row>
    <row r="2341" spans="1:4" x14ac:dyDescent="0.25">
      <c r="A2341" t="s">
        <v>2438</v>
      </c>
    </row>
    <row r="2342" spans="1:4" x14ac:dyDescent="0.25">
      <c r="A2342" t="s">
        <v>2517</v>
      </c>
    </row>
    <row r="2343" spans="1:4" x14ac:dyDescent="0.25">
      <c r="A2343" t="s">
        <v>2173</v>
      </c>
      <c r="B2343" s="203">
        <v>49.959565699999999</v>
      </c>
    </row>
    <row r="2344" spans="1:4" x14ac:dyDescent="0.25">
      <c r="A2344" t="s">
        <v>2176</v>
      </c>
      <c r="B2344">
        <v>33</v>
      </c>
    </row>
    <row r="2345" spans="1:4" x14ac:dyDescent="0.25">
      <c r="A2345" t="s">
        <v>2381</v>
      </c>
      <c r="B2345" s="203">
        <v>1000000</v>
      </c>
      <c r="C2345" t="s">
        <v>2178</v>
      </c>
      <c r="D2345" t="s">
        <v>2518</v>
      </c>
    </row>
    <row r="2346" spans="1:4" x14ac:dyDescent="0.25">
      <c r="A2346" t="s">
        <v>2383</v>
      </c>
      <c r="B2346">
        <v>1000015</v>
      </c>
      <c r="C2346" t="s">
        <v>2384</v>
      </c>
      <c r="D2346">
        <v>1000014.877</v>
      </c>
    </row>
    <row r="2347" spans="1:4" x14ac:dyDescent="0.25">
      <c r="A2347" t="s">
        <v>2385</v>
      </c>
      <c r="B2347" t="s">
        <v>2519</v>
      </c>
      <c r="C2347" t="s">
        <v>2518</v>
      </c>
      <c r="D2347" t="s">
        <v>2387</v>
      </c>
    </row>
    <row r="2348" spans="1:4" x14ac:dyDescent="0.25">
      <c r="A2348" t="s">
        <v>2388</v>
      </c>
      <c r="B2348">
        <v>998424.04395299999</v>
      </c>
    </row>
    <row r="2349" spans="1:4" x14ac:dyDescent="0.25">
      <c r="A2349" t="s">
        <v>2389</v>
      </c>
      <c r="B2349">
        <v>15912.094014884</v>
      </c>
    </row>
    <row r="2350" spans="1:4" x14ac:dyDescent="0.25">
      <c r="A2350" t="s">
        <v>2390</v>
      </c>
      <c r="B2350">
        <v>3.5207178195317499</v>
      </c>
      <c r="C2350" t="s">
        <v>2391</v>
      </c>
    </row>
    <row r="2351" spans="1:4" x14ac:dyDescent="0.25">
      <c r="A2351" t="s">
        <v>2392</v>
      </c>
    </row>
    <row r="2352" spans="1:4" x14ac:dyDescent="0.25">
      <c r="A2352" t="s">
        <v>2520</v>
      </c>
    </row>
    <row r="2353" spans="1:4" x14ac:dyDescent="0.25">
      <c r="A2353" t="s">
        <v>2173</v>
      </c>
      <c r="B2353" s="203">
        <v>49.927652000000002</v>
      </c>
    </row>
    <row r="2354" spans="1:4" x14ac:dyDescent="0.25">
      <c r="A2354" t="s">
        <v>2176</v>
      </c>
      <c r="B2354">
        <v>33</v>
      </c>
    </row>
    <row r="2355" spans="1:4" x14ac:dyDescent="0.25">
      <c r="A2355" t="s">
        <v>2381</v>
      </c>
      <c r="B2355" s="203">
        <v>10000</v>
      </c>
      <c r="C2355" t="s">
        <v>2178</v>
      </c>
      <c r="D2355" t="s">
        <v>2521</v>
      </c>
    </row>
    <row r="2356" spans="1:4" x14ac:dyDescent="0.25">
      <c r="A2356" t="s">
        <v>2383</v>
      </c>
      <c r="B2356">
        <v>10000.00873</v>
      </c>
      <c r="C2356" t="s">
        <v>2384</v>
      </c>
      <c r="D2356">
        <v>10000.010829999999</v>
      </c>
    </row>
    <row r="2357" spans="1:4" x14ac:dyDescent="0.25">
      <c r="A2357" t="s">
        <v>2385</v>
      </c>
      <c r="B2357" t="s">
        <v>2522</v>
      </c>
      <c r="C2357" t="s">
        <v>2521</v>
      </c>
      <c r="D2357" t="s">
        <v>2387</v>
      </c>
    </row>
    <row r="2358" spans="1:4" x14ac:dyDescent="0.25">
      <c r="A2358" t="s">
        <v>2388</v>
      </c>
      <c r="B2358">
        <v>10000.012335699999</v>
      </c>
    </row>
    <row r="2359" spans="1:4" x14ac:dyDescent="0.25">
      <c r="A2359" t="s">
        <v>2389</v>
      </c>
      <c r="B2359">
        <v>2.5696854562042202E-3</v>
      </c>
    </row>
    <row r="2360" spans="1:4" x14ac:dyDescent="0.25">
      <c r="A2360" t="s">
        <v>2390</v>
      </c>
      <c r="B2360">
        <v>4.7420757532119699</v>
      </c>
      <c r="C2360" t="s">
        <v>2391</v>
      </c>
    </row>
    <row r="2361" spans="1:4" x14ac:dyDescent="0.25">
      <c r="A2361" t="s">
        <v>2392</v>
      </c>
    </row>
    <row r="2362" spans="1:4" x14ac:dyDescent="0.25">
      <c r="A2362" t="s">
        <v>2523</v>
      </c>
    </row>
    <row r="2363" spans="1:4" x14ac:dyDescent="0.25">
      <c r="A2363" t="s">
        <v>2173</v>
      </c>
      <c r="B2363" s="203">
        <v>49.990374500000001</v>
      </c>
    </row>
    <row r="2364" spans="1:4" x14ac:dyDescent="0.25">
      <c r="A2364" t="s">
        <v>2176</v>
      </c>
      <c r="B2364">
        <v>33</v>
      </c>
    </row>
    <row r="2365" spans="1:4" x14ac:dyDescent="0.25">
      <c r="A2365" t="s">
        <v>2381</v>
      </c>
      <c r="B2365" s="203">
        <v>10000</v>
      </c>
      <c r="C2365" t="s">
        <v>2178</v>
      </c>
      <c r="D2365" t="s">
        <v>2524</v>
      </c>
    </row>
    <row r="2366" spans="1:4" x14ac:dyDescent="0.25">
      <c r="A2366" t="s">
        <v>2383</v>
      </c>
      <c r="B2366">
        <v>9989.3807730000008</v>
      </c>
      <c r="C2366" t="s">
        <v>2384</v>
      </c>
      <c r="D2366">
        <v>9989.3760949999996</v>
      </c>
    </row>
    <row r="2367" spans="1:4" x14ac:dyDescent="0.25">
      <c r="A2367" t="s">
        <v>2385</v>
      </c>
      <c r="B2367" t="s">
        <v>2525</v>
      </c>
      <c r="C2367" t="s">
        <v>2524</v>
      </c>
      <c r="D2367" t="s">
        <v>2387</v>
      </c>
    </row>
    <row r="2368" spans="1:4" x14ac:dyDescent="0.25">
      <c r="A2368" t="s">
        <v>2388</v>
      </c>
      <c r="B2368">
        <v>9989.3076149900007</v>
      </c>
    </row>
    <row r="2369" spans="1:4" x14ac:dyDescent="0.25">
      <c r="A2369" t="s">
        <v>2389</v>
      </c>
      <c r="B2369">
        <v>3.9552210783332403E-2</v>
      </c>
    </row>
    <row r="2370" spans="1:4" x14ac:dyDescent="0.25">
      <c r="A2370" t="s">
        <v>2390</v>
      </c>
      <c r="B2370">
        <v>4.7441475669542896</v>
      </c>
      <c r="C2370" t="s">
        <v>2391</v>
      </c>
    </row>
    <row r="2371" spans="1:4" x14ac:dyDescent="0.25">
      <c r="A2371" t="s">
        <v>2392</v>
      </c>
    </row>
    <row r="2372" spans="1:4" x14ac:dyDescent="0.25">
      <c r="A2372" t="s">
        <v>2526</v>
      </c>
    </row>
    <row r="2373" spans="1:4" x14ac:dyDescent="0.25">
      <c r="A2373" t="s">
        <v>2173</v>
      </c>
      <c r="B2373" s="203">
        <v>49.964379200000003</v>
      </c>
    </row>
    <row r="2374" spans="1:4" x14ac:dyDescent="0.25">
      <c r="A2374" t="s">
        <v>2176</v>
      </c>
      <c r="B2374">
        <v>33</v>
      </c>
    </row>
    <row r="2375" spans="1:4" x14ac:dyDescent="0.25">
      <c r="A2375" t="s">
        <v>2381</v>
      </c>
      <c r="B2375" s="203">
        <v>1000000</v>
      </c>
      <c r="C2375" t="s">
        <v>2178</v>
      </c>
      <c r="D2375" t="s">
        <v>2527</v>
      </c>
    </row>
    <row r="2376" spans="1:4" x14ac:dyDescent="0.25">
      <c r="A2376" t="s">
        <v>2383</v>
      </c>
      <c r="B2376">
        <v>1000015.3860000001</v>
      </c>
      <c r="C2376" t="s">
        <v>2384</v>
      </c>
      <c r="D2376">
        <v>1000014.961</v>
      </c>
    </row>
    <row r="2377" spans="1:4" x14ac:dyDescent="0.25">
      <c r="A2377" t="s">
        <v>2385</v>
      </c>
      <c r="B2377" t="s">
        <v>2528</v>
      </c>
      <c r="C2377" t="s">
        <v>2527</v>
      </c>
      <c r="D2377" t="s">
        <v>2387</v>
      </c>
    </row>
    <row r="2378" spans="1:4" x14ac:dyDescent="0.25">
      <c r="A2378" t="s">
        <v>2388</v>
      </c>
      <c r="B2378">
        <v>1000015.8202899999</v>
      </c>
    </row>
    <row r="2379" spans="1:4" x14ac:dyDescent="0.25">
      <c r="A2379" t="s">
        <v>2389</v>
      </c>
      <c r="B2379">
        <v>0.54195156694088498</v>
      </c>
    </row>
    <row r="2380" spans="1:4" x14ac:dyDescent="0.25">
      <c r="A2380" t="s">
        <v>2390</v>
      </c>
      <c r="B2380">
        <v>3.5195269982020001</v>
      </c>
      <c r="C2380" t="s">
        <v>2391</v>
      </c>
    </row>
    <row r="2381" spans="1:4" x14ac:dyDescent="0.25">
      <c r="A2381" t="s">
        <v>2392</v>
      </c>
    </row>
    <row r="2382" spans="1:4" x14ac:dyDescent="0.25">
      <c r="A2382" t="s">
        <v>2529</v>
      </c>
    </row>
    <row r="2383" spans="1:4" x14ac:dyDescent="0.25">
      <c r="A2383" t="s">
        <v>2173</v>
      </c>
      <c r="B2383" s="203">
        <v>50.074455</v>
      </c>
    </row>
    <row r="2384" spans="1:4" x14ac:dyDescent="0.25">
      <c r="A2384" t="s">
        <v>2176</v>
      </c>
      <c r="B2384">
        <v>33</v>
      </c>
    </row>
    <row r="2385" spans="1:4" x14ac:dyDescent="0.25">
      <c r="A2385" t="s">
        <v>2381</v>
      </c>
      <c r="B2385" s="203">
        <v>1000000</v>
      </c>
      <c r="C2385" t="s">
        <v>2178</v>
      </c>
      <c r="D2385" t="s">
        <v>2530</v>
      </c>
    </row>
    <row r="2386" spans="1:4" x14ac:dyDescent="0.25">
      <c r="A2386" t="s">
        <v>2383</v>
      </c>
      <c r="B2386">
        <v>1000002.5110000001</v>
      </c>
      <c r="C2386" t="s">
        <v>2384</v>
      </c>
      <c r="D2386">
        <v>1000002.78</v>
      </c>
    </row>
    <row r="2387" spans="1:4" x14ac:dyDescent="0.25">
      <c r="A2387" t="s">
        <v>2385</v>
      </c>
      <c r="B2387" t="s">
        <v>2531</v>
      </c>
      <c r="C2387" t="s">
        <v>2530</v>
      </c>
      <c r="D2387" t="s">
        <v>2387</v>
      </c>
    </row>
    <row r="2388" spans="1:4" x14ac:dyDescent="0.25">
      <c r="A2388" t="s">
        <v>2388</v>
      </c>
      <c r="B2388">
        <v>1000001.71749</v>
      </c>
    </row>
    <row r="2389" spans="1:4" x14ac:dyDescent="0.25">
      <c r="A2389" t="s">
        <v>2389</v>
      </c>
      <c r="B2389">
        <v>0.45496099277267599</v>
      </c>
    </row>
    <row r="2390" spans="1:4" x14ac:dyDescent="0.25">
      <c r="A2390" t="s">
        <v>2390</v>
      </c>
      <c r="B2390">
        <v>3.51990934213002</v>
      </c>
      <c r="C2390" t="s">
        <v>2391</v>
      </c>
    </row>
    <row r="2391" spans="1:4" x14ac:dyDescent="0.25">
      <c r="A2391" t="s">
        <v>2392</v>
      </c>
    </row>
    <row r="2392" spans="1:4" x14ac:dyDescent="0.25">
      <c r="A2392" t="s">
        <v>2438</v>
      </c>
    </row>
  </sheetData>
  <hyperlinks>
    <hyperlink ref="B2" location="docx!A2111" display="readings of Step 16 in 2023 Starts from row 2111" xr:uid="{73B3F7B0-D712-43CF-93CC-C53013708848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17</vt:i4>
      </vt:variant>
    </vt:vector>
  </HeadingPairs>
  <TitlesOfParts>
    <vt:vector size="32" baseType="lpstr">
      <vt:lpstr>DumpWord</vt:lpstr>
      <vt:lpstr>DumpScite</vt:lpstr>
      <vt:lpstr>Read Me</vt:lpstr>
      <vt:lpstr>Calibration</vt:lpstr>
      <vt:lpstr>Comparision</vt:lpstr>
      <vt:lpstr>Original readings</vt:lpstr>
      <vt:lpstr>Short, Open, Phase</vt:lpstr>
      <vt:lpstr>Resistors</vt:lpstr>
      <vt:lpstr>docx</vt:lpstr>
      <vt:lpstr>L and C</vt:lpstr>
      <vt:lpstr>Results</vt:lpstr>
      <vt:lpstr>csv_data</vt:lpstr>
      <vt:lpstr>Corrections</vt:lpstr>
      <vt:lpstr>Uncertainties</vt:lpstr>
      <vt:lpstr>ESI_check</vt:lpstr>
      <vt:lpstr>C_1</vt:lpstr>
      <vt:lpstr>correction_c</vt:lpstr>
      <vt:lpstr>Corrections</vt:lpstr>
      <vt:lpstr>Data</vt:lpstr>
      <vt:lpstr>Corrections!G_1</vt:lpstr>
      <vt:lpstr>G_1</vt:lpstr>
      <vt:lpstr>Corrections!G_2</vt:lpstr>
      <vt:lpstr>G_2</vt:lpstr>
      <vt:lpstr>label</vt:lpstr>
      <vt:lpstr>Corrections!R_4A</vt:lpstr>
      <vt:lpstr>R_4A</vt:lpstr>
      <vt:lpstr>Corrections!R_4B</vt:lpstr>
      <vt:lpstr>R_4B</vt:lpstr>
      <vt:lpstr>Corrections!R_4C</vt:lpstr>
      <vt:lpstr>R_4C</vt:lpstr>
      <vt:lpstr>Results</vt:lpstr>
      <vt:lpstr>test_c</vt:lpstr>
    </vt:vector>
  </TitlesOfParts>
  <Company>Industrial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Corney</dc:creator>
  <cp:lastModifiedBy>Keith Jones</cp:lastModifiedBy>
  <cp:lastPrinted>2023-04-12T04:26:18Z</cp:lastPrinted>
  <dcterms:created xsi:type="dcterms:W3CDTF">2004-01-22T03:47:49Z</dcterms:created>
  <dcterms:modified xsi:type="dcterms:W3CDTF">2023-04-12T23:44:10Z</dcterms:modified>
</cp:coreProperties>
</file>